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新中街\"/>
    </mc:Choice>
  </mc:AlternateContent>
  <xr:revisionPtr revIDLastSave="0" documentId="13_ncr:1_{2F48C2AF-B00E-4175-BCE6-E393CB000CE2}" xr6:coauthVersionLast="45" xr6:coauthVersionMax="45" xr10:uidLastSave="{00000000-0000-0000-0000-000000000000}"/>
  <bookViews>
    <workbookView xWindow="-120" yWindow="-120" windowWidth="21840" windowHeight="1314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比较法-办公大宗" sheetId="81" r:id="rId43"/>
    <sheet name="案例" sheetId="79" r:id="rId44"/>
    <sheet name="面积表" sheetId="80" r:id="rId45"/>
    <sheet name="存贷款利率" sheetId="73" r:id="rId46"/>
    <sheet name="Sheet2" sheetId="82" r:id="rId47"/>
    <sheet name="区片价（范围）" sheetId="75" state="hidden" r:id="rId48"/>
  </sheets>
  <externalReferences>
    <externalReference r:id="rId49"/>
    <externalReference r:id="rId50"/>
  </externalReferences>
  <definedNames>
    <definedName name="_xlnm._FilterDatabase" localSheetId="42" hidden="1">'比较法-办公大宗'!$A$1:$L$50</definedName>
    <definedName name="_xlnm._FilterDatabase" localSheetId="27"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42">'比较法-办公大宗'!$A$1:$K$55,'比较法-办公大宗'!$A$58:$M$132</definedName>
    <definedName name="_xlnm.Print_Area" localSheetId="27">'比较法-办公租金'!$A$1:$K$55,'比较法-办公租金'!$A$58:$M$132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42">'比较法-办公大宗'!$B$119:$M$119</definedName>
    <definedName name="办公层高">'比较法-办公租金'!$B$119:$M$119</definedName>
    <definedName name="办公朝向" localSheetId="42">'比较法-办公大宗'!$B$91:$M$91</definedName>
    <definedName name="办公朝向">'比较法-办公租金'!$B$91:$M$91</definedName>
    <definedName name="办公道路级别" localSheetId="42">'比较法-办公大宗'!$B$87:$M$87</definedName>
    <definedName name="办公道路级别">'比较法-办公租金'!$B$87:$M$87</definedName>
    <definedName name="办公公共部分装修" localSheetId="42">'比较法-办公大宗'!$B$108:$M$108</definedName>
    <definedName name="办公公共部分装修">'比较法-办公租金'!$B$108:$M$108</definedName>
    <definedName name="办公基础设施水平" localSheetId="42">'比较法-办公大宗'!$B$117:$M$117</definedName>
    <definedName name="办公基础设施水平">'比较法-办公租金'!$B$117:$M$117</definedName>
    <definedName name="办公集聚程度">定义!$M$1:$M$6</definedName>
    <definedName name="办公建筑结构" localSheetId="42">'比较法-办公大宗'!$B$106:$M$106</definedName>
    <definedName name="办公建筑结构">'比较法-办公租金'!$B$106:$M$106</definedName>
    <definedName name="办公建筑类型" localSheetId="42">'比较法-办公大宗'!$B$101:$M$101</definedName>
    <definedName name="办公建筑类型">'比较法-办公租金'!$B$101:$M$101</definedName>
    <definedName name="办公交易情况" localSheetId="42">'比较法-办公大宗'!$A$62:$M$62</definedName>
    <definedName name="办公交易情况">'比较法-办公租金'!$A$62:$M$62</definedName>
    <definedName name="办公楼层" localSheetId="42">'比较法-办公大宗'!$B$89:$M$89</definedName>
    <definedName name="办公楼层">'比较法-办公租金'!$B$89:$M$89</definedName>
    <definedName name="办公内部装修" localSheetId="42">'比较法-办公大宗'!$B$123:$M$123</definedName>
    <definedName name="办公内部装修">'比较法-办公租金'!$B$123:$M$123</definedName>
    <definedName name="办公物业管理" localSheetId="42">'比较法-办公大宗'!$B$115:$M$115</definedName>
    <definedName name="办公物业管理">'比较法-办公租金'!$B$115:$M$115</definedName>
    <definedName name="办公用途" localSheetId="42">'比较法-办公大宗'!$B$64:$M$64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42">'比较法-办公大宗'!$B$113:$M$113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6" i="9" l="1"/>
  <c r="I37" i="81" l="1"/>
  <c r="E48" i="81"/>
  <c r="L9" i="82"/>
  <c r="E37" i="81"/>
  <c r="D105" i="81"/>
  <c r="E105" i="81" s="1"/>
  <c r="F105" i="81" s="1"/>
  <c r="G105" i="81" s="1"/>
  <c r="I48" i="81"/>
  <c r="G48" i="81"/>
  <c r="I34" i="81"/>
  <c r="G34" i="81"/>
  <c r="E34" i="81"/>
  <c r="I5" i="81"/>
  <c r="G5" i="81"/>
  <c r="E5" i="81"/>
  <c r="G32" i="82"/>
  <c r="F32" i="82"/>
  <c r="H32" i="82" s="1"/>
  <c r="N18" i="1"/>
  <c r="N20" i="1"/>
  <c r="N6" i="1" s="1"/>
  <c r="G34" i="34" l="1"/>
  <c r="E34" i="34"/>
  <c r="B131" i="81" l="1"/>
  <c r="B129" i="81"/>
  <c r="J46" i="81" s="1"/>
  <c r="B127" i="81"/>
  <c r="E126" i="81"/>
  <c r="F126" i="81" s="1"/>
  <c r="G126" i="81" s="1"/>
  <c r="D126" i="81"/>
  <c r="D124" i="81"/>
  <c r="E124" i="81" s="1"/>
  <c r="E120" i="81"/>
  <c r="F120" i="81" s="1"/>
  <c r="G120" i="81" s="1"/>
  <c r="H120" i="81" s="1"/>
  <c r="I120" i="81" s="1"/>
  <c r="J120" i="81" s="1"/>
  <c r="K120" i="81" s="1"/>
  <c r="L120" i="81" s="1"/>
  <c r="M120" i="81" s="1"/>
  <c r="D120" i="81"/>
  <c r="D118" i="81"/>
  <c r="E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F107" i="81"/>
  <c r="G107" i="81" s="1"/>
  <c r="H107" i="81" s="1"/>
  <c r="I107" i="81" s="1"/>
  <c r="J107" i="81" s="1"/>
  <c r="K107" i="81" s="1"/>
  <c r="L107" i="81" s="1"/>
  <c r="M107" i="81" s="1"/>
  <c r="D107" i="81"/>
  <c r="E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D86" i="81"/>
  <c r="E86" i="81" s="1"/>
  <c r="F86" i="81" s="1"/>
  <c r="G86" i="81" s="1"/>
  <c r="D84" i="81"/>
  <c r="E84" i="81" s="1"/>
  <c r="F84" i="81" s="1"/>
  <c r="G84" i="81" s="1"/>
  <c r="E82" i="81"/>
  <c r="F82" i="81" s="1"/>
  <c r="G82" i="81" s="1"/>
  <c r="D82" i="81"/>
  <c r="E80" i="81"/>
  <c r="F80" i="81" s="1"/>
  <c r="G80" i="81" s="1"/>
  <c r="D80" i="8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I55" i="81"/>
  <c r="J55" i="81" s="1"/>
  <c r="G55" i="81"/>
  <c r="H55" i="81" s="1"/>
  <c r="E55" i="81"/>
  <c r="F55" i="81" s="1"/>
  <c r="P50" i="81"/>
  <c r="P49" i="81"/>
  <c r="K49" i="81"/>
  <c r="V48" i="81"/>
  <c r="T48" i="81"/>
  <c r="R48" i="81"/>
  <c r="P48" i="81"/>
  <c r="Q47" i="81"/>
  <c r="Z47" i="81" s="1"/>
  <c r="J47" i="81"/>
  <c r="W47" i="81" s="1"/>
  <c r="H47" i="81"/>
  <c r="AB47" i="81" s="1"/>
  <c r="F47" i="81"/>
  <c r="AA47" i="81" s="1"/>
  <c r="Q46" i="81"/>
  <c r="Z46" i="81" s="1"/>
  <c r="H46" i="81"/>
  <c r="AB46" i="81" s="1"/>
  <c r="F46" i="81"/>
  <c r="Q45" i="81"/>
  <c r="Z45" i="81" s="1"/>
  <c r="J45" i="81"/>
  <c r="AC45" i="81" s="1"/>
  <c r="H45" i="81"/>
  <c r="AB45" i="81" s="1"/>
  <c r="F45" i="81"/>
  <c r="AA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Q39" i="81"/>
  <c r="Z39" i="81" s="1"/>
  <c r="J39" i="81"/>
  <c r="AC39" i="81" s="1"/>
  <c r="H39" i="81"/>
  <c r="AB39" i="81" s="1"/>
  <c r="F39" i="81"/>
  <c r="AA39" i="81" s="1"/>
  <c r="Q38" i="81"/>
  <c r="Z38" i="81" s="1"/>
  <c r="J38" i="81"/>
  <c r="AC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U31" i="8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H15" i="81"/>
  <c r="AB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F124" i="81" l="1"/>
  <c r="G124" i="81" s="1"/>
  <c r="H124" i="81" s="1"/>
  <c r="I124" i="81" s="1"/>
  <c r="J124" i="81" s="1"/>
  <c r="K124" i="81" s="1"/>
  <c r="L124" i="81" s="1"/>
  <c r="M124" i="81" s="1"/>
  <c r="J43" i="81"/>
  <c r="AC43" i="81" s="1"/>
  <c r="F43" i="81"/>
  <c r="AA43" i="81" s="1"/>
  <c r="H43" i="81"/>
  <c r="AB43" i="81" s="1"/>
  <c r="F118" i="81"/>
  <c r="G118" i="81" s="1"/>
  <c r="H40" i="81"/>
  <c r="AB40" i="81" s="1"/>
  <c r="J40" i="81"/>
  <c r="AC40" i="81" s="1"/>
  <c r="F40" i="81"/>
  <c r="AA40" i="81" s="1"/>
  <c r="W28" i="81"/>
  <c r="W32" i="81"/>
  <c r="U8" i="81"/>
  <c r="H38" i="81"/>
  <c r="AB38" i="81" s="1"/>
  <c r="AC47" i="81"/>
  <c r="F15" i="81"/>
  <c r="AA15" i="81" s="1"/>
  <c r="J15" i="81"/>
  <c r="AC15" i="81" s="1"/>
  <c r="AA8" i="81"/>
  <c r="AC8" i="81"/>
  <c r="U9" i="81"/>
  <c r="S10" i="81"/>
  <c r="W10" i="81"/>
  <c r="U11" i="81"/>
  <c r="S12" i="81"/>
  <c r="W12" i="81"/>
  <c r="U13" i="81"/>
  <c r="S14" i="81"/>
  <c r="W14" i="81"/>
  <c r="S15" i="81"/>
  <c r="S17" i="81"/>
  <c r="W17" i="81"/>
  <c r="S19" i="81"/>
  <c r="W19" i="81"/>
  <c r="S21" i="81"/>
  <c r="W21" i="81"/>
  <c r="S23" i="81"/>
  <c r="W23" i="81"/>
  <c r="U25" i="81"/>
  <c r="U27" i="81"/>
  <c r="S30" i="81"/>
  <c r="S9" i="81"/>
  <c r="W9" i="81"/>
  <c r="U10" i="81"/>
  <c r="S11" i="81"/>
  <c r="W11" i="81"/>
  <c r="U12" i="81"/>
  <c r="S13" i="81"/>
  <c r="W13" i="81"/>
  <c r="U14" i="81"/>
  <c r="U15" i="81"/>
  <c r="U17" i="81"/>
  <c r="U19" i="81"/>
  <c r="U21" i="81"/>
  <c r="U23" i="81"/>
  <c r="S25" i="81"/>
  <c r="W25" i="81"/>
  <c r="S28" i="81"/>
  <c r="U29" i="81"/>
  <c r="W30" i="81"/>
  <c r="S32" i="81"/>
  <c r="U33" i="81"/>
  <c r="U35" i="81"/>
  <c r="S36" i="81"/>
  <c r="W36" i="81"/>
  <c r="S38" i="81"/>
  <c r="W38" i="81"/>
  <c r="U39" i="81"/>
  <c r="S40" i="81"/>
  <c r="W40" i="81"/>
  <c r="U41" i="81"/>
  <c r="S42" i="81"/>
  <c r="W42" i="81"/>
  <c r="S44" i="81"/>
  <c r="W44" i="81"/>
  <c r="U45" i="81"/>
  <c r="AA46" i="81"/>
  <c r="S46" i="81"/>
  <c r="S47" i="81"/>
  <c r="AC46" i="81"/>
  <c r="W46" i="81"/>
  <c r="S27" i="81"/>
  <c r="W27" i="81"/>
  <c r="U28" i="81"/>
  <c r="S29" i="81"/>
  <c r="W29" i="81"/>
  <c r="U30" i="81"/>
  <c r="S31" i="81"/>
  <c r="W31" i="81"/>
  <c r="U32" i="81"/>
  <c r="S33" i="81"/>
  <c r="W33" i="81"/>
  <c r="S35" i="81"/>
  <c r="W35" i="81"/>
  <c r="U36" i="81"/>
  <c r="S39" i="81"/>
  <c r="W39" i="81"/>
  <c r="U40" i="81"/>
  <c r="S41" i="81"/>
  <c r="W41" i="81"/>
  <c r="U42" i="81"/>
  <c r="W43" i="81"/>
  <c r="U44" i="81"/>
  <c r="S45" i="81"/>
  <c r="W45" i="81"/>
  <c r="U46" i="81"/>
  <c r="U47" i="81"/>
  <c r="U43" i="81" l="1"/>
  <c r="S43" i="81"/>
  <c r="U38" i="81"/>
  <c r="W15" i="81"/>
  <c r="K21" i="9"/>
  <c r="F53" i="80" l="1"/>
  <c r="F23" i="80"/>
  <c r="A16" i="3" l="1"/>
  <c r="D14" i="9"/>
  <c r="Y6" i="1" l="1"/>
  <c r="C37" i="81" l="1"/>
  <c r="C37" i="34"/>
  <c r="D3" i="4"/>
  <c r="J37" i="81" l="1"/>
  <c r="F37" i="81"/>
  <c r="G37" i="81"/>
  <c r="H37" i="81" s="1"/>
  <c r="I37" i="34"/>
  <c r="G37" i="34"/>
  <c r="E37" i="34"/>
  <c r="G15" i="73"/>
  <c r="F15" i="73"/>
  <c r="E15" i="73"/>
  <c r="AB37" i="81" l="1"/>
  <c r="U37" i="81"/>
  <c r="S37" i="81"/>
  <c r="AA37" i="81"/>
  <c r="W37" i="81"/>
  <c r="AC37" i="8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P74" i="67"/>
  <c r="D115" i="39"/>
  <c r="E115" i="39"/>
  <c r="F115" i="39"/>
  <c r="G115" i="39"/>
  <c r="H115" i="39"/>
  <c r="I115" i="39"/>
  <c r="J115" i="39"/>
  <c r="K115" i="39"/>
  <c r="L115" i="39"/>
  <c r="M115" i="39"/>
  <c r="C115" i="39"/>
  <c r="A21" i="62"/>
  <c r="A20" i="62"/>
  <c r="A22" i="51"/>
  <c r="A21" i="51"/>
  <c r="A20" i="51"/>
  <c r="A15" i="62"/>
  <c r="A14" i="62"/>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Q35" i="71"/>
  <c r="AB35" i="71" s="1"/>
  <c r="P35" i="71"/>
  <c r="O35" i="71"/>
  <c r="Y35" i="71" s="1"/>
  <c r="Z35" i="71" s="1"/>
  <c r="N35" i="71"/>
  <c r="Q34" i="71"/>
  <c r="F35" i="71" s="1"/>
  <c r="F36" i="71" s="1"/>
  <c r="F37" i="71" s="1"/>
  <c r="V37" i="71" s="1"/>
  <c r="P34" i="71"/>
  <c r="O34" i="71"/>
  <c r="N34" i="71"/>
  <c r="B35" i="71" s="1"/>
  <c r="B36" i="71" s="1"/>
  <c r="B37" i="71" s="1"/>
  <c r="S37" i="71" s="1"/>
  <c r="D34" i="71"/>
  <c r="Q33" i="71"/>
  <c r="AB33" i="71" s="1"/>
  <c r="P33" i="71"/>
  <c r="O33" i="71"/>
  <c r="Y33" i="71" s="1"/>
  <c r="Z33" i="71" s="1"/>
  <c r="N33" i="71"/>
  <c r="Q32" i="71"/>
  <c r="AB32" i="71"/>
  <c r="P32" i="71"/>
  <c r="O32" i="71"/>
  <c r="Y32" i="71" s="1"/>
  <c r="Z32" i="71" s="1"/>
  <c r="N32" i="71"/>
  <c r="Q31" i="71"/>
  <c r="AB31" i="71" s="1"/>
  <c r="P31" i="71"/>
  <c r="AA31" i="71" s="1"/>
  <c r="O31" i="71"/>
  <c r="Y31" i="71" s="1"/>
  <c r="Z31" i="71" s="1"/>
  <c r="N31" i="71"/>
  <c r="Q30" i="71"/>
  <c r="F31" i="71" s="1"/>
  <c r="F32" i="71" s="1"/>
  <c r="F33" i="71" s="1"/>
  <c r="V33" i="71" s="1"/>
  <c r="P30" i="71"/>
  <c r="O30" i="71"/>
  <c r="N30" i="71"/>
  <c r="D30" i="71"/>
  <c r="Q29" i="71"/>
  <c r="AB29" i="71" s="1"/>
  <c r="P29" i="71"/>
  <c r="O29" i="71"/>
  <c r="Y29" i="71" s="1"/>
  <c r="Z29" i="71" s="1"/>
  <c r="N29" i="71"/>
  <c r="X28" i="71" s="1"/>
  <c r="Q28" i="71"/>
  <c r="AB28" i="71"/>
  <c r="P28" i="71"/>
  <c r="O28" i="71"/>
  <c r="Y28" i="71" s="1"/>
  <c r="Z28" i="71" s="1"/>
  <c r="N28" i="71"/>
  <c r="Q27" i="71"/>
  <c r="AB27" i="71" s="1"/>
  <c r="P27" i="71"/>
  <c r="O27" i="71"/>
  <c r="Y27" i="71" s="1"/>
  <c r="Z27" i="71" s="1"/>
  <c r="N27" i="71"/>
  <c r="X27" i="71" s="1"/>
  <c r="Q26" i="71"/>
  <c r="F27"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4" i="71"/>
  <c r="D44" i="71" s="1"/>
  <c r="D43" i="71"/>
  <c r="P25" i="71"/>
  <c r="U65" i="71"/>
  <c r="E64" i="71"/>
  <c r="Q25" i="71"/>
  <c r="AB22" i="71" s="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2" i="71"/>
  <c r="AA23" i="71"/>
  <c r="AA24" i="71"/>
  <c r="AA25" i="71"/>
  <c r="C63" i="71"/>
  <c r="O64" i="71"/>
  <c r="D64" i="71"/>
  <c r="D80" i="71"/>
  <c r="C79" i="71"/>
  <c r="D79" i="71"/>
  <c r="D72" i="71"/>
  <c r="C71" i="71"/>
  <c r="D71" i="71" s="1"/>
  <c r="D84" i="71"/>
  <c r="D76" i="71"/>
  <c r="C75" i="71"/>
  <c r="D75" i="71" s="1"/>
  <c r="D68" i="71"/>
  <c r="C67" i="71"/>
  <c r="D67" i="71"/>
  <c r="P64" i="71"/>
  <c r="E63" i="71"/>
  <c r="P62" i="71" s="1"/>
  <c r="D36" i="71"/>
  <c r="D32" i="71"/>
  <c r="C29" i="71"/>
  <c r="T29" i="71" s="1"/>
  <c r="D28" i="71"/>
  <c r="V25" i="71"/>
  <c r="O63" i="71"/>
  <c r="D63" i="71"/>
  <c r="O62" i="71"/>
  <c r="D2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S18" i="36"/>
  <c r="U18" i="36"/>
  <c r="H25" i="40"/>
  <c r="AB25" i="40" s="1"/>
  <c r="J25" i="40"/>
  <c r="AC25" i="40" s="1"/>
  <c r="H29" i="39"/>
  <c r="AB29" i="39" s="1"/>
  <c r="J29" i="39"/>
  <c r="AC29" i="39" s="1"/>
  <c r="J18" i="36"/>
  <c r="AC18" i="36" s="1"/>
  <c r="H18" i="35"/>
  <c r="AB18" i="35" s="1"/>
  <c r="S18" i="35"/>
  <c r="J18" i="35"/>
  <c r="F77" i="37"/>
  <c r="G77" i="37" s="1"/>
  <c r="H21" i="37"/>
  <c r="F21" i="37"/>
  <c r="AA21" i="37" s="1"/>
  <c r="H21" i="34"/>
  <c r="AB21" i="34" s="1"/>
  <c r="F83" i="33"/>
  <c r="H21" i="33"/>
  <c r="U21" i="33" s="1"/>
  <c r="F21" i="33"/>
  <c r="AA21" i="33" s="1"/>
  <c r="E83" i="21"/>
  <c r="F83" i="21" s="1"/>
  <c r="G83" i="21" s="1"/>
  <c r="H1" i="69"/>
  <c r="W25" i="40"/>
  <c r="U25" i="40"/>
  <c r="U29" i="39"/>
  <c r="W29" i="39"/>
  <c r="W18" i="36"/>
  <c r="AB21" i="37"/>
  <c r="U21" i="37"/>
  <c r="S21" i="37"/>
  <c r="U21" i="34"/>
  <c r="AB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3"/>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E5" i="3" s="1"/>
  <c r="BF493" i="3"/>
  <c r="BG493" i="3"/>
  <c r="BH493" i="3"/>
  <c r="BI493" i="3"/>
  <c r="BJ493" i="3"/>
  <c r="BK493" i="3"/>
  <c r="BM493" i="3"/>
  <c r="BN493" i="3"/>
  <c r="BO493" i="3"/>
  <c r="BP493" i="3"/>
  <c r="BR493" i="3"/>
  <c r="BS493" i="3"/>
  <c r="BT493" i="3"/>
  <c r="H494" i="3"/>
  <c r="AC494" i="3"/>
  <c r="BB494" i="3"/>
  <c r="BC494" i="3"/>
  <c r="BD494" i="3"/>
  <c r="BD5" i="3" s="1"/>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AZ500" i="3" s="1"/>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L543" i="3" s="1"/>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A573" i="3" s="1"/>
  <c r="BD573" i="3"/>
  <c r="BE573" i="3"/>
  <c r="BF573" i="3"/>
  <c r="BG573" i="3"/>
  <c r="BH573" i="3"/>
  <c r="BI573" i="3"/>
  <c r="BJ573" i="3"/>
  <c r="BK573" i="3"/>
  <c r="BM573" i="3"/>
  <c r="BN573" i="3"/>
  <c r="BL573" i="3" s="1"/>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G94" i="39" s="1"/>
  <c r="D92" i="39"/>
  <c r="E92" i="39" s="1"/>
  <c r="F92" i="39" s="1"/>
  <c r="G92" i="39" s="1"/>
  <c r="D90" i="39"/>
  <c r="E90" i="39" s="1"/>
  <c r="F90" i="39" s="1"/>
  <c r="G90" i="39" s="1"/>
  <c r="D88" i="39"/>
  <c r="E88" i="39"/>
  <c r="F88" i="39" s="1"/>
  <c r="G88" i="39" s="1"/>
  <c r="B85" i="39"/>
  <c r="B83" i="39"/>
  <c r="J13" i="39" s="1"/>
  <c r="W13" i="39" s="1"/>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c r="G64" i="36" s="1"/>
  <c r="J16" i="36"/>
  <c r="W16" i="36" s="1"/>
  <c r="D62" i="36"/>
  <c r="E62" i="36" s="1"/>
  <c r="F62" i="36" s="1"/>
  <c r="G62" i="36" s="1"/>
  <c r="B59" i="36"/>
  <c r="F13" i="36" s="1"/>
  <c r="S13" i="36" s="1"/>
  <c r="B57" i="36"/>
  <c r="J12" i="36"/>
  <c r="W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H31" i="34" s="1"/>
  <c r="B95" i="34"/>
  <c r="B93" i="34"/>
  <c r="J29" i="34" s="1"/>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c r="J14" i="35"/>
  <c r="W14" i="35"/>
  <c r="F56" i="35"/>
  <c r="G56" i="35"/>
  <c r="H56" i="35" s="1"/>
  <c r="I56" i="35" s="1"/>
  <c r="C53" i="35"/>
  <c r="J9" i="35"/>
  <c r="AC9" i="35" s="1"/>
  <c r="P39" i="35"/>
  <c r="P38" i="35"/>
  <c r="V37" i="35"/>
  <c r="T37" i="35"/>
  <c r="R37" i="35"/>
  <c r="P37" i="35"/>
  <c r="Q36" i="35"/>
  <c r="Z36" i="35"/>
  <c r="Q35" i="35"/>
  <c r="Z35" i="35"/>
  <c r="Q34" i="35"/>
  <c r="Z34" i="35"/>
  <c r="F34" i="35"/>
  <c r="AA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J46" i="21" s="1"/>
  <c r="B128" i="21"/>
  <c r="J45" i="21"/>
  <c r="W45" i="21" s="1"/>
  <c r="B126" i="21"/>
  <c r="B98"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J45" i="39"/>
  <c r="J44" i="39"/>
  <c r="AC44" i="39" s="1"/>
  <c r="F36" i="39"/>
  <c r="H36" i="39"/>
  <c r="AB36" i="39" s="1"/>
  <c r="J35" i="39"/>
  <c r="AC35" i="39" s="1"/>
  <c r="F35" i="39"/>
  <c r="AA35" i="39" s="1"/>
  <c r="J36" i="39"/>
  <c r="U9" i="39"/>
  <c r="W40" i="39"/>
  <c r="U30" i="37"/>
  <c r="W31" i="37"/>
  <c r="E103" i="37"/>
  <c r="F103" i="37" s="1"/>
  <c r="G103" i="37" s="1"/>
  <c r="H103" i="37" s="1"/>
  <c r="I103" i="37" s="1"/>
  <c r="J103" i="37" s="1"/>
  <c r="K103" i="37" s="1"/>
  <c r="L103" i="37" s="1"/>
  <c r="M103" i="37" s="1"/>
  <c r="F39" i="37"/>
  <c r="S39" i="37" s="1"/>
  <c r="U14" i="37"/>
  <c r="F29" i="36"/>
  <c r="AA29" i="36" s="1"/>
  <c r="W8" i="36"/>
  <c r="F16" i="36"/>
  <c r="AA16" i="36" s="1"/>
  <c r="U9" i="36"/>
  <c r="S30" i="36"/>
  <c r="AA31" i="36"/>
  <c r="AC31" i="36"/>
  <c r="U31" i="36"/>
  <c r="J33" i="36"/>
  <c r="W33" i="36"/>
  <c r="H22" i="35"/>
  <c r="AB22" i="35"/>
  <c r="AC27" i="35"/>
  <c r="W28" i="35"/>
  <c r="S34" i="35"/>
  <c r="W22" i="35"/>
  <c r="S31" i="35"/>
  <c r="F36" i="34"/>
  <c r="S36" i="34" s="1"/>
  <c r="J35" i="34"/>
  <c r="W35" i="34" s="1"/>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c r="S40" i="21"/>
  <c r="U34" i="21"/>
  <c r="S34" i="21"/>
  <c r="C25" i="39"/>
  <c r="C27" i="39"/>
  <c r="C21" i="39"/>
  <c r="H11" i="39"/>
  <c r="C15" i="39"/>
  <c r="H32" i="33"/>
  <c r="AB32" i="33" s="1"/>
  <c r="H11" i="21"/>
  <c r="U11" i="21" s="1"/>
  <c r="J11" i="21"/>
  <c r="W11" i="21" s="1"/>
  <c r="H37" i="40"/>
  <c r="U37" i="40" s="1"/>
  <c r="H36" i="40"/>
  <c r="F35" i="40"/>
  <c r="AA35" i="40" s="1"/>
  <c r="H23" i="40"/>
  <c r="AB23" i="40" s="1"/>
  <c r="H17" i="40"/>
  <c r="U17" i="40" s="1"/>
  <c r="J15" i="40"/>
  <c r="W15" i="40" s="1"/>
  <c r="J11" i="40"/>
  <c r="W11" i="40" s="1"/>
  <c r="AC12" i="34"/>
  <c r="AB12" i="35"/>
  <c r="AB12" i="36"/>
  <c r="F37" i="39"/>
  <c r="AA37" i="39" s="1"/>
  <c r="J34" i="36"/>
  <c r="U30" i="36"/>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34" i="36"/>
  <c r="S34" i="36"/>
  <c r="S10" i="36"/>
  <c r="AB8" i="36"/>
  <c r="S8" i="36"/>
  <c r="U8" i="35"/>
  <c r="F14" i="35"/>
  <c r="AA14" i="35"/>
  <c r="F23" i="35"/>
  <c r="AA23"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U42" i="34"/>
  <c r="E114" i="34"/>
  <c r="F114" i="34" s="1"/>
  <c r="H36" i="34"/>
  <c r="U36" i="34" s="1"/>
  <c r="F28" i="34"/>
  <c r="F27" i="34"/>
  <c r="AA27" i="34" s="1"/>
  <c r="F25" i="34"/>
  <c r="S25" i="34" s="1"/>
  <c r="H23" i="34"/>
  <c r="U23" i="34" s="1"/>
  <c r="J23" i="34"/>
  <c r="W23" i="34" s="1"/>
  <c r="S9" i="34"/>
  <c r="F41" i="33"/>
  <c r="AA41" i="33" s="1"/>
  <c r="S38" i="33"/>
  <c r="E113" i="33"/>
  <c r="F32" i="33"/>
  <c r="AA32" i="33" s="1"/>
  <c r="J19" i="33"/>
  <c r="AC19" i="33" s="1"/>
  <c r="J15" i="33"/>
  <c r="AC15" i="33" s="1"/>
  <c r="F11" i="33"/>
  <c r="AA11" i="33" s="1"/>
  <c r="S26" i="33"/>
  <c r="U40" i="33"/>
  <c r="U8" i="33"/>
  <c r="S8" i="33"/>
  <c r="F37" i="40"/>
  <c r="AA37" i="40"/>
  <c r="F36" i="40"/>
  <c r="AA36" i="40"/>
  <c r="H28" i="40"/>
  <c r="U28" i="40"/>
  <c r="F23" i="40"/>
  <c r="AA23" i="40"/>
  <c r="F17" i="40"/>
  <c r="AA17" i="40"/>
  <c r="J17" i="40"/>
  <c r="W17" i="40"/>
  <c r="F15" i="40"/>
  <c r="S15" i="40"/>
  <c r="H15" i="40"/>
  <c r="AB15" i="40"/>
  <c r="AC11" i="40"/>
  <c r="AB30" i="36"/>
  <c r="F29" i="35"/>
  <c r="S29" i="35" s="1"/>
  <c r="H29" i="35"/>
  <c r="AB29" i="35" s="1"/>
  <c r="H33" i="37"/>
  <c r="AB33" i="37" s="1"/>
  <c r="F33" i="37"/>
  <c r="AA33" i="37" s="1"/>
  <c r="U34" i="37"/>
  <c r="S34" i="37"/>
  <c r="AA34" i="37"/>
  <c r="AB42" i="34"/>
  <c r="G114" i="34"/>
  <c r="H114" i="34" s="1"/>
  <c r="I114" i="34" s="1"/>
  <c r="J114" i="34" s="1"/>
  <c r="K114" i="34" s="1"/>
  <c r="L114" i="34" s="1"/>
  <c r="M114" i="34" s="1"/>
  <c r="H38" i="34"/>
  <c r="AB38" i="34"/>
  <c r="J36" i="34"/>
  <c r="W36" i="34"/>
  <c r="H25" i="34"/>
  <c r="AB25" i="34"/>
  <c r="J25" i="34"/>
  <c r="AC25" i="34"/>
  <c r="F23" i="34"/>
  <c r="AA23" i="34" s="1"/>
  <c r="J19" i="34"/>
  <c r="AC19" i="34" s="1"/>
  <c r="F113" i="33"/>
  <c r="G113" i="33" s="1"/>
  <c r="H113" i="33" s="1"/>
  <c r="I113" i="33" s="1"/>
  <c r="J113" i="33" s="1"/>
  <c r="K113" i="33" s="1"/>
  <c r="L113" i="33" s="1"/>
  <c r="M113" i="33" s="1"/>
  <c r="H37" i="33"/>
  <c r="AB37" i="33" s="1"/>
  <c r="H15" i="33"/>
  <c r="AB15" i="33" s="1"/>
  <c r="H11" i="33"/>
  <c r="F28" i="40"/>
  <c r="AA28" i="40" s="1"/>
  <c r="AA29" i="35"/>
  <c r="AA42" i="34"/>
  <c r="S42" i="34"/>
  <c r="AC38" i="34"/>
  <c r="AA38" i="34"/>
  <c r="J11" i="33"/>
  <c r="W11" i="33"/>
  <c r="U23" i="40"/>
  <c r="J42" i="21"/>
  <c r="AC42" i="21" s="1"/>
  <c r="H42" i="21"/>
  <c r="U42" i="21"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c r="J30" i="34"/>
  <c r="W30" i="34"/>
  <c r="H32" i="34"/>
  <c r="F32" i="34"/>
  <c r="AA32" i="34" s="1"/>
  <c r="J32" i="34"/>
  <c r="W32" i="34"/>
  <c r="H46" i="34"/>
  <c r="U46" i="34" s="1"/>
  <c r="F46" i="34"/>
  <c r="S46" i="34" s="1"/>
  <c r="J46" i="34"/>
  <c r="H11" i="35"/>
  <c r="J11" i="35"/>
  <c r="F11" i="35"/>
  <c r="S11" i="35" s="1"/>
  <c r="J26" i="36"/>
  <c r="W26" i="36" s="1"/>
  <c r="H28" i="36"/>
  <c r="U28" i="36" s="1"/>
  <c r="H32" i="36"/>
  <c r="AB32" i="36" s="1"/>
  <c r="J32" i="36"/>
  <c r="J11" i="36"/>
  <c r="AC11" i="36" s="1"/>
  <c r="H11" i="36"/>
  <c r="U11" i="36" s="1"/>
  <c r="F11" i="36"/>
  <c r="H13" i="36"/>
  <c r="AB13" i="36" s="1"/>
  <c r="J13" i="36"/>
  <c r="AC13" i="36" s="1"/>
  <c r="E89" i="37"/>
  <c r="F89" i="37" s="1"/>
  <c r="G89" i="37" s="1"/>
  <c r="H89" i="37" s="1"/>
  <c r="I89" i="37" s="1"/>
  <c r="J89" i="37" s="1"/>
  <c r="K89" i="37" s="1"/>
  <c r="L89" i="37" s="1"/>
  <c r="M89" i="37" s="1"/>
  <c r="J29" i="37"/>
  <c r="W29" i="37"/>
  <c r="F29" i="37"/>
  <c r="S29" i="37"/>
  <c r="F105" i="37"/>
  <c r="H36" i="37"/>
  <c r="AB36" i="37" s="1"/>
  <c r="F107" i="37"/>
  <c r="J37" i="37"/>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s="1"/>
  <c r="J13" i="34"/>
  <c r="W13" i="34" s="1"/>
  <c r="F13" i="34"/>
  <c r="AA13" i="34" s="1"/>
  <c r="F29" i="34"/>
  <c r="S29" i="34" s="1"/>
  <c r="J31" i="34"/>
  <c r="AC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H14" i="40"/>
  <c r="AB14" i="40" s="1"/>
  <c r="J14" i="40"/>
  <c r="W14" i="40" s="1"/>
  <c r="F14" i="40"/>
  <c r="AA14" i="40" s="1"/>
  <c r="J14" i="37"/>
  <c r="AC14" i="37" s="1"/>
  <c r="J27" i="37"/>
  <c r="AC27" i="37" s="1"/>
  <c r="AA44" i="33"/>
  <c r="U46" i="33"/>
  <c r="AA14" i="33"/>
  <c r="J36" i="37"/>
  <c r="AC36" i="37"/>
  <c r="G105" i="37"/>
  <c r="AB11" i="36"/>
  <c r="J10" i="36"/>
  <c r="AC10" i="36" s="1"/>
  <c r="W13" i="36"/>
  <c r="AB46" i="34"/>
  <c r="AC30" i="34"/>
  <c r="AA14" i="34"/>
  <c r="S45" i="33"/>
  <c r="AB45" i="33"/>
  <c r="AB31" i="33"/>
  <c r="U31" i="33"/>
  <c r="W29" i="33"/>
  <c r="U13" i="33"/>
  <c r="AC28" i="21"/>
  <c r="BA586" i="3"/>
  <c r="BA585" i="3"/>
  <c r="F17" i="21"/>
  <c r="AA17" i="21" s="1"/>
  <c r="H17" i="21"/>
  <c r="AB17" i="21" s="1"/>
  <c r="F15" i="21"/>
  <c r="S15" i="21" s="1"/>
  <c r="AB11" i="21"/>
  <c r="J41" i="39"/>
  <c r="W41" i="39" s="1"/>
  <c r="W44" i="39"/>
  <c r="W35" i="39"/>
  <c r="U36" i="39"/>
  <c r="S35" i="39"/>
  <c r="G535" i="3"/>
  <c r="G527" i="3"/>
  <c r="G510" i="3"/>
  <c r="G496" i="3"/>
  <c r="G584" i="3"/>
  <c r="G580" i="3"/>
  <c r="G564" i="3"/>
  <c r="G560" i="3"/>
  <c r="G554" i="3"/>
  <c r="BL584" i="3"/>
  <c r="BL576" i="3"/>
  <c r="BL564" i="3"/>
  <c r="BL560" i="3"/>
  <c r="BL554" i="3"/>
  <c r="BL538" i="3"/>
  <c r="BL522" i="3"/>
  <c r="BL502" i="3"/>
  <c r="BL582" i="3"/>
  <c r="BL570" i="3"/>
  <c r="BL562" i="3"/>
  <c r="BL556" i="3"/>
  <c r="BL552" i="3"/>
  <c r="BL540" i="3"/>
  <c r="G529" i="3"/>
  <c r="BL518" i="3"/>
  <c r="BL500" i="3"/>
  <c r="BA584" i="3"/>
  <c r="BA582" i="3"/>
  <c r="AZ582" i="3" s="1"/>
  <c r="BA580" i="3"/>
  <c r="BA576" i="3"/>
  <c r="AZ576" i="3" s="1"/>
  <c r="BA572" i="3"/>
  <c r="BA568" i="3"/>
  <c r="BA564" i="3"/>
  <c r="AZ564" i="3" s="1"/>
  <c r="BA562" i="3"/>
  <c r="AZ562" i="3" s="1"/>
  <c r="BA560" i="3"/>
  <c r="AZ560" i="3" s="1"/>
  <c r="BA558" i="3"/>
  <c r="BA556" i="3"/>
  <c r="AZ556" i="3" s="1"/>
  <c r="BA554" i="3"/>
  <c r="AZ554" i="3" s="1"/>
  <c r="BA552" i="3"/>
  <c r="AZ552" i="3" s="1"/>
  <c r="BA542" i="3"/>
  <c r="BA534" i="3"/>
  <c r="BA512" i="3"/>
  <c r="BA504" i="3"/>
  <c r="BA496" i="3"/>
  <c r="BA587" i="3"/>
  <c r="AZ587" i="3" s="1"/>
  <c r="BA583" i="3"/>
  <c r="BA577" i="3"/>
  <c r="BA569" i="3"/>
  <c r="BA565" i="3"/>
  <c r="BA563" i="3"/>
  <c r="BA561" i="3"/>
  <c r="BA559" i="3"/>
  <c r="BA555" i="3"/>
  <c r="BA553" i="3"/>
  <c r="BA545" i="3"/>
  <c r="BA537" i="3"/>
  <c r="BA529" i="3"/>
  <c r="BA519" i="3"/>
  <c r="BA511" i="3"/>
  <c r="BA501" i="3"/>
  <c r="BA493" i="3"/>
  <c r="G583" i="3"/>
  <c r="G579" i="3"/>
  <c r="G571" i="3"/>
  <c r="G565" i="3"/>
  <c r="G563" i="3"/>
  <c r="G561" i="3"/>
  <c r="BL558" i="3"/>
  <c r="BA557" i="3"/>
  <c r="AC557" i="3"/>
  <c r="G557" i="3" s="1"/>
  <c r="BQ557" i="3"/>
  <c r="BL557" i="3" s="1"/>
  <c r="AZ557" i="3" s="1"/>
  <c r="BQ583" i="3"/>
  <c r="BL583" i="3" s="1"/>
  <c r="BQ581" i="3"/>
  <c r="BL581" i="3" s="1"/>
  <c r="BQ579" i="3"/>
  <c r="BQ577" i="3"/>
  <c r="BQ575" i="3"/>
  <c r="BQ573" i="3"/>
  <c r="BQ571" i="3"/>
  <c r="BQ569" i="3"/>
  <c r="BQ567" i="3"/>
  <c r="BL567" i="3" s="1"/>
  <c r="BQ565" i="3"/>
  <c r="BL565" i="3"/>
  <c r="BQ563" i="3"/>
  <c r="BL563" i="3" s="1"/>
  <c r="AZ563" i="3" s="1"/>
  <c r="BQ561" i="3"/>
  <c r="BL561" i="3" s="1"/>
  <c r="AZ561" i="3" s="1"/>
  <c r="BQ559" i="3"/>
  <c r="BL559" i="3"/>
  <c r="AZ559" i="3" s="1"/>
  <c r="G559" i="3"/>
  <c r="G555" i="3"/>
  <c r="G553" i="3"/>
  <c r="G549" i="3"/>
  <c r="G541" i="3"/>
  <c r="BQ555" i="3"/>
  <c r="BL555" i="3" s="1"/>
  <c r="BQ553" i="3"/>
  <c r="BL553" i="3" s="1"/>
  <c r="AZ553" i="3" s="1"/>
  <c r="BQ551" i="3"/>
  <c r="BL551" i="3" s="1"/>
  <c r="BQ549" i="3"/>
  <c r="BQ547" i="3"/>
  <c r="BQ545" i="3"/>
  <c r="BQ543" i="3"/>
  <c r="BQ541" i="3"/>
  <c r="BQ539" i="3"/>
  <c r="BQ537" i="3"/>
  <c r="BL537" i="3" s="1"/>
  <c r="AZ537" i="3" s="1"/>
  <c r="BQ535" i="3"/>
  <c r="BL535" i="3"/>
  <c r="BQ533" i="3"/>
  <c r="BQ531" i="3"/>
  <c r="BQ529" i="3"/>
  <c r="BQ527" i="3"/>
  <c r="BQ525" i="3"/>
  <c r="BQ523" i="3"/>
  <c r="BA521" i="3"/>
  <c r="AC521" i="3"/>
  <c r="BQ521" i="3"/>
  <c r="BL521" i="3" s="1"/>
  <c r="G515" i="3"/>
  <c r="BQ519" i="3"/>
  <c r="BQ517" i="3"/>
  <c r="BQ515" i="3"/>
  <c r="BQ513" i="3"/>
  <c r="BL513" i="3" s="1"/>
  <c r="BQ511" i="3"/>
  <c r="BL511" i="3"/>
  <c r="AC509" i="3"/>
  <c r="BQ509" i="3"/>
  <c r="G505" i="3"/>
  <c r="G497" i="3"/>
  <c r="BQ507" i="3"/>
  <c r="BQ505" i="3"/>
  <c r="BL505" i="3" s="1"/>
  <c r="BQ503" i="3"/>
  <c r="BL503" i="3"/>
  <c r="BQ501" i="3"/>
  <c r="BQ499" i="3"/>
  <c r="BL499" i="3" s="1"/>
  <c r="BQ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c r="H17" i="37"/>
  <c r="U17" i="37"/>
  <c r="AB27" i="37"/>
  <c r="U32" i="33"/>
  <c r="F39" i="33"/>
  <c r="AA39" i="33" s="1"/>
  <c r="F42" i="33"/>
  <c r="AA42" i="33" s="1"/>
  <c r="H28" i="34"/>
  <c r="AB28" i="34" s="1"/>
  <c r="F14" i="36"/>
  <c r="AA14" i="36"/>
  <c r="F22" i="36"/>
  <c r="S22" i="36"/>
  <c r="F26" i="36"/>
  <c r="S26" i="36"/>
  <c r="H27" i="34"/>
  <c r="AB27" i="34" s="1"/>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J36" i="40"/>
  <c r="W36" i="40"/>
  <c r="AA41" i="34"/>
  <c r="H19" i="37"/>
  <c r="AB19" i="37" s="1"/>
  <c r="H42" i="33"/>
  <c r="AB42" i="33" s="1"/>
  <c r="J43" i="33"/>
  <c r="AC43" i="33" s="1"/>
  <c r="U43" i="33"/>
  <c r="S28" i="31"/>
  <c r="S27" i="31"/>
  <c r="S26" i="31"/>
  <c r="U14" i="40"/>
  <c r="AC33" i="36"/>
  <c r="U35" i="35"/>
  <c r="AA12" i="35"/>
  <c r="W23" i="35"/>
  <c r="W14" i="37"/>
  <c r="U33" i="37"/>
  <c r="U39" i="37"/>
  <c r="W26" i="37"/>
  <c r="AC8" i="37"/>
  <c r="U26" i="37"/>
  <c r="AC36" i="34"/>
  <c r="AA13" i="33"/>
  <c r="AC31" i="33"/>
  <c r="AC45" i="33"/>
  <c r="W44" i="33"/>
  <c r="U19" i="21"/>
  <c r="W44" i="21"/>
  <c r="U26" i="21"/>
  <c r="U12" i="21"/>
  <c r="AB38" i="21"/>
  <c r="F43" i="33"/>
  <c r="AA43" i="33" s="1"/>
  <c r="W16" i="35"/>
  <c r="G107" i="37"/>
  <c r="H107" i="37" s="1"/>
  <c r="I107" i="37" s="1"/>
  <c r="J107" i="37" s="1"/>
  <c r="K107" i="37" s="1"/>
  <c r="L107" i="37" s="1"/>
  <c r="M107" i="37" s="1"/>
  <c r="H37" i="21"/>
  <c r="U37" i="21" s="1"/>
  <c r="S42" i="21"/>
  <c r="F36" i="35"/>
  <c r="S36" i="35" s="1"/>
  <c r="H9" i="37"/>
  <c r="AB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W2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AZ144" i="3" s="1"/>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G173" i="3"/>
  <c r="BA175" i="3"/>
  <c r="AZ175" i="3" s="1"/>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51" i="3"/>
  <c r="AZ59" i="3"/>
  <c r="AZ63" i="3"/>
  <c r="AZ75" i="3"/>
  <c r="AZ79" i="3"/>
  <c r="AZ136" i="3"/>
  <c r="AZ160" i="3"/>
  <c r="AZ168" i="3"/>
  <c r="AZ176" i="3"/>
  <c r="AZ192" i="3"/>
  <c r="AZ101" i="3"/>
  <c r="G51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AZ390" i="3" s="1"/>
  <c r="BL390" i="3"/>
  <c r="G391" i="3"/>
  <c r="G394" i="3"/>
  <c r="AZ142" i="3"/>
  <c r="AZ150" i="3"/>
  <c r="AZ154" i="3"/>
  <c r="AZ158" i="3"/>
  <c r="AZ166" i="3"/>
  <c r="AZ174" i="3"/>
  <c r="AZ186" i="3"/>
  <c r="AZ202" i="3"/>
  <c r="AZ206" i="3"/>
  <c r="BA16" i="3"/>
  <c r="AZ16" i="3" s="1"/>
  <c r="BL303" i="3"/>
  <c r="AZ303" i="3" s="1"/>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G340" i="3"/>
  <c r="BL343" i="3"/>
  <c r="G344" i="3"/>
  <c r="G348" i="3"/>
  <c r="G355" i="3"/>
  <c r="AZ209" i="3"/>
  <c r="AZ218" i="3"/>
  <c r="AZ222" i="3"/>
  <c r="G342" i="3"/>
  <c r="BL345" i="3"/>
  <c r="AZ345" i="3" s="1"/>
  <c r="G346" i="3"/>
  <c r="AZ348" i="3"/>
  <c r="BL349" i="3"/>
  <c r="AZ349" i="3" s="1"/>
  <c r="BL352" i="3"/>
  <c r="G353" i="3"/>
  <c r="BA357" i="3"/>
  <c r="BL358" i="3"/>
  <c r="AZ358" i="3" s="1"/>
  <c r="G359" i="3"/>
  <c r="BA361" i="3"/>
  <c r="AZ361" i="3" s="1"/>
  <c r="BL362" i="3"/>
  <c r="G363" i="3"/>
  <c r="BA365" i="3"/>
  <c r="AZ365" i="3" s="1"/>
  <c r="BL366" i="3"/>
  <c r="AZ366" i="3" s="1"/>
  <c r="G367" i="3"/>
  <c r="BA369" i="3"/>
  <c r="BL370" i="3"/>
  <c r="AZ370" i="3" s="1"/>
  <c r="G371" i="3"/>
  <c r="BA373" i="3"/>
  <c r="AZ373" i="3" s="1"/>
  <c r="BL374" i="3"/>
  <c r="AZ374" i="3" s="1"/>
  <c r="G375" i="3"/>
  <c r="BA377" i="3"/>
  <c r="AZ229" i="3"/>
  <c r="AZ237" i="3"/>
  <c r="AZ241" i="3"/>
  <c r="AZ245" i="3"/>
  <c r="AZ249" i="3"/>
  <c r="AZ253" i="3"/>
  <c r="AZ257" i="3"/>
  <c r="AZ265" i="3"/>
  <c r="BA379" i="3"/>
  <c r="AZ379" i="3" s="1"/>
  <c r="BL380" i="3"/>
  <c r="AZ380" i="3" s="1"/>
  <c r="G381" i="3"/>
  <c r="BA383" i="3"/>
  <c r="AZ383" i="3" s="1"/>
  <c r="BL384" i="3"/>
  <c r="AZ384" i="3" s="1"/>
  <c r="G385" i="3"/>
  <c r="BA387" i="3"/>
  <c r="BL388" i="3"/>
  <c r="G389" i="3"/>
  <c r="BA391" i="3"/>
  <c r="AZ391" i="3" s="1"/>
  <c r="BL392" i="3"/>
  <c r="AZ392" i="3" s="1"/>
  <c r="G393" i="3"/>
  <c r="AZ287" i="3"/>
  <c r="AZ317" i="3"/>
  <c r="G538" i="3"/>
  <c r="AZ343" i="3"/>
  <c r="G17" i="3"/>
  <c r="BA17" i="3"/>
  <c r="AZ350" i="3"/>
  <c r="AZ352" i="3"/>
  <c r="AZ368" i="3"/>
  <c r="BA15" i="3"/>
  <c r="BR5" i="3"/>
  <c r="AZ388" i="3"/>
  <c r="AZ396" i="3"/>
  <c r="G509" i="3"/>
  <c r="AZ491" i="3"/>
  <c r="F36" i="43"/>
  <c r="F81" i="43"/>
  <c r="H83" i="43"/>
  <c r="H113" i="43"/>
  <c r="F48" i="43"/>
  <c r="F70" i="43"/>
  <c r="H73" i="43" s="1"/>
  <c r="M11" i="43"/>
  <c r="D17" i="43"/>
  <c r="F39" i="43"/>
  <c r="I17" i="43"/>
  <c r="F35" i="43"/>
  <c r="J17" i="43"/>
  <c r="F6" i="1"/>
  <c r="S14" i="35"/>
  <c r="U43" i="21"/>
  <c r="U35" i="21"/>
  <c r="AC35" i="21"/>
  <c r="U10" i="21"/>
  <c r="G9" i="1"/>
  <c r="AC11" i="39"/>
  <c r="S15" i="37"/>
  <c r="U13" i="37"/>
  <c r="U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S10" i="33" s="1"/>
  <c r="F34" i="33"/>
  <c r="S34" i="33" s="1"/>
  <c r="H34" i="33"/>
  <c r="U34" i="33" s="1"/>
  <c r="F35" i="33"/>
  <c r="S35" i="33" s="1"/>
  <c r="J39" i="34"/>
  <c r="W39" i="34" s="1"/>
  <c r="F40" i="34"/>
  <c r="S40" i="34" s="1"/>
  <c r="AC38" i="39"/>
  <c r="F39" i="39"/>
  <c r="S39" i="39" s="1"/>
  <c r="J39" i="39"/>
  <c r="AC39" i="39" s="1"/>
  <c r="AZ353" i="3"/>
  <c r="AZ354" i="3"/>
  <c r="AZ227" i="3"/>
  <c r="AZ240" i="3"/>
  <c r="AZ243" i="3"/>
  <c r="AZ248" i="3"/>
  <c r="AZ256" i="3"/>
  <c r="AZ268" i="3"/>
  <c r="AZ280" i="3"/>
  <c r="AZ288" i="3"/>
  <c r="AZ296" i="3"/>
  <c r="AZ114" i="3"/>
  <c r="AZ130" i="3"/>
  <c r="AZ42" i="3"/>
  <c r="AZ61" i="3"/>
  <c r="AZ66" i="3"/>
  <c r="AZ72" i="3"/>
  <c r="AZ74" i="3"/>
  <c r="AZ77" i="3"/>
  <c r="AZ82" i="3"/>
  <c r="AZ86" i="3"/>
  <c r="AZ94" i="3"/>
  <c r="AZ102"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AC26" i="33"/>
  <c r="W26" i="33"/>
  <c r="W27" i="34"/>
  <c r="AC27" i="34"/>
  <c r="AB34" i="36"/>
  <c r="U34" i="36"/>
  <c r="AB33" i="36"/>
  <c r="U33" i="36"/>
  <c r="AA32" i="36"/>
  <c r="AZ408" i="3"/>
  <c r="AZ437" i="3"/>
  <c r="AZ441" i="3"/>
  <c r="AZ490" i="3"/>
  <c r="BL14" i="3"/>
  <c r="AZ266" i="3"/>
  <c r="U30" i="33"/>
  <c r="AA47" i="34"/>
  <c r="W28" i="37"/>
  <c r="S19" i="39"/>
  <c r="F12" i="33"/>
  <c r="H12" i="39"/>
  <c r="AB12" i="39" s="1"/>
  <c r="F39" i="40"/>
  <c r="BA14" i="3"/>
  <c r="AZ14" i="3" s="1"/>
  <c r="AZ224" i="3"/>
  <c r="AZ238" i="3"/>
  <c r="AZ286" i="3"/>
  <c r="AZ149" i="3"/>
  <c r="AZ165" i="3"/>
  <c r="AZ173" i="3"/>
  <c r="AZ181" i="3"/>
  <c r="AZ197" i="3"/>
  <c r="S12" i="1"/>
  <c r="AR12" i="1" s="1"/>
  <c r="R12" i="1"/>
  <c r="B12" i="1"/>
  <c r="E12" i="1"/>
  <c r="S10" i="1"/>
  <c r="AQ10" i="1" s="1"/>
  <c r="R10" i="1"/>
  <c r="B10" i="1"/>
  <c r="E10" i="1" s="1"/>
  <c r="AZ80" i="3"/>
  <c r="AZ84" i="3"/>
  <c r="K12" i="1"/>
  <c r="M12" i="1" s="1"/>
  <c r="O12" i="1" s="1"/>
  <c r="P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S17" i="40"/>
  <c r="S23" i="40"/>
  <c r="AC17" i="40"/>
  <c r="AC15" i="40"/>
  <c r="AB27" i="40"/>
  <c r="AA19" i="40"/>
  <c r="S28" i="40"/>
  <c r="AA27" i="40"/>
  <c r="U21" i="40"/>
  <c r="AB19" i="40"/>
  <c r="U37" i="39"/>
  <c r="S37" i="39"/>
  <c r="F32" i="39"/>
  <c r="U25" i="39"/>
  <c r="AB27" i="39"/>
  <c r="U31" i="39"/>
  <c r="J21" i="39"/>
  <c r="W21" i="39" s="1"/>
  <c r="F21" i="39"/>
  <c r="H21" i="39"/>
  <c r="W19" i="39"/>
  <c r="U19" i="39"/>
  <c r="S17" i="39"/>
  <c r="S15" i="39"/>
  <c r="S9" i="39"/>
  <c r="U14" i="39"/>
  <c r="AC13" i="39"/>
  <c r="U12" i="39"/>
  <c r="S23" i="36"/>
  <c r="U13" i="36"/>
  <c r="AC27" i="36"/>
  <c r="AB27" i="36"/>
  <c r="U26" i="36"/>
  <c r="S33" i="36"/>
  <c r="AA26" i="36"/>
  <c r="AA34" i="36"/>
  <c r="S29" i="36"/>
  <c r="AA22" i="36"/>
  <c r="W14" i="36"/>
  <c r="AB14" i="36"/>
  <c r="U22" i="36"/>
  <c r="S16" i="36"/>
  <c r="AA25" i="36"/>
  <c r="U24" i="36"/>
  <c r="U23" i="36"/>
  <c r="AB20" i="36"/>
  <c r="U16" i="36"/>
  <c r="S14" i="36"/>
  <c r="U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W9" i="35"/>
  <c r="AC12" i="35"/>
  <c r="W13" i="35"/>
  <c r="F9" i="35"/>
  <c r="H9" i="35"/>
  <c r="J26" i="35"/>
  <c r="AB40" i="37"/>
  <c r="W27" i="37"/>
  <c r="S26" i="37"/>
  <c r="AC29" i="37"/>
  <c r="U29" i="37"/>
  <c r="W30" i="37"/>
  <c r="S36" i="37"/>
  <c r="AA38" i="37"/>
  <c r="W38" i="37"/>
  <c r="AC35" i="37"/>
  <c r="W39" i="37"/>
  <c r="S30" i="37"/>
  <c r="S37" i="37"/>
  <c r="AC15" i="37"/>
  <c r="J17" i="37"/>
  <c r="W17" i="37" s="1"/>
  <c r="G73" i="37"/>
  <c r="F17" i="37"/>
  <c r="AA17" i="37" s="1"/>
  <c r="AB17" i="37"/>
  <c r="F75" i="37"/>
  <c r="F19" i="37"/>
  <c r="F79" i="37"/>
  <c r="F23" i="37"/>
  <c r="S23" i="37" s="1"/>
  <c r="U23" i="37"/>
  <c r="U15" i="37"/>
  <c r="AC13" i="37"/>
  <c r="U9" i="37"/>
  <c r="AA12" i="37"/>
  <c r="H10" i="37"/>
  <c r="H60" i="37"/>
  <c r="F63" i="37"/>
  <c r="F11" i="37"/>
  <c r="S11" i="37" s="1"/>
  <c r="S27" i="34"/>
  <c r="W25" i="34"/>
  <c r="AC39" i="34"/>
  <c r="W41" i="34"/>
  <c r="AC42" i="34"/>
  <c r="AB41" i="34"/>
  <c r="AA45" i="34"/>
  <c r="U28" i="34"/>
  <c r="U27" i="34"/>
  <c r="S23" i="34"/>
  <c r="S10" i="34"/>
  <c r="H67" i="34"/>
  <c r="H10" i="34"/>
  <c r="F11" i="34"/>
  <c r="S11" i="34" s="1"/>
  <c r="W42" i="33"/>
  <c r="AA35" i="33"/>
  <c r="S27" i="33"/>
  <c r="S32" i="33"/>
  <c r="AA29" i="33"/>
  <c r="AB29" i="33"/>
  <c r="W38" i="33"/>
  <c r="H41" i="33"/>
  <c r="F121" i="33"/>
  <c r="G121" i="33"/>
  <c r="H121" i="33" s="1"/>
  <c r="I121" i="33" s="1"/>
  <c r="J121" i="33" s="1"/>
  <c r="K121" i="33" s="1"/>
  <c r="L121" i="33" s="1"/>
  <c r="M121" i="33" s="1"/>
  <c r="S42" i="33"/>
  <c r="F36" i="33"/>
  <c r="G111" i="33"/>
  <c r="J35" i="33"/>
  <c r="S37" i="33"/>
  <c r="AA37" i="33"/>
  <c r="S39" i="33"/>
  <c r="J32" i="33"/>
  <c r="S46" i="33"/>
  <c r="W43" i="33"/>
  <c r="S43" i="33"/>
  <c r="H27" i="33"/>
  <c r="H25" i="33"/>
  <c r="F25" i="33"/>
  <c r="J23" i="33"/>
  <c r="H23" i="33"/>
  <c r="F19" i="33"/>
  <c r="S19" i="33"/>
  <c r="W19" i="33"/>
  <c r="J17" i="33"/>
  <c r="S15" i="33"/>
  <c r="W15" i="33"/>
  <c r="U9" i="33"/>
  <c r="I66" i="33"/>
  <c r="J10" i="33"/>
  <c r="H10" i="33"/>
  <c r="AA10" i="33"/>
  <c r="AC11" i="33"/>
  <c r="W43" i="21"/>
  <c r="W36" i="21"/>
  <c r="W41" i="21"/>
  <c r="AB39" i="21"/>
  <c r="AA43" i="21"/>
  <c r="S39" i="21"/>
  <c r="AA38" i="21"/>
  <c r="AA36" i="21"/>
  <c r="AC40" i="21"/>
  <c r="J15" i="21"/>
  <c r="W15" i="21" s="1"/>
  <c r="F23" i="21"/>
  <c r="S23" i="21" s="1"/>
  <c r="E85" i="21"/>
  <c r="AC11" i="21"/>
  <c r="AA14" i="21"/>
  <c r="AB8" i="21"/>
  <c r="S8" i="21"/>
  <c r="M3" i="43"/>
  <c r="M1" i="43"/>
  <c r="N8" i="43"/>
  <c r="C18" i="9"/>
  <c r="D18" i="9" s="1"/>
  <c r="F34" i="67"/>
  <c r="F62" i="67" s="1"/>
  <c r="M20" i="67"/>
  <c r="F34" i="15"/>
  <c r="F62" i="15" s="1"/>
  <c r="G13" i="3"/>
  <c r="BA13" i="3"/>
  <c r="BL17" i="3"/>
  <c r="AZ17" i="3" s="1"/>
  <c r="J56" i="9"/>
  <c r="J57" i="9" s="1"/>
  <c r="J59" i="9" s="1"/>
  <c r="J61" i="9" s="1"/>
  <c r="A24" i="51"/>
  <c r="B18" i="72" s="1"/>
  <c r="E5" i="6"/>
  <c r="D9" i="11" s="1"/>
  <c r="C9" i="11" s="1"/>
  <c r="E32" i="6"/>
  <c r="L19" i="6"/>
  <c r="G1" i="68"/>
  <c r="E19" i="69"/>
  <c r="E19" i="68"/>
  <c r="E19" i="11"/>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Q8" i="1" s="1"/>
  <c r="K11" i="1"/>
  <c r="M11" i="1" s="1"/>
  <c r="O11" i="1" s="1"/>
  <c r="AP6" i="1"/>
  <c r="B9" i="1"/>
  <c r="E9" i="1" s="1"/>
  <c r="K7" i="1"/>
  <c r="M7" i="1" s="1"/>
  <c r="G1" i="15"/>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AB11" i="39"/>
  <c r="U11" i="39"/>
  <c r="AA27" i="39"/>
  <c r="S27" i="39"/>
  <c r="W17" i="39"/>
  <c r="AC17" i="39"/>
  <c r="W31" i="39"/>
  <c r="AC31" i="39"/>
  <c r="S23"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0" i="34"/>
  <c r="AB47" i="34"/>
  <c r="U25" i="34"/>
  <c r="W33" i="34"/>
  <c r="AC14" i="34"/>
  <c r="AC32" i="34"/>
  <c r="W46" i="34"/>
  <c r="AC46" i="34"/>
  <c r="S32" i="34"/>
  <c r="U30" i="34"/>
  <c r="U38" i="34"/>
  <c r="AA36" i="34"/>
  <c r="AA8" i="34"/>
  <c r="S8" i="34"/>
  <c r="AA46" i="34"/>
  <c r="U32" i="34"/>
  <c r="AB32" i="34"/>
  <c r="U14" i="34"/>
  <c r="AB14"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J9" i="21"/>
  <c r="AC9" i="21" s="1"/>
  <c r="J32" i="21"/>
  <c r="F32" i="21"/>
  <c r="S32" i="21" s="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3" i="1"/>
  <c r="S7" i="1"/>
  <c r="T7" i="1" s="1"/>
  <c r="E7" i="70"/>
  <c r="AA39" i="40"/>
  <c r="S39" i="40"/>
  <c r="S12" i="33"/>
  <c r="AA12" i="33"/>
  <c r="J32" i="39"/>
  <c r="H32" i="39"/>
  <c r="AB32" i="39" s="1"/>
  <c r="AA32" i="39"/>
  <c r="S32" i="39"/>
  <c r="AB21" i="39"/>
  <c r="U21" i="39"/>
  <c r="AA21" i="39"/>
  <c r="S21" i="39"/>
  <c r="U9" i="35"/>
  <c r="AB9" i="35"/>
  <c r="AA9" i="35"/>
  <c r="S9" i="35"/>
  <c r="AC26" i="35"/>
  <c r="W26" i="35"/>
  <c r="AC17" i="37"/>
  <c r="S17" i="37"/>
  <c r="J19" i="37"/>
  <c r="W19" i="37" s="1"/>
  <c r="G75" i="37"/>
  <c r="S19" i="37"/>
  <c r="AA19" i="37"/>
  <c r="AA23" i="37"/>
  <c r="J23" i="37"/>
  <c r="G79" i="37"/>
  <c r="J10" i="37"/>
  <c r="I60" i="37"/>
  <c r="G63" i="37"/>
  <c r="H11" i="37"/>
  <c r="AB11" i="37" s="1"/>
  <c r="AB10" i="37"/>
  <c r="U10" i="37"/>
  <c r="H11" i="34"/>
  <c r="U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J27" i="33"/>
  <c r="W27" i="33" s="1"/>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R22" i="31"/>
  <c r="AP7" i="1"/>
  <c r="AC33" i="21"/>
  <c r="W33" i="21"/>
  <c r="S33" i="21"/>
  <c r="W32" i="21"/>
  <c r="AC32" i="21"/>
  <c r="AB9" i="21"/>
  <c r="U9" i="21"/>
  <c r="AA32" i="21"/>
  <c r="W9" i="21"/>
  <c r="AB32" i="21"/>
  <c r="AA10" i="21"/>
  <c r="S10" i="21"/>
  <c r="A18" i="62"/>
  <c r="B64" i="72" s="1"/>
  <c r="U32" i="39"/>
  <c r="AC32" i="39"/>
  <c r="W32" i="39"/>
  <c r="AC19" i="37"/>
  <c r="W23" i="37"/>
  <c r="AC23" i="37"/>
  <c r="U11" i="37"/>
  <c r="H63" i="37"/>
  <c r="I63" i="37"/>
  <c r="J63" i="37" s="1"/>
  <c r="K63" i="37" s="1"/>
  <c r="L63" i="37" s="1"/>
  <c r="M63" i="37" s="1"/>
  <c r="J11" i="37"/>
  <c r="W10" i="37"/>
  <c r="AC10" i="37"/>
  <c r="AC10" i="34"/>
  <c r="J11" i="34"/>
  <c r="W11" i="34" s="1"/>
  <c r="W36" i="33"/>
  <c r="U36" i="33"/>
  <c r="AB36" i="33"/>
  <c r="AC27" i="33"/>
  <c r="W25" i="33"/>
  <c r="AC25" i="33"/>
  <c r="S23" i="33"/>
  <c r="AB19" i="33"/>
  <c r="U19" i="33"/>
  <c r="AA17" i="33"/>
  <c r="S17" i="33"/>
  <c r="AB17" i="33"/>
  <c r="AB23" i="21"/>
  <c r="AC23" i="21"/>
  <c r="W23" i="21"/>
  <c r="AC11" i="37"/>
  <c r="W11" i="37"/>
  <c r="R7" i="1"/>
  <c r="F11" i="12"/>
  <c r="C23" i="12" s="1"/>
  <c r="R8" i="1"/>
  <c r="AE7" i="1"/>
  <c r="AE8" i="1"/>
  <c r="AG6" i="1"/>
  <c r="H109" i="9"/>
  <c r="M49"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AB19" i="71"/>
  <c r="X17" i="71"/>
  <c r="X16" i="71"/>
  <c r="AA17" i="71"/>
  <c r="AA16" i="71"/>
  <c r="X20" i="71"/>
  <c r="Y16" i="71"/>
  <c r="Z16" i="71" s="1"/>
  <c r="AB17" i="71"/>
  <c r="AB16" i="71"/>
  <c r="C92" i="9"/>
  <c r="F18" i="71"/>
  <c r="F17" i="71"/>
  <c r="F16" i="71" s="1"/>
  <c r="F15" i="71" s="1"/>
  <c r="F14" i="71" s="1"/>
  <c r="Y17" i="71"/>
  <c r="Z17" i="71" s="1"/>
  <c r="X3" i="71"/>
  <c r="G20" i="43"/>
  <c r="C20" i="43" s="1"/>
  <c r="AO11" i="1"/>
  <c r="M26" i="15"/>
  <c r="F4" i="73"/>
  <c r="AO13" i="1"/>
  <c r="F6" i="73"/>
  <c r="F9" i="15"/>
  <c r="D2" i="35"/>
  <c r="F37" i="67"/>
  <c r="AO7" i="1"/>
  <c r="L47" i="67"/>
  <c r="M24" i="67"/>
  <c r="E11" i="76"/>
  <c r="E12" i="76"/>
  <c r="F7" i="73"/>
  <c r="M23" i="15"/>
  <c r="D2" i="33"/>
  <c r="M6" i="15"/>
  <c r="F5" i="73"/>
  <c r="M28" i="15"/>
  <c r="B11" i="76"/>
  <c r="F36" i="67"/>
  <c r="E8" i="76"/>
  <c r="D2" i="21"/>
  <c r="M22" i="15"/>
  <c r="B10" i="76"/>
  <c r="D35" i="9"/>
  <c r="M24" i="15"/>
  <c r="F40" i="15"/>
  <c r="D34" i="9"/>
  <c r="F8" i="15"/>
  <c r="C76" i="15"/>
  <c r="M6" i="67"/>
  <c r="D2" i="37"/>
  <c r="F3" i="73"/>
  <c r="F7" i="67"/>
  <c r="J15" i="67"/>
  <c r="M28" i="67"/>
  <c r="M27" i="15"/>
  <c r="B8" i="76"/>
  <c r="AO10" i="1"/>
  <c r="F26" i="15"/>
  <c r="F20" i="31"/>
  <c r="F43" i="67"/>
  <c r="AO12" i="1"/>
  <c r="F38" i="15"/>
  <c r="E2" i="69"/>
  <c r="L48" i="15"/>
  <c r="E7" i="76"/>
  <c r="M8" i="67"/>
  <c r="F42" i="15"/>
  <c r="F13" i="15"/>
  <c r="F37" i="15"/>
  <c r="C76" i="67"/>
  <c r="F38" i="67"/>
  <c r="F13" i="67"/>
  <c r="J15" i="15"/>
  <c r="B12" i="76"/>
  <c r="B13" i="76"/>
  <c r="B7" i="76"/>
  <c r="AO9" i="1"/>
  <c r="AO8" i="1"/>
  <c r="E2" i="68"/>
  <c r="E13" i="76"/>
  <c r="M9" i="15"/>
  <c r="F35" i="67"/>
  <c r="E9" i="76"/>
  <c r="D2" i="34"/>
  <c r="M21" i="67"/>
  <c r="M23" i="67"/>
  <c r="F16" i="67"/>
  <c r="E10" i="76"/>
  <c r="F26" i="67"/>
  <c r="F36" i="15"/>
  <c r="D6" i="73"/>
  <c r="L47" i="15"/>
  <c r="F16" i="15"/>
  <c r="M29" i="67"/>
  <c r="F8" i="67"/>
  <c r="D5" i="73"/>
  <c r="F9" i="67"/>
  <c r="D7" i="73"/>
  <c r="D4" i="73"/>
  <c r="D2" i="36"/>
  <c r="M8" i="15"/>
  <c r="F40" i="67"/>
  <c r="B9" i="76"/>
  <c r="C40" i="11" l="1"/>
  <c r="AZ578" i="3"/>
  <c r="AZ573" i="3"/>
  <c r="AZ549" i="3"/>
  <c r="AZ546" i="3"/>
  <c r="AZ530" i="3"/>
  <c r="AZ508" i="3"/>
  <c r="D19" i="53"/>
  <c r="AB45" i="21"/>
  <c r="S13" i="21"/>
  <c r="U33" i="21"/>
  <c r="H52" i="43"/>
  <c r="H50" i="43"/>
  <c r="AZ505" i="3"/>
  <c r="AZ581" i="3"/>
  <c r="AZ511" i="3"/>
  <c r="AZ519" i="3"/>
  <c r="AZ512" i="3"/>
  <c r="AZ568" i="3"/>
  <c r="U33" i="40"/>
  <c r="AB33" i="40"/>
  <c r="S12" i="40"/>
  <c r="AA12" i="40"/>
  <c r="U28" i="37"/>
  <c r="AB28" i="37"/>
  <c r="AC47" i="34"/>
  <c r="W47" i="34"/>
  <c r="AA11" i="36"/>
  <c r="S11" i="36"/>
  <c r="AC11" i="35"/>
  <c r="W11" i="35"/>
  <c r="U26" i="33"/>
  <c r="AB26" i="33"/>
  <c r="AB11" i="33"/>
  <c r="U11" i="33"/>
  <c r="AA28" i="34"/>
  <c r="S28" i="34"/>
  <c r="AC33" i="37"/>
  <c r="W33" i="37"/>
  <c r="AC36" i="39"/>
  <c r="W36" i="39"/>
  <c r="S36" i="39"/>
  <c r="AA36" i="39"/>
  <c r="W45" i="39"/>
  <c r="AC45" i="39"/>
  <c r="J9" i="37"/>
  <c r="F9" i="37"/>
  <c r="H25" i="37"/>
  <c r="J25" i="37"/>
  <c r="F25" i="37"/>
  <c r="AC9" i="39"/>
  <c r="W9" i="39"/>
  <c r="J43" i="39"/>
  <c r="H43" i="39"/>
  <c r="H45" i="39"/>
  <c r="F45" i="39"/>
  <c r="J32" i="40"/>
  <c r="F32" i="40"/>
  <c r="H32" i="40"/>
  <c r="J39" i="40"/>
  <c r="H39" i="40"/>
  <c r="S41" i="21"/>
  <c r="AA41" i="21"/>
  <c r="AB31" i="35"/>
  <c r="U31" i="35"/>
  <c r="BL580" i="3"/>
  <c r="AZ580" i="3" s="1"/>
  <c r="BA579" i="3"/>
  <c r="BL577" i="3"/>
  <c r="AZ577" i="3" s="1"/>
  <c r="BA575" i="3"/>
  <c r="BL574" i="3"/>
  <c r="AZ574" i="3" s="1"/>
  <c r="BL572" i="3"/>
  <c r="AZ572" i="3" s="1"/>
  <c r="BA571" i="3"/>
  <c r="BL569" i="3"/>
  <c r="AZ569" i="3" s="1"/>
  <c r="BA567" i="3"/>
  <c r="AZ567" i="3" s="1"/>
  <c r="BL566" i="3"/>
  <c r="AZ566" i="3" s="1"/>
  <c r="BA551" i="3"/>
  <c r="AZ551" i="3" s="1"/>
  <c r="BL548" i="3"/>
  <c r="BA548" i="3"/>
  <c r="AZ548" i="3" s="1"/>
  <c r="BL547" i="3"/>
  <c r="AZ547" i="3" s="1"/>
  <c r="BA547" i="3"/>
  <c r="BL544" i="3"/>
  <c r="BA544" i="3"/>
  <c r="AZ544" i="3" s="1"/>
  <c r="BA543" i="3"/>
  <c r="AZ543" i="3" s="1"/>
  <c r="BL542" i="3"/>
  <c r="AZ542" i="3" s="1"/>
  <c r="BA540" i="3"/>
  <c r="AZ540" i="3" s="1"/>
  <c r="BL539" i="3"/>
  <c r="BA539" i="3"/>
  <c r="BL536" i="3"/>
  <c r="BA536" i="3"/>
  <c r="AZ536" i="3" s="1"/>
  <c r="BA535" i="3"/>
  <c r="AZ535" i="3" s="1"/>
  <c r="BL534" i="3"/>
  <c r="AZ534" i="3" s="1"/>
  <c r="BL532" i="3"/>
  <c r="BA532" i="3"/>
  <c r="AZ532" i="3" s="1"/>
  <c r="BL531" i="3"/>
  <c r="BA531" i="3"/>
  <c r="BL528" i="3"/>
  <c r="BA528" i="3"/>
  <c r="AZ528" i="3" s="1"/>
  <c r="BA527" i="3"/>
  <c r="AZ527" i="3" s="1"/>
  <c r="BL526" i="3"/>
  <c r="BA526" i="3"/>
  <c r="AZ526" i="3" s="1"/>
  <c r="BL524" i="3"/>
  <c r="BA524" i="3"/>
  <c r="AZ524" i="3" s="1"/>
  <c r="BL523" i="3"/>
  <c r="BA523" i="3"/>
  <c r="BA522" i="3"/>
  <c r="AZ522" i="3" s="1"/>
  <c r="BL520" i="3"/>
  <c r="AZ520" i="3" s="1"/>
  <c r="BA518" i="3"/>
  <c r="AZ518" i="3" s="1"/>
  <c r="BA517" i="3"/>
  <c r="BL516" i="3"/>
  <c r="BA516" i="3"/>
  <c r="AZ516" i="3" s="1"/>
  <c r="BL515" i="3"/>
  <c r="AZ515" i="3" s="1"/>
  <c r="BL514" i="3"/>
  <c r="BA514" i="3"/>
  <c r="AZ514" i="3" s="1"/>
  <c r="BA513" i="3"/>
  <c r="AZ513" i="3" s="1"/>
  <c r="BA510" i="3"/>
  <c r="AZ510" i="3" s="1"/>
  <c r="BA509" i="3"/>
  <c r="BL507" i="3"/>
  <c r="AZ507" i="3" s="1"/>
  <c r="BA507" i="3"/>
  <c r="BL506" i="3"/>
  <c r="BA506" i="3"/>
  <c r="BL504" i="3"/>
  <c r="AZ504" i="3" s="1"/>
  <c r="BA503" i="3"/>
  <c r="AZ503" i="3" s="1"/>
  <c r="BA502" i="3"/>
  <c r="AZ502" i="3" s="1"/>
  <c r="BA499" i="3"/>
  <c r="AZ499" i="3" s="1"/>
  <c r="BL498" i="3"/>
  <c r="BA498" i="3"/>
  <c r="BL496" i="3"/>
  <c r="AZ496" i="3" s="1"/>
  <c r="BA495" i="3"/>
  <c r="AZ495" i="3" s="1"/>
  <c r="BO5" i="3"/>
  <c r="BA494" i="3"/>
  <c r="AZ494" i="3" s="1"/>
  <c r="H5" i="3"/>
  <c r="BP5" i="3"/>
  <c r="BL493" i="3"/>
  <c r="AZ493" i="3" s="1"/>
  <c r="BI5" i="3"/>
  <c r="AC5" i="3"/>
  <c r="D120" i="9"/>
  <c r="AB14" i="33"/>
  <c r="U42" i="33"/>
  <c r="AA13" i="37"/>
  <c r="U32" i="37"/>
  <c r="AB31" i="37"/>
  <c r="H26" i="35"/>
  <c r="F26" i="35"/>
  <c r="W10" i="36"/>
  <c r="AC26" i="36"/>
  <c r="AA12" i="39"/>
  <c r="U35" i="39"/>
  <c r="S43" i="39"/>
  <c r="AC12" i="39"/>
  <c r="S11" i="40"/>
  <c r="AZ362" i="3"/>
  <c r="AA41" i="39"/>
  <c r="AC13" i="40"/>
  <c r="W12" i="37"/>
  <c r="AC12" i="37"/>
  <c r="W40" i="37"/>
  <c r="BL529" i="3"/>
  <c r="AZ529" i="3" s="1"/>
  <c r="BL545" i="3"/>
  <c r="AZ545" i="3" s="1"/>
  <c r="BL575" i="3"/>
  <c r="AZ575" i="3" s="1"/>
  <c r="AZ565" i="3"/>
  <c r="G493" i="3"/>
  <c r="W11" i="36"/>
  <c r="AA14" i="37"/>
  <c r="H13" i="39"/>
  <c r="AC37" i="37"/>
  <c r="W37" i="37"/>
  <c r="W32" i="36"/>
  <c r="AC32" i="36"/>
  <c r="U11" i="35"/>
  <c r="AB11" i="35"/>
  <c r="U30" i="35"/>
  <c r="S12" i="36"/>
  <c r="W40" i="33"/>
  <c r="AB33" i="35"/>
  <c r="U33" i="35"/>
  <c r="W34" i="36"/>
  <c r="AC34" i="36"/>
  <c r="S44" i="39"/>
  <c r="AB8" i="39"/>
  <c r="AB36" i="40"/>
  <c r="U36" i="40"/>
  <c r="S40" i="39"/>
  <c r="AB17" i="39"/>
  <c r="U17" i="39"/>
  <c r="H31" i="21"/>
  <c r="F31" i="21"/>
  <c r="W46" i="21"/>
  <c r="AC46" i="21"/>
  <c r="E82" i="34"/>
  <c r="F82" i="34" s="1"/>
  <c r="G82" i="34" s="1"/>
  <c r="F19" i="34"/>
  <c r="H19" i="34"/>
  <c r="F118" i="34"/>
  <c r="G118" i="34" s="1"/>
  <c r="H40" i="34"/>
  <c r="U40" i="34" s="1"/>
  <c r="AC28" i="36"/>
  <c r="W28" i="36"/>
  <c r="J24" i="36"/>
  <c r="F24" i="36"/>
  <c r="AZ387" i="3"/>
  <c r="AZ369" i="3"/>
  <c r="AZ357" i="3"/>
  <c r="AZ310" i="3"/>
  <c r="AZ382" i="3"/>
  <c r="AZ371" i="3"/>
  <c r="AZ364" i="3"/>
  <c r="AZ356" i="3"/>
  <c r="AZ342" i="3"/>
  <c r="AZ336" i="3"/>
  <c r="AZ321" i="3"/>
  <c r="AZ304" i="3"/>
  <c r="AZ394" i="3"/>
  <c r="AZ325" i="3"/>
  <c r="BL497" i="3"/>
  <c r="AZ497" i="3" s="1"/>
  <c r="BL501" i="3"/>
  <c r="AZ501" i="3" s="1"/>
  <c r="BL509" i="3"/>
  <c r="AZ509" i="3" s="1"/>
  <c r="BL517" i="3"/>
  <c r="AZ517" i="3" s="1"/>
  <c r="G521" i="3"/>
  <c r="BL525" i="3"/>
  <c r="AZ525" i="3" s="1"/>
  <c r="BL533" i="3"/>
  <c r="AZ533" i="3" s="1"/>
  <c r="BL541" i="3"/>
  <c r="AZ541" i="3" s="1"/>
  <c r="AZ555" i="3"/>
  <c r="BL571" i="3"/>
  <c r="AZ571" i="3" s="1"/>
  <c r="BL579" i="3"/>
  <c r="AZ579" i="3" s="1"/>
  <c r="AZ583" i="3"/>
  <c r="AZ558" i="3"/>
  <c r="J12" i="33"/>
  <c r="H12" i="33"/>
  <c r="J9" i="36"/>
  <c r="F9" i="36"/>
  <c r="F38" i="40"/>
  <c r="J38" i="40"/>
  <c r="W31" i="35"/>
  <c r="AC31" i="35"/>
  <c r="I4" i="6"/>
  <c r="G3" i="43" s="1"/>
  <c r="F19" i="6"/>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33" i="3"/>
  <c r="AZ333" i="3" s="1"/>
  <c r="G358" i="3"/>
  <c r="BL208" i="3"/>
  <c r="G211" i="3"/>
  <c r="BL211" i="3"/>
  <c r="BA212" i="3"/>
  <c r="AZ212" i="3" s="1"/>
  <c r="BA213" i="3"/>
  <c r="AZ213" i="3" s="1"/>
  <c r="BA214" i="3"/>
  <c r="AZ214" i="3" s="1"/>
  <c r="BA215" i="3"/>
  <c r="AZ215" i="3" s="1"/>
  <c r="G218" i="3"/>
  <c r="BL236" i="3"/>
  <c r="G248" i="3"/>
  <c r="BL252" i="3"/>
  <c r="BL254" i="3"/>
  <c r="AZ254" i="3" s="1"/>
  <c r="AZ255" i="3"/>
  <c r="BL259" i="3"/>
  <c r="AZ259" i="3" s="1"/>
  <c r="BA261" i="3"/>
  <c r="AZ261" i="3" s="1"/>
  <c r="BL263" i="3"/>
  <c r="AZ263" i="3" s="1"/>
  <c r="BA264" i="3"/>
  <c r="AZ264" i="3" s="1"/>
  <c r="BA277" i="3"/>
  <c r="AZ277" i="3" s="1"/>
  <c r="BL279" i="3"/>
  <c r="AZ279" i="3" s="1"/>
  <c r="BL281" i="3"/>
  <c r="AZ281" i="3" s="1"/>
  <c r="BA282" i="3"/>
  <c r="AZ282" i="3" s="1"/>
  <c r="BA283" i="3"/>
  <c r="AZ283" i="3" s="1"/>
  <c r="G286" i="3"/>
  <c r="G287" i="3"/>
  <c r="G288" i="3"/>
  <c r="G289" i="3"/>
  <c r="BL289" i="3"/>
  <c r="BA290" i="3"/>
  <c r="AZ290" i="3" s="1"/>
  <c r="BA291" i="3"/>
  <c r="AZ291" i="3" s="1"/>
  <c r="G294" i="3"/>
  <c r="BL586" i="3"/>
  <c r="AZ586" i="3" s="1"/>
  <c r="G570" i="3"/>
  <c r="G556" i="3"/>
  <c r="BL550" i="3"/>
  <c r="BA550" i="3"/>
  <c r="AZ550" i="3" s="1"/>
  <c r="G526" i="3"/>
  <c r="AZ436" i="3"/>
  <c r="AZ438" i="3"/>
  <c r="AZ443" i="3"/>
  <c r="AZ481" i="3"/>
  <c r="AZ487" i="3"/>
  <c r="BA332" i="3"/>
  <c r="AZ332" i="3" s="1"/>
  <c r="BA335" i="3"/>
  <c r="AZ335" i="3" s="1"/>
  <c r="BA339" i="3"/>
  <c r="AZ339" i="3" s="1"/>
  <c r="G345" i="3"/>
  <c r="BL367" i="3"/>
  <c r="AZ367" i="3" s="1"/>
  <c r="G369" i="3"/>
  <c r="BL381" i="3"/>
  <c r="AZ381" i="3" s="1"/>
  <c r="BL386" i="3"/>
  <c r="AZ386" i="3" s="1"/>
  <c r="G392" i="3"/>
  <c r="BL393" i="3"/>
  <c r="AZ393" i="3" s="1"/>
  <c r="G221" i="3"/>
  <c r="BL221" i="3"/>
  <c r="AZ221" i="3" s="1"/>
  <c r="BL223" i="3"/>
  <c r="AZ223" i="3" s="1"/>
  <c r="G226" i="3"/>
  <c r="G229" i="3"/>
  <c r="G230" i="3"/>
  <c r="BL230" i="3"/>
  <c r="AZ230" i="3" s="1"/>
  <c r="BA231" i="3"/>
  <c r="AZ231" i="3" s="1"/>
  <c r="BA232" i="3"/>
  <c r="AZ232" i="3" s="1"/>
  <c r="BA233" i="3"/>
  <c r="AZ233" i="3" s="1"/>
  <c r="BA234" i="3"/>
  <c r="AZ234" i="3" s="1"/>
  <c r="BA235" i="3"/>
  <c r="AZ235" i="3" s="1"/>
  <c r="G240" i="3"/>
  <c r="G241" i="3"/>
  <c r="G242" i="3"/>
  <c r="BL242" i="3"/>
  <c r="AZ242" i="3" s="1"/>
  <c r="G245" i="3"/>
  <c r="BA247" i="3"/>
  <c r="AZ247" i="3" s="1"/>
  <c r="BA250" i="3"/>
  <c r="AZ250" i="3" s="1"/>
  <c r="BA251" i="3"/>
  <c r="AZ251" i="3" s="1"/>
  <c r="G256" i="3"/>
  <c r="G267" i="3"/>
  <c r="BL267" i="3"/>
  <c r="AZ267" i="3" s="1"/>
  <c r="BL269" i="3"/>
  <c r="AZ269" i="3" s="1"/>
  <c r="BA270" i="3"/>
  <c r="AZ270" i="3" s="1"/>
  <c r="BA271" i="3"/>
  <c r="AZ271" i="3" s="1"/>
  <c r="BL273" i="3"/>
  <c r="AZ273" i="3" s="1"/>
  <c r="BA274" i="3"/>
  <c r="AZ274" i="3" s="1"/>
  <c r="BA275" i="3"/>
  <c r="AZ275" i="3" s="1"/>
  <c r="AZ302" i="3"/>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BL170" i="3"/>
  <c r="AZ170" i="3" s="1"/>
  <c r="BA172" i="3"/>
  <c r="AZ172" i="3" s="1"/>
  <c r="G174" i="3"/>
  <c r="G175" i="3"/>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BL23" i="3"/>
  <c r="G24" i="3"/>
  <c r="BA26" i="3"/>
  <c r="BH5" i="3"/>
  <c r="BL26" i="3"/>
  <c r="BS5" i="3"/>
  <c r="G27" i="3"/>
  <c r="BL28" i="3"/>
  <c r="G29" i="3"/>
  <c r="BA31" i="3"/>
  <c r="AZ31" i="3" s="1"/>
  <c r="BL31" i="3"/>
  <c r="G32" i="3"/>
  <c r="BA33" i="3"/>
  <c r="BL33" i="3"/>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AZ185" i="3"/>
  <c r="AZ201" i="3"/>
  <c r="AZ207" i="3"/>
  <c r="BC5" i="3"/>
  <c r="BG5" i="3"/>
  <c r="BK5" i="3"/>
  <c r="BN5" i="3"/>
  <c r="G29" i="6" s="1"/>
  <c r="D59" i="81"/>
  <c r="E59" i="81" s="1"/>
  <c r="F59" i="81" s="1"/>
  <c r="G59" i="81" s="1"/>
  <c r="H59" i="81" s="1"/>
  <c r="I59" i="81" s="1"/>
  <c r="J59" i="81" s="1"/>
  <c r="K59" i="81" s="1"/>
  <c r="L59" i="81" s="1"/>
  <c r="M59" i="81" s="1"/>
  <c r="N59" i="81" s="1"/>
  <c r="O59" i="81" s="1"/>
  <c r="J7" i="81"/>
  <c r="H7" i="81"/>
  <c r="F7" i="81"/>
  <c r="C40" i="71"/>
  <c r="D39" i="71"/>
  <c r="C48" i="71"/>
  <c r="D47" i="71"/>
  <c r="D55" i="71"/>
  <c r="C56" i="71"/>
  <c r="E20" i="71"/>
  <c r="E19" i="71" s="1"/>
  <c r="E18" i="71" s="1"/>
  <c r="E17" i="71" s="1"/>
  <c r="V21" i="7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J51" i="15"/>
  <c r="E59" i="43"/>
  <c r="B57" i="43" s="1"/>
  <c r="U21" i="21"/>
  <c r="W21" i="37"/>
  <c r="C29" i="39"/>
  <c r="B66" i="43"/>
  <c r="AE10" i="43"/>
  <c r="P63" i="71"/>
  <c r="X26" i="71"/>
  <c r="F28" i="71"/>
  <c r="F29" i="71" s="1"/>
  <c r="V29" i="71" s="1"/>
  <c r="AA32" i="71"/>
  <c r="B60" i="71"/>
  <c r="B61" i="71" s="1"/>
  <c r="S61" i="71" s="1"/>
  <c r="E60" i="71"/>
  <c r="E61" i="71" s="1"/>
  <c r="U61" i="71" s="1"/>
  <c r="P61" i="15"/>
  <c r="H37" i="34"/>
  <c r="F37" i="34"/>
  <c r="J40" i="34"/>
  <c r="F39" i="34"/>
  <c r="S39" i="34" s="1"/>
  <c r="H39" i="34"/>
  <c r="AB39" i="34" s="1"/>
  <c r="AB40" i="34"/>
  <c r="AA40" i="34"/>
  <c r="AC35" i="34"/>
  <c r="AB36" i="34"/>
  <c r="S35" i="34"/>
  <c r="AB35" i="34"/>
  <c r="AA33" i="34"/>
  <c r="U39" i="34"/>
  <c r="AB33" i="34"/>
  <c r="F126" i="34"/>
  <c r="G126" i="34" s="1"/>
  <c r="F44" i="34"/>
  <c r="AA44" i="34" s="1"/>
  <c r="H44" i="34"/>
  <c r="AB44" i="34" s="1"/>
  <c r="J44" i="34"/>
  <c r="S44" i="34"/>
  <c r="F124" i="34"/>
  <c r="G124" i="34" s="1"/>
  <c r="H124" i="34" s="1"/>
  <c r="I124" i="34" s="1"/>
  <c r="J124" i="34" s="1"/>
  <c r="K124" i="34" s="1"/>
  <c r="L124" i="34" s="1"/>
  <c r="M124" i="34" s="1"/>
  <c r="F43" i="34"/>
  <c r="AA43" i="34" s="1"/>
  <c r="H43" i="34"/>
  <c r="AB43" i="34" s="1"/>
  <c r="J43" i="34"/>
  <c r="U43" i="34"/>
  <c r="AB45" i="34"/>
  <c r="W29" i="34"/>
  <c r="AC29" i="34"/>
  <c r="AB31" i="34"/>
  <c r="U31" i="34"/>
  <c r="AA31" i="34"/>
  <c r="AA29" i="34"/>
  <c r="H29" i="34"/>
  <c r="AB29" i="34" s="1"/>
  <c r="W28" i="34"/>
  <c r="AC28" i="34"/>
  <c r="U12" i="34"/>
  <c r="AB12" i="34"/>
  <c r="S13" i="34"/>
  <c r="AA25" i="34"/>
  <c r="AB8" i="34"/>
  <c r="AC13" i="34"/>
  <c r="AB13" i="34"/>
  <c r="AA12" i="34"/>
  <c r="AB11" i="34"/>
  <c r="W21" i="34"/>
  <c r="S21" i="34"/>
  <c r="AB23" i="34"/>
  <c r="F80" i="34"/>
  <c r="G80" i="34" s="1"/>
  <c r="H17" i="34"/>
  <c r="F17" i="34"/>
  <c r="J17" i="34"/>
  <c r="F78" i="34"/>
  <c r="G78" i="34" s="1"/>
  <c r="F15" i="34"/>
  <c r="AA15" i="34" s="1"/>
  <c r="H15" i="34"/>
  <c r="J15" i="34"/>
  <c r="AC15" i="34" s="1"/>
  <c r="W8" i="34"/>
  <c r="AC11" i="34"/>
  <c r="AA11" i="34"/>
  <c r="C21" i="69"/>
  <c r="F30" i="69"/>
  <c r="C30" i="69" s="1"/>
  <c r="F31" i="12"/>
  <c r="C31" i="12" s="1"/>
  <c r="D68" i="9"/>
  <c r="M18" i="15"/>
  <c r="M18" i="67"/>
  <c r="F30" i="11"/>
  <c r="F54" i="9"/>
  <c r="F28" i="15"/>
  <c r="C28" i="15" s="1"/>
  <c r="F32" i="15"/>
  <c r="F60" i="15" s="1"/>
  <c r="F32" i="67"/>
  <c r="F60" i="67" s="1"/>
  <c r="F52" i="9"/>
  <c r="F28" i="67"/>
  <c r="C28" i="67" s="1"/>
  <c r="F30" i="68"/>
  <c r="C36" i="11"/>
  <c r="F34" i="68"/>
  <c r="C36" i="68" s="1"/>
  <c r="D22" i="67"/>
  <c r="G1" i="69"/>
  <c r="K1" i="12"/>
  <c r="L27" i="6"/>
  <c r="BB5" i="3"/>
  <c r="E8" i="6" s="1"/>
  <c r="F27" i="6" s="1"/>
  <c r="BA25" i="3"/>
  <c r="BL25" i="3"/>
  <c r="BA27" i="3"/>
  <c r="AZ27" i="3" s="1"/>
  <c r="BA28" i="3"/>
  <c r="AZ28" i="3" s="1"/>
  <c r="BA29" i="3"/>
  <c r="AZ29" i="3" s="1"/>
  <c r="BA30" i="3"/>
  <c r="BL30" i="3"/>
  <c r="BA32" i="3"/>
  <c r="BL32" i="3"/>
  <c r="AQ9" i="1"/>
  <c r="T11" i="1"/>
  <c r="D9" i="68"/>
  <c r="C9" i="68" s="1"/>
  <c r="D19" i="12"/>
  <c r="C19" i="12" s="1"/>
  <c r="AR10" i="1"/>
  <c r="AQ12" i="1"/>
  <c r="O10" i="1"/>
  <c r="P10" i="1" s="1"/>
  <c r="T9" i="1"/>
  <c r="AR11" i="1"/>
  <c r="AQ13" i="1"/>
  <c r="AQ7" i="1"/>
  <c r="AR7" i="1"/>
  <c r="BJ5" i="3"/>
  <c r="BF5" i="3"/>
  <c r="BL15" i="3"/>
  <c r="AZ15" i="3" s="1"/>
  <c r="BT5" i="3"/>
  <c r="BQ5" i="3"/>
  <c r="F28" i="6" s="1"/>
  <c r="BM5" i="3"/>
  <c r="F29" i="6" s="1"/>
  <c r="E29" i="6" s="1"/>
  <c r="K15" i="1" s="1"/>
  <c r="BL22" i="3"/>
  <c r="BA23" i="3"/>
  <c r="AZ23" i="3" s="1"/>
  <c r="BA24" i="3"/>
  <c r="AZ24" i="3" s="1"/>
  <c r="D9" i="69"/>
  <c r="C9" i="69" s="1"/>
  <c r="E51" i="40"/>
  <c r="E11" i="6"/>
  <c r="E60" i="39" s="1"/>
  <c r="T8" i="1"/>
  <c r="C36" i="69"/>
  <c r="T10" i="1"/>
  <c r="T12" i="1"/>
  <c r="BL13" i="3"/>
  <c r="BL5" i="3" s="1"/>
  <c r="E15" i="6"/>
  <c r="G28" i="6"/>
  <c r="AR8" i="1"/>
  <c r="O7" i="1"/>
  <c r="P7" i="1" s="1"/>
  <c r="P11" i="1"/>
  <c r="B113" i="43"/>
  <c r="D117" i="43" s="1"/>
  <c r="E117" i="43" s="1"/>
  <c r="F117" i="43" s="1"/>
  <c r="G117" i="43" s="1"/>
  <c r="H117" i="43" s="1"/>
  <c r="G101" i="43"/>
  <c r="G102" i="43" s="1"/>
  <c r="J101" i="43"/>
  <c r="J105" i="43" s="1"/>
  <c r="H22" i="43"/>
  <c r="H101" i="43"/>
  <c r="G22" i="43"/>
  <c r="AJ11" i="43"/>
  <c r="AJ13" i="43" s="1"/>
  <c r="AH11" i="43"/>
  <c r="AB11" i="43"/>
  <c r="AB13" i="43" s="1"/>
  <c r="Z11" i="43"/>
  <c r="AE11" i="43"/>
  <c r="AE13" i="43" s="1"/>
  <c r="AC11" i="43"/>
  <c r="F22" i="43"/>
  <c r="K101" i="43"/>
  <c r="F101" i="43"/>
  <c r="N101" i="43"/>
  <c r="E22" i="43"/>
  <c r="C101" i="43"/>
  <c r="C106" i="43" s="1"/>
  <c r="N104" i="46"/>
  <c r="L101" i="43"/>
  <c r="D101" i="43"/>
  <c r="M101" i="43"/>
  <c r="I101" i="43"/>
  <c r="E101" i="43"/>
  <c r="AF11" i="43"/>
  <c r="AF13" i="43" s="1"/>
  <c r="AD11" i="43"/>
  <c r="Z7" i="43"/>
  <c r="AI11" i="43"/>
  <c r="AI13" i="43" s="1"/>
  <c r="AG11" i="43"/>
  <c r="AA11" i="43"/>
  <c r="AA13" i="43" s="1"/>
  <c r="Y11" i="43"/>
  <c r="Y13" i="43" s="1"/>
  <c r="J22" i="43"/>
  <c r="G12" i="1"/>
  <c r="G10" i="1"/>
  <c r="G8" i="1"/>
  <c r="E16" i="71"/>
  <c r="E15" i="71" s="1"/>
  <c r="E14" i="71" s="1"/>
  <c r="E13" i="71" s="1"/>
  <c r="V17" i="71"/>
  <c r="L68" i="9"/>
  <c r="M68" i="9" s="1"/>
  <c r="L65" i="9"/>
  <c r="M65" i="9" s="1"/>
  <c r="L66" i="9"/>
  <c r="M66" i="9" s="1"/>
  <c r="L64" i="9"/>
  <c r="M64" i="9" s="1"/>
  <c r="L63" i="9"/>
  <c r="M63" i="9" s="1"/>
  <c r="M69" i="9" s="1"/>
  <c r="N69" i="9" s="1"/>
  <c r="L67" i="9"/>
  <c r="M67" i="9" s="1"/>
  <c r="I14" i="74"/>
  <c r="B8" i="74" s="1"/>
  <c r="D127" i="9"/>
  <c r="D13" i="52" s="1"/>
  <c r="D12" i="52"/>
  <c r="D17" i="53"/>
  <c r="B36" i="72" s="1"/>
  <c r="D124" i="9"/>
  <c r="C48" i="69"/>
  <c r="AZ521" i="3"/>
  <c r="S12" i="21"/>
  <c r="AA12" i="21"/>
  <c r="G5" i="3"/>
  <c r="B3" i="3" s="1"/>
  <c r="A18" i="3" s="1"/>
  <c r="AV18" i="3" s="1"/>
  <c r="O9" i="1"/>
  <c r="P9" i="1" s="1"/>
  <c r="E28" i="6"/>
  <c r="G30" i="6"/>
  <c r="G31" i="6" s="1"/>
  <c r="AZ585" i="3"/>
  <c r="W27" i="21"/>
  <c r="AC27" i="21"/>
  <c r="W9" i="34"/>
  <c r="AC9" i="34"/>
  <c r="S43" i="34"/>
  <c r="S32" i="37"/>
  <c r="S27" i="36"/>
  <c r="S30" i="40"/>
  <c r="F53" i="9"/>
  <c r="H75" i="43"/>
  <c r="U12" i="37"/>
  <c r="W31" i="34"/>
  <c r="AB30" i="21"/>
  <c r="AA13" i="35"/>
  <c r="S41" i="33"/>
  <c r="H36" i="35"/>
  <c r="J36" i="35"/>
  <c r="AZ398" i="3"/>
  <c r="AZ405" i="3"/>
  <c r="AZ407" i="3"/>
  <c r="AZ410" i="3"/>
  <c r="AZ415" i="3"/>
  <c r="AZ420" i="3"/>
  <c r="AZ426" i="3"/>
  <c r="AZ431" i="3"/>
  <c r="AZ448" i="3"/>
  <c r="AZ452" i="3"/>
  <c r="AZ461" i="3"/>
  <c r="AZ463" i="3"/>
  <c r="AZ468" i="3"/>
  <c r="AZ470" i="3"/>
  <c r="H9" i="34"/>
  <c r="J34" i="35"/>
  <c r="H34" i="35"/>
  <c r="AZ424" i="3"/>
  <c r="AZ429" i="3"/>
  <c r="AZ439" i="3"/>
  <c r="AZ476" i="3"/>
  <c r="AZ478" i="3"/>
  <c r="AZ484" i="3"/>
  <c r="AZ492" i="3"/>
  <c r="AZ395" i="3"/>
  <c r="AZ208" i="3"/>
  <c r="AZ211" i="3"/>
  <c r="AZ219" i="3"/>
  <c r="AZ236" i="3"/>
  <c r="AZ252" i="3"/>
  <c r="AZ272" i="3"/>
  <c r="AZ276" i="3"/>
  <c r="AZ289" i="3"/>
  <c r="AZ294" i="3"/>
  <c r="AZ300" i="3"/>
  <c r="AZ118" i="3"/>
  <c r="AZ121" i="3"/>
  <c r="AZ471" i="3"/>
  <c r="AZ126" i="3"/>
  <c r="AZ141" i="3"/>
  <c r="AZ22" i="3"/>
  <c r="AZ54" i="3"/>
  <c r="AZ57" i="3"/>
  <c r="AZ70" i="3"/>
  <c r="AZ90" i="3"/>
  <c r="AZ92" i="3"/>
  <c r="AZ96" i="3"/>
  <c r="AZ112" i="3"/>
  <c r="F3" i="35"/>
  <c r="M100" i="43"/>
  <c r="I100" i="43"/>
  <c r="E100" i="43"/>
  <c r="D100" i="43"/>
  <c r="C40" i="68"/>
  <c r="C21" i="68"/>
  <c r="S21" i="21"/>
  <c r="D37" i="71"/>
  <c r="T37" i="71"/>
  <c r="D33" i="71"/>
  <c r="T33" i="71"/>
  <c r="T25" i="71"/>
  <c r="D25" i="71"/>
  <c r="U25" i="71" s="1"/>
  <c r="C24" i="71"/>
  <c r="C52" i="71"/>
  <c r="D51" i="71"/>
  <c r="C60" i="71"/>
  <c r="D59" i="71"/>
  <c r="AA5" i="71"/>
  <c r="AB5" i="71"/>
  <c r="Y5" i="71"/>
  <c r="Z5" i="71" s="1"/>
  <c r="X5" i="71"/>
  <c r="Q62" i="71"/>
  <c r="Q63" i="71"/>
  <c r="X6" i="71"/>
  <c r="AB6" i="71"/>
  <c r="AC12" i="43"/>
  <c r="AC10" i="43"/>
  <c r="AG12" i="43"/>
  <c r="AG10" i="43"/>
  <c r="X21" i="71"/>
  <c r="Y21" i="71"/>
  <c r="Z21" i="71" s="1"/>
  <c r="AA20" i="71"/>
  <c r="X19" i="71"/>
  <c r="AA18" i="71"/>
  <c r="X18" i="71"/>
  <c r="Y15" i="71"/>
  <c r="Z15" i="71" s="1"/>
  <c r="Y11" i="71"/>
  <c r="Z11" i="71" s="1"/>
  <c r="AB11" i="71"/>
  <c r="AB24" i="71"/>
  <c r="S25" i="71"/>
  <c r="X24" i="71"/>
  <c r="AA33" i="71"/>
  <c r="AB30" i="71"/>
  <c r="Y30" i="71"/>
  <c r="Z30" i="71" s="1"/>
  <c r="X29" i="71"/>
  <c r="X34" i="71"/>
  <c r="AA26" i="71"/>
  <c r="X36" i="71"/>
  <c r="Y6" i="71"/>
  <c r="Z6" i="71" s="1"/>
  <c r="AA6" i="71"/>
  <c r="AB36" i="71"/>
  <c r="B64" i="71"/>
  <c r="Z12" i="43"/>
  <c r="Z10" i="43"/>
  <c r="AD12" i="43"/>
  <c r="AD10" i="43"/>
  <c r="AH12" i="43"/>
  <c r="AH10" i="43"/>
  <c r="Y19" i="71"/>
  <c r="Z19" i="71" s="1"/>
  <c r="AB20" i="71"/>
  <c r="AB18" i="71"/>
  <c r="X11" i="71"/>
  <c r="Y14" i="71"/>
  <c r="Z14" i="71" s="1"/>
  <c r="AA10" i="71"/>
  <c r="AB15" i="71"/>
  <c r="Y18" i="71"/>
  <c r="Z18" i="71" s="1"/>
  <c r="AA19" i="71"/>
  <c r="X15" i="71"/>
  <c r="AA15" i="71"/>
  <c r="X12" i="71"/>
  <c r="AA12" i="71"/>
  <c r="AA8" i="71"/>
  <c r="AA9" i="71"/>
  <c r="AA11" i="71"/>
  <c r="X7" i="71"/>
  <c r="X9" i="71"/>
  <c r="AB8" i="71"/>
  <c r="AB7" i="71"/>
  <c r="Y10" i="71"/>
  <c r="Z10" i="71" s="1"/>
  <c r="Y8" i="71"/>
  <c r="Z8" i="71" s="1"/>
  <c r="AA21" i="71"/>
  <c r="AB21" i="71"/>
  <c r="B21" i="71"/>
  <c r="C21" i="71"/>
  <c r="Y20" i="71"/>
  <c r="Z20" i="71" s="1"/>
  <c r="AB12" i="71"/>
  <c r="X14" i="71"/>
  <c r="AA14" i="71"/>
  <c r="AB14" i="71"/>
  <c r="AA7" i="71"/>
  <c r="X8" i="71"/>
  <c r="X10" i="71"/>
  <c r="AB10" i="71"/>
  <c r="AB9" i="71"/>
  <c r="Y9" i="71"/>
  <c r="Z9" i="71" s="1"/>
  <c r="Y7" i="71"/>
  <c r="Z7" i="71"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B20" i="31"/>
  <c r="B21" i="31" s="1"/>
  <c r="I1" i="73"/>
  <c r="B39" i="1" s="1"/>
  <c r="F51" i="67"/>
  <c r="F65" i="67"/>
  <c r="J20" i="67"/>
  <c r="B12" i="70"/>
  <c r="F51" i="15"/>
  <c r="B7" i="70"/>
  <c r="F66" i="67"/>
  <c r="B11" i="70"/>
  <c r="L59" i="15"/>
  <c r="N59" i="15"/>
  <c r="L58" i="15"/>
  <c r="M59" i="15"/>
  <c r="B8" i="70"/>
  <c r="F66" i="15"/>
  <c r="Q71" i="67"/>
  <c r="F64" i="15"/>
  <c r="C27" i="67"/>
  <c r="F71" i="67"/>
  <c r="C27" i="15"/>
  <c r="F65" i="15"/>
  <c r="B9" i="70"/>
  <c r="N59" i="67"/>
  <c r="L59" i="67"/>
  <c r="M59" i="67"/>
  <c r="B13" i="70"/>
  <c r="M7" i="67"/>
  <c r="F50" i="67"/>
  <c r="F63" i="67"/>
  <c r="C62" i="67" s="1"/>
  <c r="C34" i="67"/>
  <c r="F68" i="67"/>
  <c r="F64" i="67"/>
  <c r="F68" i="15"/>
  <c r="M27" i="67"/>
  <c r="F42" i="67"/>
  <c r="C14" i="67"/>
  <c r="F6" i="67"/>
  <c r="G1" i="73"/>
  <c r="M26" i="67"/>
  <c r="M22" i="67"/>
  <c r="M9" i="67"/>
  <c r="C17" i="67"/>
  <c r="F41" i="67"/>
  <c r="L48" i="67"/>
  <c r="D3" i="73"/>
  <c r="C16" i="67"/>
  <c r="J57" i="67" l="1"/>
  <c r="J55" i="67" s="1"/>
  <c r="J58" i="67" s="1"/>
  <c r="Q50" i="67" s="1"/>
  <c r="I54" i="67"/>
  <c r="J53" i="67"/>
  <c r="F1" i="67" s="1"/>
  <c r="L56" i="67"/>
  <c r="L58" i="67"/>
  <c r="Q60" i="67" s="1"/>
  <c r="F70" i="67"/>
  <c r="C6" i="67"/>
  <c r="C32" i="67" s="1"/>
  <c r="F69" i="67"/>
  <c r="J6" i="67"/>
  <c r="J18" i="67" s="1"/>
  <c r="C7" i="43"/>
  <c r="E12" i="6"/>
  <c r="AZ32" i="3"/>
  <c r="AZ30" i="3"/>
  <c r="U44" i="34"/>
  <c r="C49" i="71"/>
  <c r="D48" i="71"/>
  <c r="C41" i="71"/>
  <c r="D40" i="71"/>
  <c r="U7" i="81"/>
  <c r="AB7" i="81"/>
  <c r="AZ33" i="3"/>
  <c r="AZ26" i="3"/>
  <c r="AA38" i="40"/>
  <c r="S38" i="40"/>
  <c r="AC9" i="36"/>
  <c r="W9" i="36"/>
  <c r="AC12" i="33"/>
  <c r="W12" i="33"/>
  <c r="AA24" i="36"/>
  <c r="S24" i="36"/>
  <c r="AB19" i="34"/>
  <c r="U19" i="34"/>
  <c r="U31" i="21"/>
  <c r="AB31" i="21"/>
  <c r="U26" i="35"/>
  <c r="AB26" i="35"/>
  <c r="D121" i="9"/>
  <c r="D7" i="52" s="1"/>
  <c r="D6" i="52"/>
  <c r="AZ498" i="3"/>
  <c r="AZ506" i="3"/>
  <c r="AZ531" i="3"/>
  <c r="AZ539" i="3"/>
  <c r="W39" i="40"/>
  <c r="AC39" i="40"/>
  <c r="AA32" i="40"/>
  <c r="S32" i="40"/>
  <c r="S45" i="39"/>
  <c r="AA45" i="39"/>
  <c r="U43" i="39"/>
  <c r="AB43" i="39"/>
  <c r="AA25" i="37"/>
  <c r="S25" i="37"/>
  <c r="U25" i="37"/>
  <c r="AB25" i="37"/>
  <c r="W9" i="37"/>
  <c r="AC9" i="37"/>
  <c r="B38" i="72"/>
  <c r="D20" i="53"/>
  <c r="B40" i="72" s="1"/>
  <c r="C57" i="71"/>
  <c r="D56" i="71"/>
  <c r="AA7" i="81"/>
  <c r="S7" i="81"/>
  <c r="AC7" i="81"/>
  <c r="W7" i="81"/>
  <c r="AZ450" i="3"/>
  <c r="AZ434" i="3"/>
  <c r="AZ418" i="3"/>
  <c r="C34" i="34"/>
  <c r="C34" i="81"/>
  <c r="J22" i="9"/>
  <c r="E19" i="6"/>
  <c r="AC38" i="40"/>
  <c r="W38" i="40"/>
  <c r="AA9" i="36"/>
  <c r="S9" i="36"/>
  <c r="U12" i="33"/>
  <c r="AB12" i="33"/>
  <c r="AC24" i="36"/>
  <c r="W24" i="36"/>
  <c r="AA19" i="34"/>
  <c r="S19" i="34"/>
  <c r="S31" i="21"/>
  <c r="AA31" i="21"/>
  <c r="U13" i="39"/>
  <c r="AB13" i="39"/>
  <c r="AA26" i="35"/>
  <c r="S26" i="35"/>
  <c r="AZ523" i="3"/>
  <c r="U39" i="40"/>
  <c r="AB39" i="40"/>
  <c r="AB32" i="40"/>
  <c r="U32" i="40"/>
  <c r="AC32" i="40"/>
  <c r="W32" i="40"/>
  <c r="U45" i="39"/>
  <c r="AB45" i="39"/>
  <c r="AC43" i="39"/>
  <c r="W43" i="39"/>
  <c r="AC25" i="37"/>
  <c r="W25" i="37"/>
  <c r="S9" i="37"/>
  <c r="AA9" i="37"/>
  <c r="AA37" i="34"/>
  <c r="S37" i="34"/>
  <c r="U37" i="34"/>
  <c r="AB37" i="34"/>
  <c r="AC40" i="34"/>
  <c r="W40" i="34"/>
  <c r="AA39" i="34"/>
  <c r="W44" i="34"/>
  <c r="AC44" i="34"/>
  <c r="W43" i="34"/>
  <c r="AC43" i="34"/>
  <c r="U29" i="34"/>
  <c r="W17" i="34"/>
  <c r="AC17" i="34"/>
  <c r="U17" i="34"/>
  <c r="AB17" i="34"/>
  <c r="AA17" i="34"/>
  <c r="S17" i="34"/>
  <c r="S15" i="34"/>
  <c r="W15" i="34"/>
  <c r="AB15" i="34"/>
  <c r="U15" i="34"/>
  <c r="F48" i="69"/>
  <c r="C48" i="11"/>
  <c r="C30" i="11"/>
  <c r="F48" i="68"/>
  <c r="C30" i="68"/>
  <c r="C48" i="68"/>
  <c r="P6" i="1"/>
  <c r="E56" i="40"/>
  <c r="E13" i="6"/>
  <c r="E14" i="6"/>
  <c r="E56" i="39"/>
  <c r="E10" i="6"/>
  <c r="AZ25" i="3"/>
  <c r="AH13" i="43"/>
  <c r="AD13" i="43"/>
  <c r="Z13" i="43"/>
  <c r="BA5" i="3"/>
  <c r="E27" i="6" s="1"/>
  <c r="F30" i="6"/>
  <c r="F31" i="6" s="1"/>
  <c r="E16" i="6"/>
  <c r="E58" i="40"/>
  <c r="E62" i="39"/>
  <c r="E63" i="39"/>
  <c r="E59" i="40"/>
  <c r="E60" i="40"/>
  <c r="E64" i="39"/>
  <c r="E57" i="40"/>
  <c r="E61" i="39"/>
  <c r="AZ13" i="3"/>
  <c r="F104" i="43"/>
  <c r="F107" i="43"/>
  <c r="F106" i="43"/>
  <c r="F105" i="43"/>
  <c r="F102" i="43"/>
  <c r="F103" i="43"/>
  <c r="F109" i="43"/>
  <c r="D22" i="43"/>
  <c r="G105" i="43"/>
  <c r="G103" i="43"/>
  <c r="G106" i="43"/>
  <c r="G107" i="43"/>
  <c r="G104" i="43"/>
  <c r="G109" i="43"/>
  <c r="I109" i="43"/>
  <c r="I104" i="43"/>
  <c r="I107" i="43"/>
  <c r="I105" i="43"/>
  <c r="I102" i="43"/>
  <c r="I106" i="43"/>
  <c r="I103" i="43"/>
  <c r="D109" i="43"/>
  <c r="D105" i="43"/>
  <c r="D106" i="43"/>
  <c r="D102" i="43"/>
  <c r="D103" i="43"/>
  <c r="D104" i="43"/>
  <c r="D107" i="43"/>
  <c r="AG13" i="43"/>
  <c r="AC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9" i="43"/>
  <c r="C107" i="43"/>
  <c r="C103" i="43"/>
  <c r="C102" i="43"/>
  <c r="N102" i="43"/>
  <c r="N103" i="43"/>
  <c r="N106" i="43"/>
  <c r="N104" i="43"/>
  <c r="N109" i="43"/>
  <c r="N105" i="43"/>
  <c r="N107" i="43"/>
  <c r="K103" i="43"/>
  <c r="K107" i="43"/>
  <c r="K104" i="43"/>
  <c r="K105" i="43"/>
  <c r="K102" i="43"/>
  <c r="K106" i="43"/>
  <c r="K109" i="43"/>
  <c r="H107" i="43"/>
  <c r="H106" i="43"/>
  <c r="H105" i="43"/>
  <c r="H109" i="43"/>
  <c r="H102" i="43"/>
  <c r="H103" i="43"/>
  <c r="H104" i="43"/>
  <c r="J104" i="43"/>
  <c r="J103" i="43"/>
  <c r="J107" i="43"/>
  <c r="J102" i="43"/>
  <c r="J106" i="43"/>
  <c r="J109"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F7" i="36"/>
  <c r="J7" i="37"/>
  <c r="AC7" i="37" s="1"/>
  <c r="V42" i="37" s="1"/>
  <c r="I42" i="37" s="1"/>
  <c r="H7" i="36"/>
  <c r="H7" i="34"/>
  <c r="AB7" i="34" s="1"/>
  <c r="F7" i="34"/>
  <c r="C20" i="71"/>
  <c r="T21" i="71"/>
  <c r="D21" i="71"/>
  <c r="U21" i="71" s="1"/>
  <c r="N64" i="71"/>
  <c r="B63" i="71"/>
  <c r="D60" i="71"/>
  <c r="C61" i="71"/>
  <c r="C53" i="71"/>
  <c r="D52" i="71"/>
  <c r="AZ5" i="3"/>
  <c r="AB34" i="35"/>
  <c r="U34" i="35"/>
  <c r="U9" i="34"/>
  <c r="AB9" i="34"/>
  <c r="AB36" i="35"/>
  <c r="U36" i="35"/>
  <c r="E69" i="3"/>
  <c r="E237" i="3"/>
  <c r="E114" i="3"/>
  <c r="E261" i="3"/>
  <c r="E278" i="3"/>
  <c r="E304" i="3"/>
  <c r="E415" i="3"/>
  <c r="E528" i="3"/>
  <c r="E563" i="3"/>
  <c r="E125" i="3"/>
  <c r="E217" i="3"/>
  <c r="E366" i="3"/>
  <c r="E526"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0" i="52"/>
  <c r="D125" i="9"/>
  <c r="D11" i="52" s="1"/>
  <c r="H14" i="74"/>
  <c r="B7" i="74" s="1"/>
  <c r="B20" i="71"/>
  <c r="B19" i="71" s="1"/>
  <c r="B18" i="71" s="1"/>
  <c r="B17" i="71" s="1"/>
  <c r="S21" i="71"/>
  <c r="C23" i="71"/>
  <c r="D23" i="71" s="1"/>
  <c r="D24" i="71"/>
  <c r="AC34" i="35"/>
  <c r="W34" i="35"/>
  <c r="W36" i="35"/>
  <c r="AC36" i="35"/>
  <c r="E30" i="6"/>
  <c r="K14" i="1"/>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W7" i="37"/>
  <c r="AB7" i="36"/>
  <c r="T36" i="36" s="1"/>
  <c r="G36" i="36" s="1"/>
  <c r="U7" i="36"/>
  <c r="U7" i="34"/>
  <c r="AA7" i="34"/>
  <c r="S7" i="34"/>
  <c r="F7" i="33"/>
  <c r="E58" i="21"/>
  <c r="AC7" i="36"/>
  <c r="V36" i="36" s="1"/>
  <c r="I36" i="36" s="1"/>
  <c r="W7" i="36"/>
  <c r="F7" i="37"/>
  <c r="W7" i="34"/>
  <c r="AC7" i="34"/>
  <c r="M17" i="67"/>
  <c r="M17" i="15"/>
  <c r="F59" i="15"/>
  <c r="P24" i="43"/>
  <c r="B66" i="40" s="1"/>
  <c r="P21" i="43"/>
  <c r="C49" i="67"/>
  <c r="P25" i="43"/>
  <c r="P23" i="43"/>
  <c r="B70" i="39" s="1"/>
  <c r="C15" i="67"/>
  <c r="C18" i="67"/>
  <c r="M28" i="43"/>
  <c r="N28" i="43"/>
  <c r="O28" i="43"/>
  <c r="P28" i="43"/>
  <c r="M11" i="67"/>
  <c r="J10" i="67" s="1"/>
  <c r="F11" i="15"/>
  <c r="M11" i="15"/>
  <c r="F11" i="67"/>
  <c r="F1" i="15"/>
  <c r="Q52" i="15"/>
  <c r="Q60" i="15"/>
  <c r="Q73" i="15"/>
  <c r="Q61" i="67"/>
  <c r="Q74" i="67"/>
  <c r="Q74" i="15"/>
  <c r="Q61" i="15"/>
  <c r="AE6" i="1"/>
  <c r="Q52" i="67" l="1"/>
  <c r="Q73" i="67"/>
  <c r="J5" i="67"/>
  <c r="J24" i="67" s="1"/>
  <c r="D3" i="81"/>
  <c r="K6" i="1"/>
  <c r="J34" i="81"/>
  <c r="F34" i="81"/>
  <c r="H34" i="81"/>
  <c r="T57" i="71"/>
  <c r="D57" i="71"/>
  <c r="T41" i="71"/>
  <c r="D41" i="71"/>
  <c r="T49" i="71"/>
  <c r="D49" i="71"/>
  <c r="H34" i="34"/>
  <c r="F34" i="34"/>
  <c r="J34" i="34"/>
  <c r="J37" i="34"/>
  <c r="K22" i="6"/>
  <c r="M22" i="6" s="1"/>
  <c r="I22" i="6" s="1"/>
  <c r="S22" i="6" s="1"/>
  <c r="K21" i="6"/>
  <c r="M21" i="6" s="1"/>
  <c r="I21" i="6" s="1"/>
  <c r="S21" i="6" s="1"/>
  <c r="K25" i="6"/>
  <c r="M25" i="6" s="1"/>
  <c r="I25" i="6" s="1"/>
  <c r="S25" i="6" s="1"/>
  <c r="K24" i="6"/>
  <c r="M24" i="6" s="1"/>
  <c r="I24" i="6" s="1"/>
  <c r="S24" i="6" s="1"/>
  <c r="K26" i="6"/>
  <c r="M26" i="6" s="1"/>
  <c r="I26" i="6" s="1"/>
  <c r="S26" i="6" s="1"/>
  <c r="E31" i="6"/>
  <c r="K19" i="6"/>
  <c r="K20" i="6"/>
  <c r="M20" i="6" s="1"/>
  <c r="I20" i="6" s="1"/>
  <c r="S20" i="6" s="1"/>
  <c r="K23" i="6"/>
  <c r="M23" i="6" s="1"/>
  <c r="I23" i="6" s="1"/>
  <c r="S23" i="6" s="1"/>
  <c r="E65" i="39"/>
  <c r="AC6" i="3"/>
  <c r="H6" i="3"/>
  <c r="C115" i="43"/>
  <c r="D113" i="43" s="1"/>
  <c r="S2" i="43"/>
  <c r="T2" i="43" s="1"/>
  <c r="V2" i="43" s="1"/>
  <c r="C23" i="43"/>
  <c r="C21" i="43" s="1"/>
  <c r="C29" i="43" s="1"/>
  <c r="C30" i="43" s="1"/>
  <c r="E30" i="43" s="1"/>
  <c r="S7" i="43"/>
  <c r="T7" i="43" s="1"/>
  <c r="V7" i="43" s="1"/>
  <c r="S6" i="43"/>
  <c r="T6" i="43" s="1"/>
  <c r="V6" i="43" s="1"/>
  <c r="S3" i="43"/>
  <c r="T3" i="43" s="1"/>
  <c r="V3" i="43" s="1"/>
  <c r="S5" i="43"/>
  <c r="T5" i="43" s="1"/>
  <c r="V5" i="43" s="1"/>
  <c r="S4" i="43"/>
  <c r="T4" i="43" s="1"/>
  <c r="V4" i="43" s="1"/>
  <c r="AY6" i="3"/>
  <c r="E3" i="6"/>
  <c r="D53" i="71"/>
  <c r="T53" i="71"/>
  <c r="U7" i="37"/>
  <c r="E8" i="71"/>
  <c r="E7" i="71" s="1"/>
  <c r="E6" i="71" s="1"/>
  <c r="E5" i="71" s="1"/>
  <c r="V9" i="71"/>
  <c r="K27" i="6"/>
  <c r="M14" i="1"/>
  <c r="K16" i="1"/>
  <c r="C34" i="69"/>
  <c r="B16" i="71"/>
  <c r="B15" i="71" s="1"/>
  <c r="B14" i="71" s="1"/>
  <c r="B13" i="71" s="1"/>
  <c r="S17" i="71"/>
  <c r="D61" i="71"/>
  <c r="T61" i="71"/>
  <c r="N63" i="71"/>
  <c r="N62" i="71"/>
  <c r="C19" i="71"/>
  <c r="D20"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C53" i="67"/>
  <c r="C48" i="67" s="1"/>
  <c r="C10" i="67"/>
  <c r="C5" i="67" s="1"/>
  <c r="C53" i="15"/>
  <c r="F25" i="12"/>
  <c r="F22" i="69"/>
  <c r="F41" i="69" s="1"/>
  <c r="F24" i="67"/>
  <c r="C24" i="67" s="1"/>
  <c r="F22" i="11"/>
  <c r="F22" i="68"/>
  <c r="F24" i="15"/>
  <c r="C24" i="15" s="1"/>
  <c r="F43" i="15"/>
  <c r="M29" i="15"/>
  <c r="F7" i="15"/>
  <c r="F41" i="15"/>
  <c r="F50" i="15" l="1"/>
  <c r="C49" i="15" s="1"/>
  <c r="C48" i="15" s="1"/>
  <c r="M7" i="15"/>
  <c r="J6" i="15" s="1"/>
  <c r="F71" i="15"/>
  <c r="AC34" i="34"/>
  <c r="W34" i="34"/>
  <c r="AB34" i="34"/>
  <c r="T49" i="34" s="1"/>
  <c r="G49" i="34" s="1"/>
  <c r="G53" i="34" s="1"/>
  <c r="H53" i="34" s="1"/>
  <c r="U34" i="34"/>
  <c r="AB34" i="81"/>
  <c r="T49" i="81" s="1"/>
  <c r="G49" i="81" s="1"/>
  <c r="U34" i="81"/>
  <c r="AC34" i="81"/>
  <c r="V49" i="81" s="1"/>
  <c r="I49" i="81" s="1"/>
  <c r="I53" i="81" s="1"/>
  <c r="J53" i="81" s="1"/>
  <c r="W34" i="81"/>
  <c r="AA34" i="34"/>
  <c r="R49" i="34" s="1"/>
  <c r="E49" i="34" s="1"/>
  <c r="S34" i="34"/>
  <c r="AA34" i="81"/>
  <c r="R49" i="81" s="1"/>
  <c r="S34" i="81"/>
  <c r="M6" i="1"/>
  <c r="Q16" i="1"/>
  <c r="H16" i="1"/>
  <c r="G16" i="1"/>
  <c r="AC37" i="34"/>
  <c r="V49" i="34" s="1"/>
  <c r="I49" i="34" s="1"/>
  <c r="W37" i="34"/>
  <c r="R50" i="34"/>
  <c r="C50" i="34" s="1"/>
  <c r="F69" i="15"/>
  <c r="M19" i="6"/>
  <c r="S6" i="1"/>
  <c r="E6" i="70" s="1"/>
  <c r="E2" i="70" s="1"/>
  <c r="E29" i="43"/>
  <c r="E6" i="3"/>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8" i="71"/>
  <c r="D19" i="71"/>
  <c r="C35" i="69"/>
  <c r="C38" i="69"/>
  <c r="O14" i="1"/>
  <c r="M16" i="1"/>
  <c r="M27" i="6"/>
  <c r="I19" i="6"/>
  <c r="D3" i="34"/>
  <c r="D3" i="33"/>
  <c r="D19" i="11"/>
  <c r="C19" i="11" s="1"/>
  <c r="C24" i="11" s="1"/>
  <c r="C17" i="4"/>
  <c r="B4" i="52" s="1"/>
  <c r="B43" i="72" s="1"/>
  <c r="L18" i="9"/>
  <c r="D3" i="37"/>
  <c r="D3" i="21"/>
  <c r="E6" i="6"/>
  <c r="D37" i="11"/>
  <c r="C37" i="11" s="1"/>
  <c r="D14" i="12"/>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U6" i="1"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66" i="67"/>
  <c r="C60" i="67"/>
  <c r="C23" i="67"/>
  <c r="C29" i="67" s="1"/>
  <c r="C16" i="15"/>
  <c r="F6" i="15"/>
  <c r="E6" i="76"/>
  <c r="B6" i="76"/>
  <c r="C17" i="15"/>
  <c r="C66" i="15" l="1"/>
  <c r="C60" i="15"/>
  <c r="F10" i="39"/>
  <c r="H10" i="39"/>
  <c r="J10" i="39"/>
  <c r="J10" i="40"/>
  <c r="F10" i="40"/>
  <c r="H10" i="40"/>
  <c r="F27" i="11"/>
  <c r="F27" i="68"/>
  <c r="F28" i="12"/>
  <c r="C29" i="12" s="1"/>
  <c r="D28" i="12" s="1"/>
  <c r="F27" i="69"/>
  <c r="O6" i="1"/>
  <c r="O16" i="1" s="1"/>
  <c r="R50" i="81"/>
  <c r="E49" i="81"/>
  <c r="J18" i="15"/>
  <c r="J10" i="15"/>
  <c r="J5" i="15" s="1"/>
  <c r="G53" i="81"/>
  <c r="H53" i="81" s="1"/>
  <c r="G54" i="81"/>
  <c r="H54" i="81" s="1"/>
  <c r="I53" i="34"/>
  <c r="J53" i="34" s="1"/>
  <c r="G54" i="34"/>
  <c r="H54" i="34" s="1"/>
  <c r="C6" i="15"/>
  <c r="C33" i="15" s="1"/>
  <c r="B2" i="34"/>
  <c r="B3" i="34" s="1"/>
  <c r="AQ6" i="1"/>
  <c r="T6" i="1"/>
  <c r="AR6" i="1"/>
  <c r="S16" i="1"/>
  <c r="C8" i="74"/>
  <c r="C7" i="74"/>
  <c r="S19" i="6"/>
  <c r="S27" i="6" s="1"/>
  <c r="I27" i="6"/>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D17" i="12"/>
  <c r="C17" i="12" s="1"/>
  <c r="C14" i="12"/>
  <c r="D10" i="68"/>
  <c r="D10" i="11"/>
  <c r="C10" i="11" s="1"/>
  <c r="D10" i="69"/>
  <c r="D20" i="12"/>
  <c r="C20" i="12" s="1"/>
  <c r="C20" i="11"/>
  <c r="C25" i="11" s="1"/>
  <c r="C22" i="11" s="1"/>
  <c r="N16" i="1"/>
  <c r="L16" i="1"/>
  <c r="C34" i="11"/>
  <c r="C34" i="68"/>
  <c r="P14" i="1"/>
  <c r="P16" i="1" s="1"/>
  <c r="C11" i="12" s="1"/>
  <c r="D18" i="71"/>
  <c r="C17" i="71"/>
  <c r="B8" i="71"/>
  <c r="B7" i="71" s="1"/>
  <c r="B6" i="71" s="1"/>
  <c r="B5" i="71" s="1"/>
  <c r="S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36" i="67"/>
  <c r="C33" i="67"/>
  <c r="C31" i="67" s="1"/>
  <c r="J14" i="67"/>
  <c r="C13" i="67"/>
  <c r="J19" i="67"/>
  <c r="J17" i="67" s="1"/>
  <c r="C57" i="67"/>
  <c r="C61" i="67" s="1"/>
  <c r="Q49" i="67"/>
  <c r="J59" i="67"/>
  <c r="J60" i="67" s="1"/>
  <c r="C14" i="15"/>
  <c r="C18" i="15" l="1"/>
  <c r="C15" i="15"/>
  <c r="T16" i="1"/>
  <c r="J24" i="15"/>
  <c r="J26" i="15"/>
  <c r="J29" i="15" s="1"/>
  <c r="I54" i="81"/>
  <c r="J54" i="81" s="1"/>
  <c r="E53" i="81"/>
  <c r="F53" i="81" s="1"/>
  <c r="E54" i="81"/>
  <c r="F54" i="81" s="1"/>
  <c r="C29" i="11"/>
  <c r="D27" i="11" s="1"/>
  <c r="C47" i="11"/>
  <c r="D45" i="11" s="1"/>
  <c r="AA10" i="40"/>
  <c r="S10" i="40"/>
  <c r="W10" i="39"/>
  <c r="AC10" i="39"/>
  <c r="AA10" i="39"/>
  <c r="S10" i="39"/>
  <c r="C49" i="81"/>
  <c r="C50" i="81"/>
  <c r="C47" i="69"/>
  <c r="D45" i="69" s="1"/>
  <c r="F45" i="69"/>
  <c r="C29" i="69"/>
  <c r="D27" i="69" s="1"/>
  <c r="F45" i="68"/>
  <c r="C29" i="68"/>
  <c r="D27" i="68" s="1"/>
  <c r="C47" i="68"/>
  <c r="D45" i="68" s="1"/>
  <c r="U10" i="40"/>
  <c r="AB10" i="40"/>
  <c r="W10" i="40"/>
  <c r="AC10" i="40"/>
  <c r="AB10" i="39"/>
  <c r="U10" i="39"/>
  <c r="C32" i="15"/>
  <c r="C10" i="15"/>
  <c r="C5" i="15" s="1"/>
  <c r="C38" i="15" s="1"/>
  <c r="H27" i="6"/>
  <c r="R24" i="6"/>
  <c r="R25" i="6"/>
  <c r="R20" i="6"/>
  <c r="D16" i="6"/>
  <c r="D30" i="6"/>
  <c r="C16" i="71"/>
  <c r="T17" i="71"/>
  <c r="D17" i="71"/>
  <c r="U17" i="71" s="1"/>
  <c r="C15" i="12"/>
  <c r="C12" i="12"/>
  <c r="C38" i="11"/>
  <c r="C35" i="11"/>
  <c r="F50" i="11"/>
  <c r="F50" i="68"/>
  <c r="F50" i="69"/>
  <c r="C10" i="69"/>
  <c r="C8" i="69" s="1"/>
  <c r="C5" i="69" s="1"/>
  <c r="D19" i="69"/>
  <c r="C10" i="68"/>
  <c r="B29" i="1" s="1"/>
  <c r="C8" i="68" s="1"/>
  <c r="D19" i="68"/>
  <c r="R26" i="6"/>
  <c r="D8" i="74"/>
  <c r="D7" i="74"/>
  <c r="C38" i="68"/>
  <c r="C35" i="68"/>
  <c r="C28" i="11"/>
  <c r="C27" i="11" s="1"/>
  <c r="C31" i="11" s="1"/>
  <c r="R22" i="6"/>
  <c r="R21" i="6"/>
  <c r="R23" i="6"/>
  <c r="A7" i="51"/>
  <c r="B7" i="72" s="1"/>
  <c r="C4" i="52"/>
  <c r="B45" i="72" s="1"/>
  <c r="A10" i="51"/>
  <c r="B9" i="72" s="1"/>
  <c r="D27" i="6"/>
  <c r="D31" i="6" s="1"/>
  <c r="R19" i="6"/>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19" i="15" l="1"/>
  <c r="C20" i="15" s="1"/>
  <c r="C26" i="15" s="1"/>
  <c r="B3" i="81"/>
  <c r="B2" i="81"/>
  <c r="C18" i="12"/>
  <c r="R27" i="6"/>
  <c r="R6" i="1"/>
  <c r="C16" i="12"/>
  <c r="I6" i="6"/>
  <c r="I5" i="6"/>
  <c r="C19" i="68"/>
  <c r="D37" i="68"/>
  <c r="C37" i="68" s="1"/>
  <c r="C33" i="68" s="1"/>
  <c r="C19" i="69"/>
  <c r="C24" i="69" s="1"/>
  <c r="D37" i="69"/>
  <c r="C37" i="69" s="1"/>
  <c r="C33" i="69" s="1"/>
  <c r="C15" i="71"/>
  <c r="D16" i="71"/>
  <c r="C23" i="69"/>
  <c r="C33"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23" i="15" l="1"/>
  <c r="C29" i="15" s="1"/>
  <c r="J14" i="15" s="1"/>
  <c r="C21" i="12"/>
  <c r="C22" i="12" s="1"/>
  <c r="C30" i="12" s="1"/>
  <c r="C28" i="12" s="1"/>
  <c r="J20" i="15"/>
  <c r="F63" i="15"/>
  <c r="C62" i="15" s="1"/>
  <c r="C34" i="15"/>
  <c r="C31" i="15" s="1"/>
  <c r="R16" i="1"/>
  <c r="C20" i="69"/>
  <c r="C25" i="69" s="1"/>
  <c r="C22" i="69" s="1"/>
  <c r="C39" i="11"/>
  <c r="C42" i="11"/>
  <c r="C14" i="71"/>
  <c r="D15" i="71"/>
  <c r="C24" i="68"/>
  <c r="C39" i="69"/>
  <c r="C43" i="69" s="1"/>
  <c r="C42" i="69"/>
  <c r="C39" i="68"/>
  <c r="C42" i="68"/>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7" i="15" l="1"/>
  <c r="C64" i="15" s="1"/>
  <c r="C13" i="15"/>
  <c r="Q70" i="15" s="1"/>
  <c r="C36" i="15"/>
  <c r="J19" i="15"/>
  <c r="Q49" i="15"/>
  <c r="J17" i="15"/>
  <c r="J13" i="15"/>
  <c r="J23" i="15" s="1"/>
  <c r="J22" i="15"/>
  <c r="C27" i="12"/>
  <c r="C25" i="12" s="1"/>
  <c r="C32" i="12" s="1"/>
  <c r="B2" i="12" s="1"/>
  <c r="B3" i="12" s="1"/>
  <c r="C28" i="69"/>
  <c r="C27" i="69" s="1"/>
  <c r="C31" i="69" s="1"/>
  <c r="L57" i="15"/>
  <c r="L60" i="15" s="1"/>
  <c r="L46" i="15" s="1"/>
  <c r="C41" i="69"/>
  <c r="C46" i="69"/>
  <c r="C45" i="69" s="1"/>
  <c r="C46" i="68"/>
  <c r="C45" i="68" s="1"/>
  <c r="C43" i="68"/>
  <c r="C41" i="68" s="1"/>
  <c r="C13" i="71"/>
  <c r="D14" i="71"/>
  <c r="C46" i="11"/>
  <c r="C45" i="11" s="1"/>
  <c r="C43" i="11"/>
  <c r="C41"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7" i="15" l="1"/>
  <c r="C61" i="15"/>
  <c r="C59" i="15" s="1"/>
  <c r="C75" i="15"/>
  <c r="C56" i="15"/>
  <c r="C65" i="15" s="1"/>
  <c r="C30" i="15"/>
  <c r="C39" i="15" s="1"/>
  <c r="C80" i="15" s="1"/>
  <c r="C79" i="15" s="1"/>
  <c r="J16" i="15"/>
  <c r="J25" i="15" s="1"/>
  <c r="Q66" i="15"/>
  <c r="Q57" i="15"/>
  <c r="C49" i="11"/>
  <c r="C51" i="11" s="1"/>
  <c r="C52" i="11" s="1"/>
  <c r="B2" i="11" s="1"/>
  <c r="B3" i="11" s="1"/>
  <c r="C49" i="69"/>
  <c r="C51" i="69" s="1"/>
  <c r="C52" i="69" s="1"/>
  <c r="B2" i="69" s="1"/>
  <c r="B3" i="69" s="1"/>
  <c r="C49" i="68"/>
  <c r="C12" i="71"/>
  <c r="T13" i="71"/>
  <c r="D13" i="71"/>
  <c r="U13" i="71" s="1"/>
  <c r="M69" i="39"/>
  <c r="N67" i="39"/>
  <c r="R39" i="35"/>
  <c r="E38" i="35"/>
  <c r="M63" i="40"/>
  <c r="L65" i="40"/>
  <c r="L51" i="15"/>
  <c r="C58" i="15" l="1"/>
  <c r="C67" i="15" s="1"/>
  <c r="C68" i="15" s="1"/>
  <c r="C71" i="15" s="1"/>
  <c r="C40" i="15"/>
  <c r="B2" i="15" s="1"/>
  <c r="B3" i="15" s="1"/>
  <c r="Q69" i="15"/>
  <c r="Q68" i="15" s="1"/>
  <c r="Q65" i="15"/>
  <c r="Q75" i="15" s="1"/>
  <c r="Q67" i="15"/>
  <c r="C51" i="68"/>
  <c r="J48" i="68"/>
  <c r="D12" i="71"/>
  <c r="C11" i="71"/>
  <c r="C57" i="69"/>
  <c r="C56" i="69" s="1"/>
  <c r="C56" i="11"/>
  <c r="C57" i="11" s="1"/>
  <c r="O67" i="39"/>
  <c r="O69" i="39" s="1"/>
  <c r="N69" i="39"/>
  <c r="F7" i="39"/>
  <c r="C39" i="35"/>
  <c r="B2" i="35" s="1"/>
  <c r="B3" i="35" s="1"/>
  <c r="C38" i="35"/>
  <c r="N63" i="40"/>
  <c r="M65" i="40"/>
  <c r="E43" i="35"/>
  <c r="F43" i="35" s="1"/>
  <c r="E42" i="35"/>
  <c r="F42" i="35" s="1"/>
  <c r="I43" i="35"/>
  <c r="J43" i="35" s="1"/>
  <c r="C19" i="9"/>
  <c r="D19" i="9"/>
  <c r="AO6" i="1"/>
  <c r="D20" i="9"/>
  <c r="C83" i="15" l="1"/>
  <c r="C82" i="15" s="1"/>
  <c r="C46" i="15"/>
  <c r="C43" i="15"/>
  <c r="Q56" i="15"/>
  <c r="Q62" i="15" s="1"/>
  <c r="Q47" i="15"/>
  <c r="Q53" i="15" s="1"/>
  <c r="B6" i="70"/>
  <c r="B2" i="70" s="1"/>
  <c r="B3" i="70" s="1"/>
  <c r="D102" i="9"/>
  <c r="D21" i="9"/>
  <c r="D103" i="9"/>
  <c r="G19" i="9"/>
  <c r="D14" i="74" s="1"/>
  <c r="D22" i="9"/>
  <c r="C102" i="9"/>
  <c r="C21" i="9"/>
  <c r="D11" i="71"/>
  <c r="C10" i="71"/>
  <c r="H7" i="39"/>
  <c r="J7" i="39"/>
  <c r="S7" i="39"/>
  <c r="AA7" i="39"/>
  <c r="R47" i="39" s="1"/>
  <c r="O63" i="40"/>
  <c r="O65" i="40" s="1"/>
  <c r="N65" i="40"/>
  <c r="C20" i="9"/>
  <c r="H23" i="9" l="1"/>
  <c r="H24" i="9"/>
  <c r="G21" i="9"/>
  <c r="J25" i="9"/>
  <c r="K25" i="9" s="1"/>
  <c r="C103" i="9"/>
  <c r="G20" i="9"/>
  <c r="C32" i="9" s="1"/>
  <c r="D10" i="71"/>
  <c r="C9" i="71"/>
  <c r="W7" i="39"/>
  <c r="AC7" i="39"/>
  <c r="V47" i="39" s="1"/>
  <c r="I47" i="39" s="1"/>
  <c r="E47" i="39"/>
  <c r="R48" i="39"/>
  <c r="U7" i="39"/>
  <c r="AB7" i="39"/>
  <c r="T47" i="39" s="1"/>
  <c r="G47" i="39" s="1"/>
  <c r="J7" i="40"/>
  <c r="F7" i="40"/>
  <c r="H7" i="40"/>
  <c r="C35" i="9" l="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8" l="1"/>
  <c r="C7" i="68" l="1"/>
  <c r="C5" i="68" s="1"/>
  <c r="C23" i="68" l="1"/>
  <c r="C20" i="68"/>
  <c r="C25" i="68" s="1"/>
  <c r="C22" i="68" l="1"/>
  <c r="C28" i="68"/>
  <c r="C27" i="68" s="1"/>
  <c r="C31" i="68" l="1"/>
  <c r="C52" i="68" s="1"/>
  <c r="B2" i="68" s="1"/>
  <c r="B3" i="68" s="1"/>
  <c r="C57" i="68" l="1"/>
  <c r="C56" i="68" s="1"/>
  <c r="B5" i="74" l="1"/>
  <c r="D5" i="74" s="1"/>
  <c r="E14" i="74"/>
  <c r="F14" i="74"/>
  <c r="C5" i="74" l="1"/>
  <c r="D9" i="52"/>
  <c r="D123" i="9"/>
  <c r="B22" i="72"/>
  <c r="D6" i="53"/>
  <c r="F119" i="9"/>
  <c r="F5" i="52"/>
  <c r="B53" i="72"/>
  <c r="E81" i="9"/>
  <c r="E80" i="9"/>
  <c r="C80" i="9"/>
  <c r="C72" i="9"/>
  <c r="C79" i="9"/>
  <c r="C81" i="9"/>
  <c r="N58" i="9"/>
  <c r="P57" i="9"/>
  <c r="B52" i="72"/>
  <c r="G4" i="52"/>
  <c r="E97" i="9"/>
  <c r="E96" i="9"/>
  <c r="C96" i="9"/>
  <c r="M54" i="9"/>
  <c r="C85" i="9"/>
  <c r="C95" i="9"/>
  <c r="C97" i="9"/>
  <c r="D58" i="9"/>
  <c r="D56" i="9"/>
  <c r="D5" i="53"/>
  <c r="B20" i="72"/>
  <c r="B47" i="72"/>
  <c r="D4" i="52"/>
  <c r="B32" i="72"/>
  <c r="D14" i="53"/>
  <c r="H5" i="52"/>
  <c r="H119" i="9"/>
  <c r="B31" i="72"/>
  <c r="D15" i="53"/>
  <c r="H108" i="9"/>
  <c r="B51" i="72"/>
  <c r="G118" i="9"/>
  <c r="F118" i="9"/>
  <c r="F4" i="52"/>
  <c r="C73" i="9"/>
  <c r="C78" i="9"/>
  <c r="M48" i="9"/>
  <c r="N61" i="9"/>
  <c r="D55" i="9"/>
  <c r="M53" i="9"/>
  <c r="N57" i="9"/>
  <c r="N59" i="9"/>
  <c r="N60" i="9"/>
  <c r="D6" i="74"/>
  <c r="G14" i="74"/>
  <c r="B6" i="74"/>
  <c r="C6" i="74"/>
  <c r="D122" i="9"/>
  <c r="D8" i="52"/>
  <c r="D59" i="9"/>
  <c r="M55" i="9"/>
  <c r="D53" i="9"/>
  <c r="D52" i="9"/>
  <c r="I4" i="52"/>
  <c r="C105" i="9"/>
  <c r="H102" i="9"/>
  <c r="D7" i="53"/>
  <c r="B21" i="72"/>
  <c r="B48" i="72"/>
  <c r="E4" i="52"/>
  <c r="H107" i="9"/>
  <c r="D13" i="53"/>
  <c r="B30" i="72"/>
  <c r="C104" i="9"/>
  <c r="H4" i="52"/>
  <c r="E118" i="9"/>
  <c r="D118" i="9"/>
  <c r="D119" i="9"/>
  <c r="D5" i="52"/>
  <c r="B49" i="72"/>
  <c r="C93" i="9"/>
  <c r="C86"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<sst xmlns="http://schemas.openxmlformats.org/spreadsheetml/2006/main" count="8268" uniqueCount="3426">
  <si>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</si>
  <si>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</si>
  <si>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</si>
  <si>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</si>
  <si>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</si>
  <si>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</si>
  <si>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</si>
  <si>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</si>
  <si>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</si>
  <si>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</si>
  <si>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</si>
  <si>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</si>
  <si>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</si>
  <si>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</si>
  <si>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</si>
  <si>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</si>
  <si>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</si>
  <si>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</si>
  <si>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</si>
  <si>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</si>
  <si>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</si>
  <si>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</si>
  <si>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</si>
  <si>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</si>
  <si>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</si>
  <si>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</si>
  <si>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</si>
  <si>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</si>
  <si>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</si>
  <si>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</si>
  <si>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</si>
  <si>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</si>
  <si>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</si>
  <si>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</si>
  <si>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</si>
  <si>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</si>
  <si>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</si>
  <si>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</si>
  <si>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</si>
  <si>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</si>
  <si>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</si>
  <si>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</si>
  <si>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</si>
  <si>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</si>
  <si>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</si>
  <si>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</si>
  <si>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</si>
  <si>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</si>
  <si>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</si>
  <si>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</si>
  <si>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</si>
  <si>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</si>
  <si>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</si>
  <si>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</si>
  <si>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</si>
  <si>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</si>
  <si>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</si>
  <si>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</si>
  <si>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</si>
  <si>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</si>
  <si>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</si>
  <si>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</si>
  <si>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</si>
  <si>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</si>
  <si>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</si>
  <si>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</si>
  <si>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</si>
  <si>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</si>
  <si>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</si>
  <si>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</si>
  <si>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</si>
  <si>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</si>
  <si>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</si>
  <si>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</si>
  <si>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</si>
  <si>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</si>
  <si>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</si>
  <si>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</si>
  <si>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</si>
  <si>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</si>
  <si>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</si>
  <si>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</si>
  <si>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</si>
  <si>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</si>
  <si>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</si>
  <si>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</si>
  <si>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</si>
  <si>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</si>
  <si>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</si>
  <si>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</si>
  <si>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</si>
  <si>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</si>
  <si>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</si>
  <si>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</si>
  <si>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</si>
  <si>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</si>
  <si>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</si>
  <si>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</si>
  <si>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</si>
  <si>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</si>
  <si>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</si>
  <si>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</si>
  <si>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</si>
  <si>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</si>
  <si>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</si>
  <si>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</si>
  <si>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</si>
  <si>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</si>
  <si>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</si>
  <si>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</si>
  <si>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</si>
  <si>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</si>
  <si>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</si>
  <si>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</si>
  <si>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</si>
  <si>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</si>
  <si>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</si>
  <si>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</si>
  <si>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</si>
  <si>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</si>
  <si>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</si>
  <si>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</si>
  <si>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</si>
  <si>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</si>
  <si>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</si>
  <si>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</si>
  <si>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</si>
  <si>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</si>
  <si>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</si>
  <si>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</si>
  <si>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</si>
  <si>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</si>
  <si>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</si>
  <si>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</si>
  <si>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</si>
  <si>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</si>
  <si>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</si>
  <si>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</si>
  <si>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</si>
  <si>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</si>
  <si>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</si>
  <si>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</si>
  <si>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</si>
  <si>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</si>
  <si>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</si>
  <si>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</si>
  <si>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</si>
  <si>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</si>
  <si>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</si>
  <si>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</si>
  <si>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</si>
  <si>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</si>
  <si>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</si>
  <si>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</si>
  <si>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</si>
  <si>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</si>
  <si>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</si>
  <si>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</si>
  <si>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</si>
  <si>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</si>
  <si>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</si>
  <si>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</si>
  <si>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</si>
  <si>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</si>
  <si>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</si>
  <si>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</si>
  <si>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</si>
  <si>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</si>
  <si>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</si>
  <si>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</si>
  <si>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</si>
  <si>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</si>
  <si>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</si>
  <si>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</si>
  <si>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</si>
  <si>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</si>
  <si>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</si>
  <si>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</si>
  <si>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</si>
  <si>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</si>
  <si>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</si>
  <si>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</si>
  <si>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</si>
  <si>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</si>
  <si>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</si>
  <si>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</si>
  <si>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</si>
  <si>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</si>
  <si>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</si>
  <si>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</si>
  <si>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</si>
  <si>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</si>
  <si>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</si>
  <si>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</si>
  <si>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</si>
  <si>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</si>
  <si>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</si>
  <si>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</si>
  <si>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</si>
  <si>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</si>
  <si>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</si>
  <si>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</si>
  <si>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</si>
  <si>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</si>
  <si>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</si>
  <si>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</si>
  <si>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</si>
  <si>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</si>
  <si>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</si>
  <si>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</si>
  <si>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</si>
  <si>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</si>
  <si>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</si>
  <si>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</si>
  <si>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</si>
  <si>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</si>
  <si>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</si>
  <si>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</si>
  <si>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</si>
  <si>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</si>
  <si>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</si>
  <si>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</si>
  <si>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</si>
  <si>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</si>
  <si>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</si>
  <si>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</si>
  <si>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</si>
  <si>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</si>
  <si>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</si>
  <si>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</si>
  <si>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</si>
  <si>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</si>
  <si>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</si>
  <si>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</si>
  <si>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</si>
  <si>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</si>
  <si>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</si>
  <si>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</si>
  <si>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</si>
  <si>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</si>
  <si>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</si>
  <si>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</si>
  <si>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</si>
  <si>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</si>
  <si>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</si>
  <si>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</si>
  <si>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</si>
  <si>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</si>
  <si>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</si>
  <si>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</si>
  <si>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</si>
  <si>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</si>
  <si>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</si>
  <si>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</si>
  <si>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</si>
  <si>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</si>
  <si>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</si>
  <si>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</si>
  <si>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</si>
  <si>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</si>
  <si>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</si>
  <si>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</si>
  <si>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</si>
  <si>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</si>
  <si>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</si>
  <si>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</si>
  <si>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</si>
  <si>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</si>
  <si>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</si>
  <si>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</si>
  <si>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</si>
  <si>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</si>
  <si>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</si>
  <si>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</si>
  <si>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</si>
  <si>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</si>
  <si>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</si>
  <si>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</si>
  <si>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</si>
  <si>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</si>
  <si>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</si>
  <si>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</si>
  <si>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</si>
  <si>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</si>
  <si>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</si>
  <si>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</si>
  <si>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</si>
  <si>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</si>
  <si>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</si>
  <si>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</si>
  <si>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</si>
  <si>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</si>
  <si>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</si>
  <si>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</si>
  <si>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</si>
  <si>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</si>
  <si>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</si>
  <si>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</si>
  <si>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</si>
  <si>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</si>
  <si>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</si>
  <si>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</si>
  <si>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</si>
  <si>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</si>
  <si>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</si>
  <si>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</si>
  <si>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</si>
  <si>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</si>
  <si>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</si>
  <si>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</si>
  <si>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</si>
  <si>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</si>
  <si>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</si>
  <si>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</si>
  <si>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</si>
  <si>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</si>
  <si>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</si>
  <si>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</si>
  <si>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</si>
  <si>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</si>
  <si>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</si>
  <si>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</si>
  <si>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</si>
  <si>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</si>
  <si>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</si>
  <si>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</si>
  <si>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</si>
  <si>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</si>
  <si>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</si>
  <si>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</si>
  <si>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</si>
  <si>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</si>
  <si>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</si>
  <si>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</si>
  <si>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</si>
  <si>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</si>
  <si>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</si>
  <si>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</si>
  <si>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</si>
  <si>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</si>
  <si>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</si>
  <si>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</si>
  <si>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</si>
  <si>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</si>
  <si>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</si>
  <si>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</si>
  <si>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</si>
  <si>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</si>
  <si>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</si>
  <si>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</si>
  <si>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</si>
  <si>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</si>
  <si>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</si>
  <si>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</si>
  <si>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</si>
  <si>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</si>
  <si>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</si>
  <si>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</si>
  <si>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</si>
  <si>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</si>
  <si>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</si>
  <si>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</si>
  <si>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</si>
  <si>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</si>
  <si>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</si>
  <si>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</si>
  <si>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</si>
  <si>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</si>
  <si>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</si>
  <si>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</si>
  <si>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</si>
  <si>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</si>
  <si>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</si>
  <si>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</si>
  <si>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</si>
  <si>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</si>
  <si>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</si>
  <si>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</si>
  <si>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</si>
  <si>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</si>
  <si>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</si>
  <si>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</si>
  <si>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</si>
  <si>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</si>
  <si>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</si>
  <si>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</si>
  <si>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</si>
  <si>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</si>
  <si>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</si>
  <si>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</si>
  <si>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</si>
  <si>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</si>
  <si>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</si>
  <si>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</si>
  <si>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</si>
  <si>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</si>
  <si>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</si>
  <si>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</si>
  <si>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</si>
  <si>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</si>
  <si>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</si>
  <si>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</si>
  <si>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</si>
  <si>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</si>
  <si>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</si>
  <si>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</si>
  <si>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</si>
  <si>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</si>
  <si>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</si>
  <si>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</si>
  <si>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</si>
  <si>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</si>
  <si>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</si>
  <si>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</si>
  <si>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</si>
  <si>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</si>
  <si>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</si>
  <si>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</si>
  <si>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</si>
  <si>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</si>
  <si>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</si>
  <si>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</si>
  <si>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</si>
  <si>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</si>
  <si>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</si>
  <si>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</si>
  <si>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</si>
  <si>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</si>
  <si>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</si>
  <si>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</si>
  <si>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</si>
  <si>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</si>
  <si>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</si>
  <si>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</si>
  <si>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</si>
  <si>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</si>
  <si>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</si>
  <si>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</si>
  <si>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</si>
  <si>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</si>
  <si>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</si>
  <si>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</si>
  <si>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</si>
  <si>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</si>
  <si>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</si>
  <si>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</si>
  <si>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</si>
  <si>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</si>
  <si>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</si>
  <si>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</si>
  <si>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</si>
  <si>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</si>
  <si>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</si>
  <si>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</si>
  <si>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</si>
  <si>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</si>
  <si>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</si>
  <si>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</si>
  <si>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</si>
  <si>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</si>
  <si>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</si>
  <si>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</si>
  <si>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</si>
  <si>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</si>
  <si>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</si>
  <si>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</si>
  <si>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</si>
  <si>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</si>
  <si>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</si>
  <si>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</si>
  <si>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</si>
  <si>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</si>
  <si>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</si>
  <si>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</si>
  <si>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</si>
  <si>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</si>
  <si>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</si>
  <si>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</si>
  <si>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</si>
  <si>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</si>
  <si>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</si>
  <si>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</si>
  <si>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</si>
  <si>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</si>
  <si>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</si>
  <si>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</si>
  <si>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</si>
  <si>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</si>
  <si>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</si>
  <si>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</si>
  <si>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</si>
  <si>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</si>
  <si>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</si>
  <si>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</si>
  <si>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</si>
  <si>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</si>
  <si>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</si>
  <si>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</si>
  <si>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</si>
  <si>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</si>
  <si>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</si>
  <si>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</si>
  <si>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</si>
  <si>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</si>
  <si>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</si>
  <si>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</si>
  <si>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</si>
  <si>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</si>
  <si>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</si>
  <si>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</si>
  <si>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</si>
  <si>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</si>
  <si>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</si>
  <si>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</si>
  <si>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</si>
  <si>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</si>
  <si>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</si>
  <si>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</si>
  <si>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</si>
  <si>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</si>
  <si>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</si>
  <si>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</si>
  <si>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</si>
  <si>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</si>
  <si>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</si>
  <si>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</si>
  <si>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</si>
  <si>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</si>
  <si>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</si>
  <si>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</si>
  <si>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</si>
  <si>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</si>
  <si>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</si>
  <si>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</si>
  <si>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</si>
  <si>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</si>
  <si>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</si>
  <si>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</si>
  <si>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</si>
  <si>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</si>
  <si>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</si>
  <si>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</si>
  <si>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</si>
  <si>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</si>
  <si>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</si>
  <si>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</si>
  <si>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</si>
  <si>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</si>
  <si>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</si>
  <si>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</si>
  <si>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</si>
  <si>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</si>
  <si>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</si>
  <si>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</si>
  <si>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</si>
  <si>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</si>
  <si>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</si>
  <si>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</si>
  <si>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</si>
  <si>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</si>
  <si>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</si>
  <si>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</si>
  <si>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</si>
  <si>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</si>
  <si>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</si>
  <si>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</si>
  <si>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</si>
  <si>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</si>
  <si>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</si>
  <si>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</si>
  <si>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</si>
  <si>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</si>
  <si>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</si>
  <si>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</si>
  <si>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</si>
  <si>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</si>
  <si>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</si>
  <si>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</si>
  <si>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</si>
  <si>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</si>
  <si>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</si>
  <si>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</si>
  <si>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</si>
  <si>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</si>
  <si>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</si>
  <si>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</si>
  <si>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</si>
  <si>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</si>
  <si>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</si>
  <si>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</si>
  <si>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</si>
  <si>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</si>
  <si>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</si>
  <si>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</si>
  <si>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</si>
  <si>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</si>
  <si>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</si>
  <si>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</si>
  <si>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</si>
  <si>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</si>
  <si>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</si>
  <si>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</si>
  <si>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</si>
  <si>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</si>
  <si>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</si>
  <si>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</si>
  <si>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</si>
  <si>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</si>
  <si>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</si>
  <si>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</si>
  <si>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</si>
  <si>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</si>
  <si>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</si>
  <si>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</si>
  <si>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</si>
  <si>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</si>
  <si>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</si>
  <si>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</si>
  <si>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</si>
  <si>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</si>
  <si>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</si>
  <si>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</si>
  <si>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</si>
  <si>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</si>
  <si>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</si>
  <si>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</si>
  <si>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</si>
  <si>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</si>
  <si>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</si>
  <si>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</si>
  <si>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</si>
  <si>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</si>
  <si>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</si>
  <si>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</si>
  <si>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</si>
  <si>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</si>
  <si>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</si>
  <si>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</si>
  <si>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</si>
  <si>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</si>
  <si>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</si>
  <si>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</si>
  <si>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</si>
  <si>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</si>
  <si>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</si>
  <si>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</si>
  <si>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</si>
  <si>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</si>
  <si>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</si>
  <si>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</si>
  <si>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</si>
  <si>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</si>
  <si>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</si>
  <si>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</si>
  <si>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</si>
  <si>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</si>
  <si>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</si>
  <si>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</si>
  <si>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</si>
  <si>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</si>
  <si>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</si>
  <si>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</si>
  <si>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</si>
  <si>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</si>
  <si>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</si>
  <si>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</si>
  <si>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</si>
  <si>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</si>
  <si>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</si>
  <si>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</si>
  <si>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</si>
  <si>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</si>
  <si>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</si>
  <si>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</si>
  <si>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</si>
  <si>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</si>
  <si>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</si>
  <si>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</si>
  <si>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</si>
  <si>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</si>
  <si>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</si>
  <si>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</si>
  <si>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</si>
  <si>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</si>
  <si>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</si>
  <si>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</si>
  <si>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</si>
  <si>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</si>
  <si>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</si>
  <si>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</si>
  <si>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</si>
  <si>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</si>
  <si>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</si>
  <si>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</si>
  <si>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</si>
  <si>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</si>
  <si>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</si>
  <si>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</si>
  <si>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</si>
  <si>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</si>
  <si>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</si>
  <si>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</si>
  <si>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</si>
  <si>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</si>
  <si>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</si>
  <si>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</si>
  <si>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</si>
  <si>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</si>
  <si>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</si>
  <si>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</si>
  <si>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</si>
  <si>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</si>
  <si>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</si>
  <si>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</si>
  <si>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</si>
  <si>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</si>
  <si>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</si>
  <si>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</si>
  <si>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</si>
  <si>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</si>
  <si>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</si>
  <si>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</si>
  <si>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</si>
  <si>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</si>
  <si>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</si>
  <si>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</si>
  <si>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</si>
  <si>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</si>
  <si>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</si>
  <si>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</si>
  <si>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</si>
  <si>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</si>
  <si>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</si>
  <si>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</si>
  <si>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</si>
  <si>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</si>
  <si>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</si>
  <si>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</si>
  <si>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</si>
  <si>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</si>
  <si>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</si>
  <si>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</si>
  <si>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</si>
  <si>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</si>
  <si>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</si>
  <si>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</si>
  <si>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</si>
  <si>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</si>
  <si>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</si>
  <si>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</si>
  <si>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</si>
  <si>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</si>
  <si>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</si>
  <si>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</si>
  <si>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</si>
  <si>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</si>
  <si>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</si>
  <si>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</si>
  <si>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</si>
  <si>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</si>
  <si>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</si>
  <si>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</si>
  <si>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</si>
  <si>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</si>
  <si>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</si>
  <si>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</si>
  <si>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</si>
  <si>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</si>
  <si>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</si>
  <si>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</si>
  <si>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</si>
  <si>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</si>
  <si>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</si>
  <si>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</si>
  <si>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</si>
  <si>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</si>
  <si>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</si>
  <si>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</si>
  <si>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</si>
  <si>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</si>
  <si>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</si>
  <si>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</si>
  <si>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</si>
  <si>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</si>
  <si>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</si>
  <si>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</si>
  <si>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</si>
  <si>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</si>
  <si>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</si>
  <si>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</si>
  <si>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</si>
  <si>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</si>
  <si>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</si>
  <si>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</si>
  <si>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</si>
  <si>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</si>
  <si>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</si>
  <si>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</si>
  <si>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</si>
  <si>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</si>
  <si>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</si>
  <si>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</si>
  <si>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</si>
  <si>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</si>
  <si>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</si>
  <si>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</si>
  <si>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</si>
  <si>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</si>
  <si>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</si>
  <si>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</si>
  <si>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</si>
  <si>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</si>
  <si>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</si>
  <si>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</si>
  <si>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</si>
  <si>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</si>
  <si>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</si>
  <si>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</si>
  <si>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</si>
  <si>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</si>
  <si>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</si>
  <si>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</si>
  <si>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</si>
  <si>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</si>
  <si>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</si>
  <si>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</si>
  <si>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</si>
  <si>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</si>
  <si>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</si>
  <si>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</si>
  <si>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</si>
  <si>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</si>
  <si>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</si>
  <si>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</si>
  <si>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</si>
  <si>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</si>
  <si>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</si>
  <si>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</si>
  <si>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</si>
  <si>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</si>
  <si>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</si>
  <si>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</si>
  <si>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</si>
  <si>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</si>
  <si>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</si>
  <si>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</si>
  <si>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</si>
  <si>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</si>
  <si>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</si>
  <si>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</si>
  <si>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</si>
  <si>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</si>
  <si>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</si>
  <si>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</si>
  <si>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</si>
  <si>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</si>
  <si>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</si>
  <si>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</si>
  <si>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</si>
  <si>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</si>
  <si>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</si>
  <si>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</si>
  <si>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</si>
  <si>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</si>
  <si>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</si>
  <si>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</si>
  <si>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</si>
  <si>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</si>
  <si>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</si>
  <si>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</si>
  <si>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</si>
  <si>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</si>
  <si>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</si>
  <si>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</si>
  <si>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</si>
  <si>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</si>
  <si>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</si>
  <si>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</si>
  <si>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</si>
  <si>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</si>
  <si>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</si>
  <si>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</si>
  <si>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</si>
  <si>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</si>
  <si>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</si>
  <si>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</si>
  <si>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</si>
  <si>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</si>
  <si>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</si>
  <si>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</si>
  <si>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</si>
  <si>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</si>
  <si>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</si>
  <si>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</si>
  <si>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</si>
  <si>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</si>
  <si>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</si>
  <si>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</si>
  <si>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</si>
  <si>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</si>
  <si>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</si>
  <si>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</si>
  <si>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</si>
  <si>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</si>
  <si>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</si>
  <si>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</si>
  <si>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</si>
  <si>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</si>
  <si>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</si>
  <si>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</si>
  <si>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</si>
  <si>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</si>
  <si>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</si>
  <si>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</si>
  <si>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</si>
  <si>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</si>
  <si>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</si>
  <si>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</si>
  <si>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</si>
  <si>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</si>
  <si>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</si>
  <si>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</si>
  <si>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</si>
  <si>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</si>
  <si>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</si>
  <si>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</si>
  <si>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</si>
  <si>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</si>
  <si>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</si>
  <si>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</si>
  <si>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</si>
  <si>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</si>
  <si>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</si>
  <si>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</si>
  <si>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</si>
  <si>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</si>
  <si>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</si>
  <si>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</si>
  <si>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</si>
  <si>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</si>
  <si>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</si>
  <si>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</si>
  <si>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</si>
  <si>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</si>
  <si>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</si>
  <si>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</si>
  <si>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</si>
  <si>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</si>
  <si>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</si>
  <si>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</si>
  <si>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</si>
  <si>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</si>
  <si>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</si>
  <si>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</si>
  <si>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</si>
  <si>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</si>
  <si>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</si>
  <si>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</si>
  <si>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</si>
  <si>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</si>
  <si>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</si>
  <si>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</si>
  <si>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</si>
  <si>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</si>
  <si>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</si>
  <si>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</si>
  <si>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</si>
  <si>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</si>
  <si>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</si>
  <si>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</si>
  <si>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</si>
  <si>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</si>
  <si>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</si>
  <si>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</si>
  <si>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</si>
  <si>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</si>
  <si>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</si>
  <si>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</si>
  <si>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</si>
  <si>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</si>
  <si>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</si>
  <si>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</si>
  <si>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</si>
  <si>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</si>
  <si>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</si>
  <si>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</si>
  <si>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</si>
  <si>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</si>
  <si>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</si>
  <si>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</si>
  <si>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</si>
  <si>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</si>
  <si>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</si>
  <si>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</si>
  <si>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</si>
  <si>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</si>
  <si>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</si>
  <si>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</si>
  <si>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</si>
  <si>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</si>
  <si>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</si>
  <si>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</si>
  <si>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</si>
  <si>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</si>
  <si>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</si>
  <si>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</si>
  <si>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</si>
  <si>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</si>
  <si>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</si>
  <si>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</si>
  <si>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</si>
  <si>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</si>
  <si>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</si>
  <si>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</si>
  <si>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</si>
  <si>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</si>
  <si>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</si>
  <si>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</si>
  <si>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</si>
  <si>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</si>
  <si>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</si>
  <si>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</si>
  <si>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</si>
  <si>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</si>
  <si>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</si>
  <si>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</si>
  <si>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</si>
  <si>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</si>
  <si>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</si>
  <si>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</si>
  <si>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</si>
  <si>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</si>
  <si>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</si>
  <si>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</si>
  <si>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</si>
  <si>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</si>
  <si>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</si>
  <si>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</si>
  <si>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</si>
  <si>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</si>
  <si>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</si>
  <si>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</si>
  <si>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</si>
  <si>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</si>
  <si>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</si>
  <si>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</si>
  <si>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</si>
  <si>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</si>
  <si>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</si>
  <si>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</si>
  <si>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</si>
  <si>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</si>
  <si>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</si>
  <si>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</si>
  <si>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</si>
  <si>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</si>
  <si>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</si>
  <si>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</si>
  <si>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</si>
  <si>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</si>
  <si>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</si>
  <si>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</si>
  <si>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</si>
  <si>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</si>
  <si>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</si>
  <si>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</si>
  <si>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</si>
  <si>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</si>
  <si>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</si>
  <si>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</si>
  <si>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</si>
  <si>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</si>
  <si>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</si>
  <si>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</si>
  <si>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</si>
  <si>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</si>
  <si>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</si>
  <si>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</si>
  <si>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</si>
  <si>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</si>
  <si>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</si>
  <si>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</si>
  <si>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</si>
  <si>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</si>
  <si>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</si>
  <si>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</si>
  <si>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</si>
  <si>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</si>
  <si>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</si>
  <si>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</si>
  <si>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</si>
  <si>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</si>
  <si>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</si>
  <si>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</si>
  <si>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</si>
  <si>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</si>
  <si>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</si>
  <si>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</si>
  <si>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</si>
  <si>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</si>
  <si>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</si>
  <si>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</si>
  <si>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</si>
  <si>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</si>
  <si>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</si>
  <si>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</si>
  <si>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</si>
  <si>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</si>
  <si>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</si>
  <si>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</si>
  <si>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</si>
  <si>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</si>
  <si>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</si>
  <si>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</si>
  <si>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</si>
  <si>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</si>
  <si>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</si>
  <si>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</si>
  <si>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</si>
  <si>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</si>
  <si>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</si>
  <si>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</si>
  <si>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</si>
  <si>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</si>
  <si>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</si>
  <si>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</si>
  <si>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</si>
  <si>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</si>
  <si>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</si>
  <si>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</si>
  <si>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</si>
  <si>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</si>
  <si>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</si>
  <si>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</si>
  <si>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</si>
  <si>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</si>
  <si>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</si>
  <si>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</si>
  <si>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</si>
  <si>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</si>
  <si>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</si>
  <si>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</si>
  <si>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</si>
  <si>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</si>
  <si>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</si>
  <si>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</si>
  <si>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</si>
  <si>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</si>
  <si>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</si>
  <si>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</si>
  <si>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</si>
  <si>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</si>
  <si>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</si>
  <si>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</si>
  <si>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</si>
  <si>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</si>
  <si>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</si>
  <si>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</si>
  <si>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</si>
  <si>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</si>
  <si>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</si>
  <si>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</si>
  <si>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</si>
  <si>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</si>
  <si>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</si>
  <si>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</si>
  <si>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</si>
  <si>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</si>
  <si>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</si>
  <si>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</si>
  <si>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</si>
  <si>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</si>
  <si>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</si>
  <si>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</si>
  <si>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</si>
  <si>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</si>
  <si>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</si>
  <si>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</si>
  <si>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</si>
  <si>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</si>
  <si>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</si>
  <si>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</si>
  <si>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</si>
  <si>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</si>
  <si>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</si>
  <si>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</si>
  <si>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</si>
  <si>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</si>
  <si>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</si>
  <si>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</si>
  <si>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</si>
  <si>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</si>
  <si>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</si>
  <si>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</si>
  <si>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</si>
  <si>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</si>
  <si>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</si>
  <si>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</si>
  <si>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</si>
  <si>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</si>
  <si>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</si>
  <si>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</si>
  <si>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</si>
  <si>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</si>
  <si>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</si>
  <si>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</si>
  <si>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</si>
  <si>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</si>
  <si>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</si>
  <si>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</si>
  <si>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</si>
  <si>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</si>
  <si>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</si>
  <si>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</si>
  <si>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</si>
  <si>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</si>
  <si>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</si>
  <si>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</si>
  <si>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</si>
  <si>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</si>
  <si>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</si>
  <si>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</si>
  <si>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</si>
  <si>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</si>
  <si>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</si>
  <si>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</si>
  <si>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</si>
  <si>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</si>
  <si>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</si>
  <si>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</si>
  <si>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</si>
  <si>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</si>
  <si>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</si>
  <si>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</si>
  <si>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</si>
  <si>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</si>
  <si>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</si>
  <si>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</si>
  <si>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</si>
  <si>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</si>
  <si>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</si>
  <si>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</si>
  <si>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</si>
  <si>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</si>
  <si>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</si>
  <si>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</si>
  <si>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</si>
  <si>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</si>
  <si>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</si>
  <si>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</si>
  <si>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</si>
  <si>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</si>
  <si>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</si>
  <si>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</si>
  <si>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</si>
  <si>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</si>
  <si>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</si>
  <si>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</si>
  <si>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</si>
  <si>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</si>
  <si>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</si>
  <si>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</si>
  <si>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</si>
  <si>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</si>
  <si>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</si>
  <si>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</si>
  <si>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</si>
  <si>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</si>
  <si>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</si>
  <si>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</si>
  <si>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</si>
  <si>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</si>
  <si>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</si>
  <si>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</si>
  <si>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</si>
  <si>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</si>
  <si>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</si>
  <si>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</si>
  <si>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</si>
  <si>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</si>
  <si>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</si>
  <si>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</si>
  <si>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</si>
  <si>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</si>
  <si>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</si>
  <si>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</si>
  <si>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</si>
  <si>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</si>
  <si>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</si>
  <si>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</si>
  <si>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</si>
  <si>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</si>
  <si>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</si>
  <si>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</si>
  <si>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</si>
  <si>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</si>
  <si>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</si>
  <si>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</si>
  <si>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</si>
  <si>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</si>
  <si>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</si>
  <si>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</si>
  <si>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</si>
  <si>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</si>
  <si>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</si>
  <si>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</si>
  <si>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</si>
  <si>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</si>
  <si>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</si>
  <si>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</si>
  <si>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</si>
  <si>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</si>
  <si>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</si>
  <si>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</si>
  <si>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</si>
  <si>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</si>
  <si>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</si>
  <si>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</si>
  <si>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</si>
  <si>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</si>
  <si>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</si>
  <si>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</si>
  <si>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</si>
  <si>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</si>
  <si>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</si>
  <si>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</si>
  <si>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</si>
  <si>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</si>
  <si>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</si>
  <si>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</si>
  <si>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</si>
  <si>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</si>
  <si>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</si>
  <si>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</si>
  <si>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</si>
  <si>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</si>
  <si>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</si>
  <si>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</si>
  <si>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</si>
  <si>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</si>
  <si>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</si>
  <si>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</si>
  <si>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</si>
  <si>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</si>
  <si>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</si>
  <si>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</si>
  <si>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</si>
  <si>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</si>
  <si>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</si>
  <si>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</si>
  <si>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</si>
  <si>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</si>
  <si>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</si>
  <si>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</si>
  <si>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</si>
  <si>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</si>
  <si>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</si>
  <si>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</si>
  <si>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</si>
  <si>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</si>
  <si>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</si>
  <si>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</si>
  <si>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</si>
  <si>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</si>
  <si>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</si>
  <si>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</si>
  <si>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</si>
  <si>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</si>
  <si>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</si>
  <si>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</si>
  <si>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</si>
  <si>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</si>
  <si>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</si>
  <si>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</si>
  <si>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</si>
  <si>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</si>
  <si>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</si>
  <si>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</si>
  <si>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</si>
  <si>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</si>
  <si>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</si>
  <si>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</si>
  <si>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</si>
  <si>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</si>
  <si>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</si>
  <si>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</si>
  <si>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</si>
  <si>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</si>
  <si>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</si>
  <si>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</si>
  <si>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</si>
  <si>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</si>
  <si>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</si>
  <si>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</si>
  <si>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</si>
  <si>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</si>
  <si>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</si>
  <si>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</si>
  <si>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</si>
  <si>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</si>
  <si>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</si>
  <si>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</si>
  <si>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</si>
  <si>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</si>
  <si>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</si>
  <si>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</si>
  <si>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</si>
  <si>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</si>
  <si>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</si>
  <si>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</si>
  <si>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</si>
  <si>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</si>
  <si>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</si>
  <si>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</si>
  <si>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</si>
  <si>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</si>
  <si>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</si>
  <si>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</si>
  <si>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</si>
  <si>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</si>
  <si>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</si>
  <si>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</si>
  <si>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</si>
  <si>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</si>
  <si>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</si>
  <si>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</si>
  <si>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</si>
  <si>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</si>
  <si>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</si>
  <si>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</si>
  <si>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</si>
  <si>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</si>
  <si>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</si>
  <si>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</si>
  <si>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</si>
  <si>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</si>
  <si>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</si>
  <si>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</si>
  <si>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</si>
  <si>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</si>
  <si>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</si>
  <si>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</si>
  <si>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</si>
  <si>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</si>
  <si>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</si>
  <si>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</si>
  <si>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</si>
  <si>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</si>
  <si>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</si>
  <si>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</si>
  <si>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</si>
  <si>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</si>
  <si>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</si>
  <si>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</si>
  <si>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</si>
  <si>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</si>
  <si>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</si>
  <si>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</si>
  <si>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</si>
  <si>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</si>
  <si>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</si>
  <si>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</si>
  <si>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</si>
  <si>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</si>
  <si>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</si>
  <si>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</si>
  <si>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</si>
  <si>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</si>
  <si>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</si>
  <si>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</si>
  <si>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</si>
  <si>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</si>
  <si>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</si>
  <si>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</si>
  <si>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</si>
  <si>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</si>
  <si>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</si>
  <si>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</si>
  <si>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</si>
  <si>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</si>
  <si>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</si>
  <si>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</si>
  <si>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</si>
  <si>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</si>
  <si>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</si>
  <si>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</si>
  <si>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</si>
  <si>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</si>
  <si>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</si>
  <si>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</si>
  <si>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</si>
  <si>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</si>
  <si>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</si>
  <si>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</si>
  <si>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</si>
  <si>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</si>
  <si>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</si>
  <si>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</si>
  <si>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</si>
  <si>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</si>
  <si>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</si>
  <si>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</si>
  <si>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</si>
  <si>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</si>
  <si>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</si>
  <si>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</si>
  <si>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</si>
  <si>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</si>
  <si>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</si>
  <si>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</si>
  <si>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</si>
  <si>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</si>
  <si>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</si>
  <si>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</si>
  <si>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</si>
  <si>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</si>
  <si>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</si>
  <si>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</si>
  <si>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</si>
  <si>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</si>
  <si>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</si>
  <si>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</si>
  <si>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</si>
  <si>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</si>
  <si>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</si>
  <si>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</si>
  <si>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</si>
  <si>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</si>
  <si>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</si>
  <si>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</si>
  <si>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</si>
  <si>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</si>
  <si>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</si>
  <si>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</si>
  <si>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</si>
  <si>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</si>
  <si>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</si>
  <si>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</si>
  <si>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</si>
  <si>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</si>
  <si>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</si>
  <si>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</si>
  <si>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</si>
  <si>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</si>
  <si>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</si>
  <si>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</si>
  <si>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</si>
  <si>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</si>
  <si>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</si>
  <si>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</si>
  <si>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</si>
  <si>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</si>
  <si>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</si>
  <si>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</si>
  <si>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</si>
  <si>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</si>
  <si>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</si>
  <si>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</si>
  <si>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</si>
  <si>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</si>
  <si>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</si>
  <si>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</si>
  <si>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</si>
  <si>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</si>
  <si>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</si>
  <si>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</si>
  <si>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</si>
  <si>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</si>
  <si>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</si>
  <si>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</si>
  <si>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</si>
  <si>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</si>
  <si>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</si>
  <si>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</si>
  <si>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</si>
  <si>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</si>
  <si>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</si>
  <si>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</si>
  <si>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</si>
  <si>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</si>
  <si>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</si>
  <si>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</si>
  <si>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</si>
  <si>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</si>
  <si>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</si>
  <si>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</si>
  <si>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</si>
  <si>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</si>
  <si>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</si>
  <si>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</si>
  <si>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</si>
  <si>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</si>
  <si>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</si>
  <si>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</si>
  <si>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</si>
  <si>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</si>
  <si>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</si>
  <si>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</si>
  <si>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</si>
  <si>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</si>
  <si>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</si>
  <si>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</si>
  <si>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</si>
  <si>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</si>
  <si>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</si>
  <si>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</si>
  <si>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</si>
  <si>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</si>
  <si>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</si>
  <si>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</si>
  <si>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</si>
  <si>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</si>
  <si>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</si>
  <si>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</si>
  <si>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</si>
  <si>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</si>
  <si>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</si>
  <si>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</si>
  <si>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</si>
  <si>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</si>
  <si>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</si>
  <si>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</si>
  <si>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</si>
  <si>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</si>
  <si>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</si>
  <si>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</si>
  <si>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</si>
  <si>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</si>
  <si>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</si>
  <si>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</si>
  <si>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</si>
  <si>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</si>
  <si>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</si>
  <si>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</si>
  <si>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</si>
  <si>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</si>
  <si>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</si>
  <si>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</si>
  <si>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</si>
  <si>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</si>
  <si>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</si>
  <si>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</si>
  <si>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</si>
  <si>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</si>
  <si>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</si>
  <si>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</si>
  <si>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</si>
  <si>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</si>
  <si>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</si>
  <si>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</si>
  <si>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</si>
  <si>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</si>
  <si>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</si>
  <si>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</si>
  <si>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</si>
  <si>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</si>
  <si>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</si>
  <si>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</si>
  <si>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</si>
  <si>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</si>
  <si>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</si>
  <si>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</si>
  <si>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</si>
  <si>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</si>
  <si>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</si>
  <si>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</si>
  <si>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</si>
  <si>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</si>
  <si>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</si>
  <si>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</si>
  <si>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</si>
  <si>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</si>
  <si>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</si>
  <si>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</si>
  <si>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</si>
  <si>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</si>
  <si>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</si>
  <si>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</si>
  <si>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</si>
  <si>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</si>
  <si>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</si>
  <si>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</si>
  <si>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</si>
  <si>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</si>
  <si>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</si>
  <si>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</si>
  <si>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</si>
  <si>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</si>
  <si>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</si>
  <si>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</si>
  <si>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</si>
  <si>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</si>
  <si>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</si>
  <si>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</si>
  <si>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</si>
  <si>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</si>
  <si>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</si>
  <si>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</si>
  <si>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</si>
  <si>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</si>
  <si>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</si>
  <si>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</si>
  <si>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</si>
  <si>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</si>
  <si>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</si>
  <si>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</si>
  <si>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</si>
  <si>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</si>
  <si>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</si>
  <si>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</si>
  <si>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</si>
  <si>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</si>
  <si>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</si>
  <si>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</si>
  <si>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</si>
  <si>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</si>
  <si>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</si>
  <si>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</si>
  <si>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</si>
  <si>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</si>
  <si>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</si>
  <si>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</si>
  <si>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</si>
  <si>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</si>
  <si>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</si>
  <si>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</si>
  <si>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</si>
  <si>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</si>
  <si>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</si>
  <si>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</si>
  <si>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</si>
  <si>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</si>
  <si>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</si>
  <si>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</si>
  <si>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</si>
  <si>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</si>
  <si>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</si>
  <si>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</si>
  <si>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</si>
  <si>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</si>
  <si>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</si>
  <si>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</si>
  <si>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</si>
  <si>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</si>
  <si>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</si>
  <si>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</si>
  <si>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</si>
  <si>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</si>
  <si>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</si>
  <si>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</si>
  <si>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</si>
  <si>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</si>
  <si>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</si>
  <si>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</si>
  <si>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</si>
  <si>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</si>
  <si>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</si>
  <si>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</si>
  <si>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</si>
  <si>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</si>
  <si>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</si>
  <si>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</si>
  <si>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</si>
  <si>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</si>
  <si>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</si>
  <si>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</si>
  <si>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</si>
  <si>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</si>
  <si>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</si>
  <si>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</si>
  <si>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</si>
  <si>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</si>
  <si>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</si>
  <si>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</si>
  <si>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</si>
  <si>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</si>
  <si>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</si>
  <si>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</si>
  <si>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</si>
  <si>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</si>
  <si>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</si>
  <si>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</si>
  <si>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</si>
  <si>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</si>
  <si>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</si>
  <si>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</si>
  <si>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</si>
  <si>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</si>
  <si>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</si>
  <si>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</si>
  <si>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</si>
  <si>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</si>
  <si>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</si>
  <si>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</si>
  <si>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</si>
  <si>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</si>
  <si>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</si>
  <si>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</si>
  <si>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</si>
  <si>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</si>
  <si>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</si>
  <si>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</si>
  <si>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</si>
  <si>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</si>
  <si>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</si>
  <si>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</si>
  <si>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</si>
  <si>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</si>
  <si>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</si>
  <si>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</si>
  <si>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</si>
  <si>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</si>
  <si>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</si>
  <si>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</si>
  <si>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</si>
  <si>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</si>
  <si>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</si>
  <si>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</si>
  <si>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</si>
  <si>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</si>
  <si>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</si>
  <si>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</si>
  <si>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</si>
  <si>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</si>
  <si>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</si>
  <si>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</si>
  <si>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</si>
  <si>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</si>
  <si>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</si>
  <si>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</si>
  <si>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</si>
  <si>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</si>
  <si>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</si>
  <si>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</si>
  <si>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</si>
  <si>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</si>
  <si>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</si>
  <si>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</si>
  <si>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</si>
  <si>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</si>
  <si>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</si>
  <si>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</si>
  <si>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</si>
  <si>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</si>
  <si>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</si>
  <si>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</si>
  <si>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</si>
  <si>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</si>
  <si>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</si>
  <si>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</si>
  <si>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</si>
  <si>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</si>
  <si>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</si>
  <si>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</si>
  <si>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</si>
  <si>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</si>
  <si>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</si>
  <si>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</si>
  <si>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</si>
  <si>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</si>
  <si>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</si>
  <si>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</si>
  <si>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</si>
  <si>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</si>
  <si>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</si>
  <si>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</si>
  <si>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</si>
  <si>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</si>
  <si>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</si>
  <si>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</si>
  <si>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</si>
  <si>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</si>
  <si>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</si>
  <si>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</si>
  <si>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</si>
  <si>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</si>
  <si>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</si>
  <si>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</si>
  <si>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</si>
  <si>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</si>
  <si>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</si>
  <si>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</si>
  <si>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</si>
  <si>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</si>
  <si>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</si>
  <si>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</si>
  <si>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</si>
  <si>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</si>
  <si>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</si>
  <si>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</si>
  <si>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</si>
  <si>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</si>
  <si>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</si>
  <si>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</si>
  <si>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</si>
  <si>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</si>
  <si>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</si>
  <si>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</si>
  <si>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</si>
  <si>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</si>
  <si>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</si>
  <si>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</si>
  <si>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</si>
  <si>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</si>
  <si>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</si>
  <si>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</si>
  <si>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</si>
  <si>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</si>
  <si>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</si>
  <si>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</si>
  <si>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</si>
  <si>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</si>
  <si>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</si>
  <si>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</si>
  <si>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</si>
  <si>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</si>
  <si>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</si>
  <si>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</si>
  <si>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</si>
  <si>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</si>
  <si>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</si>
  <si>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</si>
  <si>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</si>
  <si>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</si>
  <si>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</si>
  <si>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</si>
  <si>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</si>
  <si>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</si>
  <si>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</si>
  <si>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</si>
  <si>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</si>
  <si>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</si>
  <si>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</si>
  <si>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</si>
  <si>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</si>
  <si>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</si>
  <si>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</si>
  <si>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</si>
  <si>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</si>
  <si>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</si>
  <si>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</si>
  <si>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</si>
  <si>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</si>
  <si>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</si>
  <si>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</si>
  <si>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</si>
  <si>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</si>
  <si>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</si>
  <si>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</si>
  <si>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</si>
  <si>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</si>
  <si>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</si>
  <si>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</si>
  <si>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</si>
  <si>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</si>
  <si>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</si>
  <si>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</si>
  <si>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</si>
  <si>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</si>
  <si>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</si>
  <si>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</si>
  <si>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</si>
  <si>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</si>
  <si>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</si>
  <si>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</si>
  <si>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</si>
  <si>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</si>
  <si>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</si>
  <si>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</si>
  <si>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</si>
  <si>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</si>
  <si>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</si>
  <si>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</si>
  <si>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</si>
  <si>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</si>
  <si>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</si>
  <si>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</si>
  <si>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</si>
  <si>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</si>
  <si>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</si>
  <si>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</si>
  <si>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</si>
  <si>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</si>
  <si>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</si>
  <si>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</si>
  <si>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</si>
  <si>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</si>
  <si>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</si>
  <si>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</si>
  <si>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</si>
  <si>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</si>
  <si>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</si>
  <si>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</si>
  <si>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</si>
  <si>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</si>
  <si>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</si>
  <si>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</si>
  <si>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</si>
  <si>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</si>
  <si>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</si>
  <si>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</si>
  <si>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</si>
  <si>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</si>
  <si>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</si>
  <si>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</si>
  <si>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</si>
  <si>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</si>
  <si>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</si>
  <si>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</si>
  <si>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</si>
  <si>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</si>
  <si>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</si>
  <si>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</si>
  <si>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</si>
  <si>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</si>
  <si>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</si>
  <si>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</si>
  <si>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</si>
  <si>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</si>
  <si>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</si>
  <si>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</si>
  <si>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</si>
  <si>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</si>
  <si>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</si>
  <si>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</si>
  <si>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</si>
  <si>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</si>
  <si>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</si>
  <si>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</si>
  <si>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</si>
  <si>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</si>
  <si>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</si>
  <si>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</si>
  <si>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</si>
  <si>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</si>
  <si>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</si>
  <si>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</si>
  <si>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</si>
  <si>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</si>
  <si>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</si>
  <si>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</si>
  <si>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</si>
  <si>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</si>
  <si>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</si>
  <si>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</si>
  <si>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</si>
  <si>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</si>
  <si>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</si>
  <si>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</si>
  <si>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</si>
  <si>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</si>
  <si>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</si>
  <si>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</si>
  <si>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</si>
  <si>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</si>
  <si>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</si>
  <si>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</si>
  <si>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</si>
  <si>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</si>
  <si>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</si>
  <si>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</si>
  <si>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</si>
  <si>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</si>
  <si>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</si>
  <si>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</si>
  <si>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</si>
  <si>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</si>
  <si>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</si>
  <si>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</si>
  <si>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</si>
  <si>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</si>
  <si>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</si>
  <si>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</si>
  <si>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</si>
  <si>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</si>
  <si>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</si>
  <si>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</si>
  <si>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</si>
  <si>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</si>
  <si>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</si>
  <si>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</si>
  <si>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</si>
  <si>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</si>
  <si>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</si>
  <si>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</si>
  <si>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</si>
  <si>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</si>
  <si>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</si>
  <si>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</si>
  <si>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</si>
  <si>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</si>
  <si>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</si>
  <si>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</si>
  <si>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</si>
  <si>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</si>
  <si>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</si>
  <si>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</si>
  <si>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</si>
  <si>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</si>
  <si>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</si>
  <si>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</si>
  <si>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</si>
  <si>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</si>
  <si>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</si>
  <si>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</si>
  <si>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</si>
  <si>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</si>
  <si>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</si>
  <si>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</si>
  <si>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</si>
  <si>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</si>
  <si>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</si>
  <si>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</si>
  <si>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</si>
  <si>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</si>
  <si>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</si>
  <si>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</si>
  <si>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</si>
  <si>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</si>
  <si>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</si>
  <si>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</si>
  <si>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</si>
  <si>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</si>
  <si>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</si>
  <si>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</si>
  <si>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</si>
  <si>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</si>
  <si>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</si>
  <si>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</si>
  <si>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</si>
  <si>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</si>
  <si>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</si>
  <si>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</si>
  <si>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</si>
  <si>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</si>
  <si>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</si>
  <si>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</si>
  <si>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</si>
  <si>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</si>
  <si>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</si>
  <si>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</si>
  <si>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</si>
  <si>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</si>
  <si>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</si>
  <si>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</si>
  <si>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</si>
  <si>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</si>
  <si>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</si>
  <si>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</si>
  <si>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</si>
  <si>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</si>
  <si>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</si>
  <si>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</si>
  <si>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</si>
  <si>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</si>
  <si>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</si>
  <si>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</si>
  <si>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</si>
  <si>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</si>
  <si>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</si>
  <si>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</si>
  <si>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</si>
  <si>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</si>
  <si>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</si>
  <si>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</si>
  <si>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</si>
  <si>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</si>
  <si>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</si>
  <si>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</si>
  <si>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</si>
  <si>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</si>
  <si>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</si>
  <si>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</si>
  <si>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</si>
  <si>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</si>
  <si>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</si>
  <si>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</si>
  <si>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</si>
  <si>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</si>
  <si>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</si>
  <si>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</si>
  <si>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</si>
  <si>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</si>
  <si>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</si>
  <si>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</si>
  <si>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</si>
  <si>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</si>
  <si>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</si>
  <si>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</si>
  <si>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</si>
  <si>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</si>
  <si>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</si>
  <si>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</si>
  <si>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</si>
  <si>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</si>
  <si>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</si>
  <si>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</si>
  <si>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</si>
  <si>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</si>
  <si>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</si>
  <si>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</si>
  <si>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</si>
  <si>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</si>
  <si>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</si>
  <si>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</si>
  <si>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</si>
  <si>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</si>
  <si>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</si>
  <si>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</si>
  <si>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</si>
  <si>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</si>
  <si>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</si>
  <si>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</si>
  <si>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</si>
  <si>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</si>
  <si>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</si>
  <si>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</si>
  <si>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</si>
  <si>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</si>
  <si>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</si>
  <si>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</si>
  <si>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</si>
  <si>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</si>
  <si>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</si>
  <si>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</si>
  <si>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</si>
  <si>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</si>
  <si>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</si>
  <si>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</si>
  <si>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</si>
  <si>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</si>
  <si>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</si>
  <si>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</si>
  <si>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</si>
  <si>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</si>
  <si>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</si>
  <si>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</si>
  <si>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</si>
  <si>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</si>
  <si>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</si>
  <si>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</si>
  <si>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</si>
  <si>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</si>
  <si>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</si>
  <si>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</si>
  <si>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</si>
  <si>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</si>
  <si>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</si>
  <si>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</si>
  <si>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</si>
  <si>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</si>
  <si>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</si>
  <si>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</si>
  <si>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</si>
  <si>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</si>
  <si>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</si>
  <si>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</si>
  <si>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</si>
  <si>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</si>
  <si>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</si>
  <si>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</si>
  <si>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</si>
  <si>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</si>
  <si>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</si>
  <si>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</si>
  <si>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</si>
  <si>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</si>
  <si>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</si>
  <si>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</si>
  <si>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</si>
  <si>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</si>
  <si>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</si>
  <si>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</si>
  <si>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</si>
  <si>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</si>
  <si>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</si>
  <si>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</si>
  <si>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</si>
  <si>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</si>
  <si>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</si>
  <si>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</si>
  <si>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</si>
  <si>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</si>
  <si>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</si>
  <si>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</si>
  <si>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</si>
  <si>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</si>
  <si>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</si>
  <si>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</si>
  <si>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</si>
  <si>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</si>
  <si>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</si>
  <si>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</si>
  <si>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</si>
  <si>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</si>
  <si>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</si>
  <si>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</si>
  <si>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</si>
  <si>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</si>
  <si>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</si>
  <si>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</si>
  <si>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</si>
  <si>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</si>
  <si>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</si>
  <si>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</si>
  <si>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</si>
  <si>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</si>
  <si>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</si>
  <si>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</si>
  <si>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</si>
  <si>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</si>
  <si>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</si>
  <si>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</si>
  <si>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</si>
  <si>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</si>
  <si>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</si>
  <si>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</si>
  <si>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</si>
  <si>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</si>
  <si>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</si>
  <si>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</si>
  <si>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</si>
  <si>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</si>
  <si>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</si>
  <si>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</si>
  <si>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</si>
  <si>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</si>
  <si>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</si>
  <si>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</si>
  <si>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</si>
  <si>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</si>
  <si>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</si>
  <si>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</si>
  <si>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</si>
  <si>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</si>
  <si>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</si>
  <si>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</si>
  <si>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</si>
  <si>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</si>
  <si>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</si>
  <si>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</si>
  <si>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</si>
  <si>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</si>
  <si>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</si>
  <si>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</si>
  <si>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</si>
  <si>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</si>
  <si>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</si>
  <si>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</si>
  <si>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</si>
  <si>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</si>
  <si>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</si>
  <si>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</si>
  <si>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</si>
  <si>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</si>
  <si>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</si>
  <si>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</si>
  <si>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</si>
  <si>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</si>
  <si>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</si>
  <si>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</si>
  <si>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</si>
  <si>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</si>
  <si>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</si>
  <si>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</si>
  <si>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</si>
  <si>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</si>
  <si>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</si>
  <si>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</si>
  <si>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</si>
  <si>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</si>
  <si>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</si>
  <si>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</si>
  <si>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</si>
  <si>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</si>
  <si>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</si>
  <si>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</si>
  <si>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</si>
  <si>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</si>
  <si>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</si>
  <si>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</si>
  <si>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</si>
  <si>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</si>
  <si>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</si>
  <si>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</si>
  <si>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</si>
  <si>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</si>
  <si>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</si>
  <si>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</si>
  <si>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</si>
  <si>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</si>
  <si>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</si>
  <si>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</si>
  <si>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</si>
  <si>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</si>
  <si>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</si>
  <si>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</si>
  <si>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</si>
  <si>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</si>
  <si>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</si>
  <si>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</si>
  <si>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</si>
  <si>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</si>
  <si>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</si>
  <si>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</si>
  <si>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</si>
  <si>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</si>
  <si>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</si>
  <si>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</si>
  <si>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</si>
  <si>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</si>
  <si>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</si>
  <si>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</si>
  <si>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</si>
  <si>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</si>
  <si>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</si>
  <si>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</si>
  <si>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</si>
  <si>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</si>
  <si>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</si>
  <si>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</si>
  <si>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</si>
  <si>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</si>
  <si>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</si>
  <si>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</si>
  <si>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</si>
  <si>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</si>
  <si>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</si>
  <si>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</si>
  <si>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</si>
  <si>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</si>
  <si>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</si>
  <si>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</si>
  <si>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</si>
  <si>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</si>
  <si>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</si>
  <si>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</si>
  <si>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</si>
  <si>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</si>
  <si>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</si>
  <si>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</si>
  <si>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</si>
  <si>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</si>
  <si>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</si>
  <si>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</si>
  <si>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</si>
  <si>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</si>
  <si>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</si>
  <si>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</si>
  <si>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</si>
  <si>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</si>
  <si>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</si>
  <si>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</si>
  <si>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</si>
  <si>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</si>
  <si>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</si>
  <si>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</si>
  <si>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</si>
  <si>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</si>
  <si>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</si>
  <si>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</si>
  <si>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</si>
  <si>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</si>
  <si>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</si>
  <si>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</si>
  <si>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</si>
  <si>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</si>
  <si>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</si>
  <si>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</si>
  <si>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</si>
  <si>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</si>
  <si>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</si>
  <si>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</si>
  <si>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</si>
  <si>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</si>
  <si>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</si>
  <si>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</si>
  <si>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</si>
  <si>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</si>
  <si>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</si>
  <si>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</si>
  <si>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</si>
  <si>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</si>
  <si>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</si>
  <si>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</si>
  <si>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</si>
  <si>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</si>
  <si>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</si>
  <si>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</si>
  <si>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</si>
  <si>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</si>
  <si>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</si>
  <si>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</si>
  <si>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</si>
  <si>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</si>
  <si>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</si>
  <si>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</si>
  <si>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</si>
  <si>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</si>
  <si>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</si>
  <si>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</si>
  <si>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</si>
  <si>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</si>
  <si>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</si>
  <si>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</si>
  <si>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</si>
  <si>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</si>
  <si>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</si>
  <si>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</si>
  <si>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</si>
  <si>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</si>
  <si>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</si>
  <si>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</si>
  <si>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</si>
  <si>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</si>
  <si>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</si>
  <si>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</si>
  <si>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</si>
  <si>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</si>
  <si>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</si>
  <si>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</si>
  <si>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</si>
  <si>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</si>
  <si>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</si>
  <si>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</si>
  <si>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</si>
  <si>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</si>
  <si>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</si>
  <si>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</si>
  <si>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</si>
  <si>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</si>
  <si>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</si>
  <si>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</si>
  <si>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</si>
  <si>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</si>
  <si>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</si>
  <si>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</si>
  <si>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</si>
  <si>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</si>
  <si>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</si>
  <si>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</si>
  <si>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</si>
  <si>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</si>
  <si>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</si>
  <si>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</si>
  <si>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</si>
  <si>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</si>
  <si>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</si>
  <si>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</si>
  <si>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</si>
  <si>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</si>
  <si>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</si>
  <si>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</si>
  <si>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</si>
  <si>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</si>
  <si>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</si>
  <si>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</si>
  <si>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</si>
  <si>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</si>
  <si>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</si>
  <si>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</si>
  <si>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</si>
  <si>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</si>
  <si>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</si>
  <si>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</si>
  <si>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</si>
  <si>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</si>
  <si>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</si>
  <si>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</si>
  <si>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</si>
  <si>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</si>
  <si>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</si>
  <si>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</si>
  <si>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</si>
  <si>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</si>
  <si>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</si>
  <si>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</si>
  <si>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</si>
  <si>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</si>
  <si>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</si>
  <si>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</si>
  <si>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</si>
  <si>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</si>
  <si>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</si>
  <si>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</si>
  <si>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</si>
  <si>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</si>
  <si>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</si>
  <si>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</si>
  <si>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</si>
  <si>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</si>
  <si>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</si>
  <si>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</si>
  <si>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</si>
  <si>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</si>
  <si>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</si>
  <si>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</si>
  <si>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</si>
  <si>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</si>
  <si>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</si>
  <si>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</si>
  <si>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</si>
  <si>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</si>
  <si>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</si>
  <si>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</si>
  <si>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</si>
  <si>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</si>
  <si>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</si>
  <si>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</si>
  <si>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</si>
  <si>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</si>
  <si>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</si>
  <si>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</si>
  <si>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</si>
  <si>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</si>
  <si>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</si>
  <si>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</si>
  <si>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</si>
  <si>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</si>
  <si>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</si>
  <si>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</si>
  <si>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</si>
  <si>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</si>
  <si>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</si>
  <si>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</si>
  <si>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</si>
  <si>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</si>
  <si>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</si>
  <si>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</si>
  <si>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</si>
  <si>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</si>
  <si>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</si>
  <si>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</si>
  <si>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</si>
  <si>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</si>
  <si>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</si>
  <si>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</si>
  <si>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</si>
  <si>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</si>
  <si>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</si>
  <si>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</si>
  <si>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</si>
  <si>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</si>
  <si>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</si>
  <si>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</si>
  <si>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</si>
  <si>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</si>
  <si>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</si>
  <si>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</si>
  <si>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</si>
  <si>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</si>
  <si>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</si>
  <si>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</si>
  <si>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</si>
  <si>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</si>
  <si>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</si>
  <si>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</si>
  <si>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</si>
  <si>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</si>
  <si>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</si>
  <si>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</si>
  <si>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</si>
  <si>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</si>
  <si>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</si>
  <si>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</si>
  <si>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</si>
  <si>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</si>
  <si>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</si>
  <si>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</si>
  <si>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</si>
  <si>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</si>
  <si>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</si>
  <si>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</si>
  <si>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</si>
  <si>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</si>
  <si>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</si>
  <si>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</si>
  <si>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</si>
  <si>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</si>
  <si>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</si>
  <si>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</si>
  <si>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</si>
  <si>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</si>
  <si>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</si>
  <si>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</si>
  <si>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</si>
  <si>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</si>
  <si>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</si>
  <si>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</si>
  <si>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</si>
  <si>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</si>
  <si>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</si>
  <si>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</si>
  <si>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</si>
  <si>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</si>
  <si>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</si>
  <si>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</si>
  <si>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</si>
  <si>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</si>
  <si>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</si>
  <si>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</si>
  <si>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</si>
  <si>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</si>
  <si>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</si>
  <si>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</si>
  <si>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</si>
  <si>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</si>
  <si>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</si>
  <si>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</si>
  <si>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</si>
  <si>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</si>
  <si>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</si>
  <si>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</si>
  <si>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</si>
  <si>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</si>
  <si>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</si>
  <si>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</si>
  <si>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</si>
  <si>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</si>
  <si>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</si>
  <si>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</si>
  <si>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</si>
  <si>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</si>
  <si>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</si>
  <si>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</si>
  <si>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</si>
  <si>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</si>
  <si>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</si>
  <si>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</si>
  <si>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</si>
  <si>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</si>
  <si>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</si>
  <si>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</si>
  <si>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</si>
  <si>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</si>
  <si>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</si>
  <si>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</si>
  <si>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</si>
  <si>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</si>
  <si>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</si>
  <si>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</si>
  <si>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</si>
  <si>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</si>
  <si>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</si>
  <si>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</si>
  <si>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</si>
  <si>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</si>
  <si>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</si>
  <si>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</si>
  <si>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</si>
  <si>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</si>
  <si>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</si>
  <si>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</si>
  <si>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</si>
  <si>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</si>
  <si>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</si>
  <si>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</si>
  <si>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</si>
  <si>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</si>
  <si>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</si>
  <si>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</si>
  <si>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</si>
  <si>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</si>
  <si>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</si>
  <si>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</si>
  <si>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</si>
  <si>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</si>
  <si>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</si>
  <si>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</si>
  <si>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</si>
  <si>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</si>
  <si>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</si>
  <si>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</si>
  <si>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</si>
  <si>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</si>
  <si>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</si>
  <si>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</si>
  <si>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</si>
  <si>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</si>
  <si>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</si>
  <si>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</si>
  <si>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</si>
  <si>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</si>
  <si>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</si>
  <si>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</si>
  <si>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</si>
  <si>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</si>
  <si>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</si>
  <si>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</si>
  <si>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</si>
  <si>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</si>
  <si>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</si>
  <si>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</si>
  <si>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</si>
  <si>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</si>
  <si>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</si>
  <si>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</si>
  <si>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</si>
  <si>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</si>
  <si>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</si>
  <si>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</si>
  <si>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</si>
  <si>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</si>
  <si>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</si>
  <si>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</si>
  <si>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</si>
  <si>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</si>
  <si>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</si>
  <si>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</si>
  <si>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</si>
  <si>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</si>
  <si>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</si>
  <si>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</si>
  <si>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</si>
  <si>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</si>
  <si>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</si>
  <si>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</si>
  <si>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</si>
  <si>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</si>
  <si>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</si>
  <si>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</si>
  <si>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</si>
  <si>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</si>
  <si>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</si>
  <si>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</si>
  <si>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</si>
  <si>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</si>
  <si>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</si>
  <si>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</si>
  <si>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</si>
  <si>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</si>
  <si>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</si>
  <si>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</si>
  <si>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</si>
  <si>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</si>
  <si>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</si>
  <si>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</si>
  <si>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</si>
  <si>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</si>
  <si>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</si>
  <si>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</si>
  <si>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</si>
  <si>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</si>
  <si>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</si>
  <si>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</si>
  <si>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</si>
  <si>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</si>
  <si>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</si>
  <si>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</si>
  <si>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</si>
  <si>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</si>
  <si>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</si>
  <si>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</si>
  <si>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</si>
  <si>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</si>
  <si>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</si>
  <si>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</si>
  <si>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</si>
  <si>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</si>
  <si>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</si>
  <si>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</si>
  <si>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</si>
  <si>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</si>
  <si>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</si>
  <si>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</si>
  <si>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</si>
  <si>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</si>
  <si>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</si>
  <si>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</si>
  <si>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</si>
  <si>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</si>
  <si>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</si>
  <si>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</si>
  <si>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</si>
  <si>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</si>
  <si>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</si>
  <si>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</si>
  <si>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</si>
  <si>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</si>
  <si>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</si>
  <si>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</si>
  <si>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</si>
  <si>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</si>
  <si>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</si>
  <si>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</si>
  <si>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</si>
  <si>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</si>
  <si>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</si>
  <si>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</si>
  <si>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</si>
  <si>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</si>
  <si>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</si>
  <si>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</si>
  <si>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</si>
  <si>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</si>
  <si>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</si>
  <si>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</si>
  <si>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</si>
  <si>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</si>
  <si>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</si>
  <si>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</si>
  <si>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</si>
  <si>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</si>
  <si>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</si>
  <si>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</si>
  <si>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</si>
  <si>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</si>
  <si>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</si>
  <si>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</si>
  <si>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</si>
  <si>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</si>
  <si>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</si>
  <si>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</si>
  <si>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</si>
  <si>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</si>
  <si>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</si>
  <si>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</si>
  <si>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</si>
  <si>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</si>
  <si>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</si>
  <si>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</si>
  <si>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</si>
  <si>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</si>
  <si>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</si>
  <si>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</si>
  <si>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</si>
  <si>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</si>
  <si>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</si>
  <si>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</si>
  <si>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</si>
  <si>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</si>
  <si>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</si>
  <si>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</si>
  <si>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</si>
  <si>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</si>
  <si>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</si>
  <si>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</si>
  <si>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</si>
  <si>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</si>
  <si>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</si>
  <si>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</si>
  <si>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</si>
  <si>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</si>
  <si>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</si>
  <si>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</si>
  <si>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</si>
  <si>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</si>
  <si>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</si>
  <si>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</si>
  <si>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</si>
  <si>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</si>
  <si>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</si>
  <si>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</si>
  <si>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</si>
  <si>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</si>
  <si>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</si>
  <si>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</si>
  <si>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</si>
  <si>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</si>
  <si>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</si>
  <si>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</si>
  <si>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</si>
  <si>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</si>
  <si>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</si>
  <si>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</si>
  <si>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</si>
  <si>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</si>
  <si>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</si>
  <si>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</si>
  <si>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</si>
  <si>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</si>
  <si>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</si>
  <si>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</si>
  <si>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</si>
  <si>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</si>
  <si>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</si>
  <si>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</si>
  <si>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</si>
  <si>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</si>
  <si>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</si>
  <si>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</si>
  <si>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</si>
  <si>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</si>
  <si>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</si>
  <si>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</si>
  <si>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</si>
  <si>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</si>
  <si>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</si>
  <si>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</si>
  <si>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</si>
  <si>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</si>
  <si>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</si>
  <si>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</si>
  <si>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</si>
  <si>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</si>
  <si>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</si>
  <si>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</si>
  <si>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</si>
  <si>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</si>
  <si>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</si>
  <si>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</si>
  <si>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</si>
  <si>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</si>
  <si>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</si>
  <si>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</si>
  <si>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</si>
  <si>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</si>
  <si>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</si>
  <si>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</si>
  <si>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</si>
  <si>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</si>
  <si>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</si>
  <si>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</si>
  <si>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</si>
  <si>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</si>
  <si>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</si>
  <si>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</si>
  <si>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</si>
  <si>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</si>
  <si>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</si>
  <si>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</si>
  <si>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</si>
  <si>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</si>
  <si>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</si>
  <si>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</si>
  <si>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</si>
  <si>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</si>
  <si>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</si>
  <si>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</si>
  <si>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</si>
  <si>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</si>
  <si>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</si>
  <si>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</si>
  <si>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</si>
  <si>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</si>
  <si>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</si>
  <si>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</si>
  <si>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</si>
  <si>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</si>
  <si>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</si>
  <si>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</si>
  <si>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</si>
  <si>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</si>
  <si>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</si>
  <si>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</si>
  <si>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</si>
  <si>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</si>
  <si>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</si>
  <si>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</si>
  <si>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</si>
  <si>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</si>
  <si>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</si>
  <si>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</si>
  <si>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</si>
  <si>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</si>
  <si>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</si>
  <si>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</si>
  <si>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</si>
  <si>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</si>
  <si>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</si>
  <si>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</si>
  <si>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</si>
  <si>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</si>
  <si>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</si>
  <si>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</si>
  <si>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</si>
  <si>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</si>
  <si>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</si>
  <si>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</si>
  <si>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</si>
  <si>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</si>
  <si>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</si>
  <si>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</si>
  <si>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</si>
  <si>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</si>
  <si>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</si>
  <si>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</si>
  <si>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</si>
  <si>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</si>
  <si>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</si>
  <si>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</si>
  <si>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</si>
  <si>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</si>
  <si>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</si>
  <si>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</si>
  <si>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</si>
  <si>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</si>
  <si>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</si>
  <si>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</si>
  <si>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</si>
  <si>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</si>
  <si>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</si>
  <si>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</si>
  <si>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</si>
  <si>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</si>
  <si>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</si>
  <si>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</si>
  <si>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</si>
  <si>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</si>
  <si>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</si>
  <si>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</si>
  <si>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</si>
  <si>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</si>
  <si>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</si>
  <si>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</si>
  <si>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</si>
  <si>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</si>
  <si>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</si>
  <si>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</si>
  <si>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</si>
  <si>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</si>
  <si>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</si>
  <si>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</si>
  <si>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</si>
  <si>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</si>
  <si>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</si>
  <si>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</si>
  <si>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</si>
  <si>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</si>
  <si>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</si>
  <si>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</si>
  <si>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</si>
  <si>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</si>
  <si>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</si>
  <si>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</si>
  <si>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</si>
  <si>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</si>
  <si>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</si>
  <si>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</si>
  <si>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</si>
  <si>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</si>
  <si>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</si>
  <si>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</si>
  <si>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</si>
  <si>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</si>
  <si>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</si>
  <si>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</si>
  <si>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</si>
  <si>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</si>
  <si>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</si>
  <si>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</si>
  <si>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</si>
  <si>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</si>
  <si>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</si>
  <si>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</si>
  <si>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</si>
  <si>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</si>
  <si>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</si>
  <si>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</si>
  <si>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</si>
  <si>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</si>
  <si>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</si>
  <si>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</si>
  <si>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</si>
  <si>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</si>
  <si>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</si>
  <si>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</si>
  <si>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</si>
  <si>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</si>
  <si>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</si>
  <si>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</si>
  <si>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</si>
  <si>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</si>
  <si>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</si>
  <si>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</si>
  <si>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</si>
  <si>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</si>
  <si>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</si>
  <si>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</si>
  <si>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</si>
  <si>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</si>
  <si>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</si>
  <si>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</si>
  <si>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</si>
  <si>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</si>
  <si>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出让</t>
  </si>
  <si>
    <t>陈颖</t>
  </si>
  <si>
    <t>地上</t>
  </si>
  <si>
    <t>是</t>
  </si>
  <si>
    <t>办公楼</t>
  </si>
  <si>
    <r>
      <t>5</t>
    </r>
    <r>
      <rPr>
        <sz val="10"/>
        <color indexed="8"/>
        <rFont val="宋体"/>
        <family val="3"/>
        <charset val="134"/>
      </rPr>
      <t>层</t>
    </r>
    <r>
      <rPr>
        <sz val="10"/>
        <color indexed="8"/>
        <rFont val="Arial"/>
        <family val="2"/>
      </rPr>
      <t>04</t>
    </r>
    <phoneticPr fontId="3" type="noConversion"/>
  </si>
  <si>
    <r>
      <t>1</t>
    </r>
    <r>
      <rPr>
        <sz val="10"/>
        <color indexed="8"/>
        <rFont val="宋体"/>
        <family val="3"/>
        <charset val="134"/>
      </rPr>
      <t>层</t>
    </r>
    <r>
      <rPr>
        <sz val="10"/>
        <color indexed="8"/>
        <rFont val="Arial"/>
        <family val="2"/>
      </rPr>
      <t>05</t>
    </r>
    <phoneticPr fontId="3" type="noConversion"/>
  </si>
  <si>
    <r>
      <t>1</t>
    </r>
    <r>
      <rPr>
        <sz val="10"/>
        <color indexed="8"/>
        <rFont val="宋体"/>
        <family val="3"/>
        <charset val="134"/>
      </rPr>
      <t>层</t>
    </r>
    <r>
      <rPr>
        <sz val="10"/>
        <color indexed="8"/>
        <rFont val="Arial"/>
        <family val="2"/>
      </rPr>
      <t>03</t>
    </r>
    <phoneticPr fontId="3" type="noConversion"/>
  </si>
  <si>
    <r>
      <t>1</t>
    </r>
    <r>
      <rPr>
        <sz val="10"/>
        <color indexed="8"/>
        <rFont val="宋体"/>
        <family val="3"/>
        <charset val="134"/>
      </rPr>
      <t>层</t>
    </r>
    <r>
      <rPr>
        <sz val="10"/>
        <color indexed="8"/>
        <rFont val="Arial"/>
        <family val="2"/>
      </rPr>
      <t>04</t>
    </r>
    <phoneticPr fontId="3" type="noConversion"/>
  </si>
  <si>
    <r>
      <t>3</t>
    </r>
    <r>
      <rPr>
        <sz val="10"/>
        <color indexed="8"/>
        <rFont val="宋体"/>
        <family val="3"/>
        <charset val="134"/>
      </rPr>
      <t>层</t>
    </r>
    <phoneticPr fontId="3" type="noConversion"/>
  </si>
  <si>
    <r>
      <t>3</t>
    </r>
    <r>
      <rPr>
        <sz val="11"/>
        <color indexed="8"/>
        <rFont val="宋体"/>
        <family val="3"/>
        <charset val="134"/>
      </rPr>
      <t>层夹层</t>
    </r>
    <r>
      <rPr>
        <sz val="11"/>
        <color indexed="8"/>
        <rFont val="Arial"/>
        <family val="2"/>
      </rPr>
      <t>3-2</t>
    </r>
    <phoneticPr fontId="3" type="noConversion"/>
  </si>
  <si>
    <r>
      <t>4</t>
    </r>
    <r>
      <rPr>
        <sz val="11"/>
        <color indexed="8"/>
        <rFont val="宋体"/>
        <family val="3"/>
        <charset val="134"/>
      </rPr>
      <t>层</t>
    </r>
    <r>
      <rPr>
        <sz val="11"/>
        <color indexed="8"/>
        <rFont val="Arial"/>
        <family val="2"/>
      </rPr>
      <t>01</t>
    </r>
    <phoneticPr fontId="3" type="noConversion"/>
  </si>
  <si>
    <r>
      <t>4</t>
    </r>
    <r>
      <rPr>
        <sz val="11"/>
        <color indexed="8"/>
        <rFont val="宋体"/>
        <family val="3"/>
        <charset val="134"/>
      </rPr>
      <t>层</t>
    </r>
    <r>
      <rPr>
        <sz val="11"/>
        <color indexed="8"/>
        <rFont val="Arial"/>
        <family val="2"/>
      </rPr>
      <t>04</t>
    </r>
    <phoneticPr fontId="3" type="noConversion"/>
  </si>
  <si>
    <r>
      <t>6</t>
    </r>
    <r>
      <rPr>
        <sz val="11"/>
        <color indexed="8"/>
        <rFont val="宋体"/>
        <family val="3"/>
        <charset val="134"/>
      </rPr>
      <t>层</t>
    </r>
    <r>
      <rPr>
        <sz val="11"/>
        <color indexed="8"/>
        <rFont val="Arial"/>
        <family val="2"/>
      </rPr>
      <t>02</t>
    </r>
    <phoneticPr fontId="3" type="noConversion"/>
  </si>
  <si>
    <r>
      <t>1</t>
    </r>
    <r>
      <rPr>
        <sz val="11"/>
        <color indexed="8"/>
        <rFont val="宋体"/>
        <family val="3"/>
        <charset val="134"/>
      </rPr>
      <t>层</t>
    </r>
    <r>
      <rPr>
        <sz val="11"/>
        <color indexed="8"/>
        <rFont val="Arial"/>
        <family val="2"/>
      </rPr>
      <t>06</t>
    </r>
    <phoneticPr fontId="3" type="noConversion"/>
  </si>
  <si>
    <r>
      <t>5</t>
    </r>
    <r>
      <rPr>
        <sz val="11"/>
        <color indexed="8"/>
        <rFont val="宋体"/>
        <family val="3"/>
        <charset val="134"/>
      </rPr>
      <t>层</t>
    </r>
    <r>
      <rPr>
        <sz val="11"/>
        <color indexed="8"/>
        <rFont val="Arial"/>
        <family val="2"/>
      </rPr>
      <t>02</t>
    </r>
    <phoneticPr fontId="3" type="noConversion"/>
  </si>
  <si>
    <r>
      <t>5</t>
    </r>
    <r>
      <rPr>
        <sz val="11"/>
        <color indexed="8"/>
        <rFont val="宋体"/>
        <family val="3"/>
        <charset val="134"/>
      </rPr>
      <t>层</t>
    </r>
    <r>
      <rPr>
        <sz val="11"/>
        <color indexed="8"/>
        <rFont val="Arial"/>
        <family val="2"/>
      </rPr>
      <t>03</t>
    </r>
    <phoneticPr fontId="3" type="noConversion"/>
  </si>
  <si>
    <r>
      <t>6</t>
    </r>
    <r>
      <rPr>
        <sz val="11"/>
        <color indexed="8"/>
        <rFont val="宋体"/>
        <family val="3"/>
        <charset val="134"/>
      </rPr>
      <t>层</t>
    </r>
    <r>
      <rPr>
        <sz val="11"/>
        <color indexed="8"/>
        <rFont val="Arial"/>
        <family val="2"/>
      </rPr>
      <t>01</t>
    </r>
    <phoneticPr fontId="3" type="noConversion"/>
  </si>
  <si>
    <r>
      <t>6</t>
    </r>
    <r>
      <rPr>
        <sz val="11"/>
        <color indexed="8"/>
        <rFont val="宋体"/>
        <family val="3"/>
        <charset val="134"/>
      </rPr>
      <t>层</t>
    </r>
    <r>
      <rPr>
        <sz val="11"/>
        <color indexed="8"/>
        <rFont val="Arial"/>
        <family val="2"/>
      </rPr>
      <t>03</t>
    </r>
    <phoneticPr fontId="3" type="noConversion"/>
  </si>
  <si>
    <r>
      <t>6</t>
    </r>
    <r>
      <rPr>
        <sz val="11"/>
        <color indexed="8"/>
        <rFont val="宋体"/>
        <family val="3"/>
        <charset val="134"/>
      </rPr>
      <t>层</t>
    </r>
    <r>
      <rPr>
        <sz val="11"/>
        <color indexed="8"/>
        <rFont val="Arial"/>
        <family val="2"/>
      </rPr>
      <t>04</t>
    </r>
    <phoneticPr fontId="3" type="noConversion"/>
  </si>
  <si>
    <r>
      <t>2</t>
    </r>
    <r>
      <rPr>
        <sz val="11"/>
        <color indexed="8"/>
        <rFont val="宋体"/>
        <family val="3"/>
        <charset val="134"/>
      </rPr>
      <t>层</t>
    </r>
    <phoneticPr fontId="3" type="noConversion"/>
  </si>
  <si>
    <r>
      <t>4</t>
    </r>
    <r>
      <rPr>
        <sz val="11"/>
        <color indexed="8"/>
        <rFont val="宋体"/>
        <family val="3"/>
        <charset val="134"/>
      </rPr>
      <t>层</t>
    </r>
    <r>
      <rPr>
        <sz val="11"/>
        <color indexed="8"/>
        <rFont val="Arial"/>
        <family val="2"/>
      </rPr>
      <t>02</t>
    </r>
    <phoneticPr fontId="3" type="noConversion"/>
  </si>
  <si>
    <r>
      <t>1</t>
    </r>
    <r>
      <rPr>
        <sz val="11"/>
        <color indexed="8"/>
        <rFont val="宋体"/>
        <family val="3"/>
        <charset val="134"/>
      </rPr>
      <t>层通道</t>
    </r>
    <phoneticPr fontId="3" type="noConversion"/>
  </si>
  <si>
    <r>
      <t>4</t>
    </r>
    <r>
      <rPr>
        <sz val="11"/>
        <color indexed="8"/>
        <rFont val="宋体"/>
        <family val="3"/>
        <charset val="134"/>
      </rPr>
      <t>层</t>
    </r>
    <r>
      <rPr>
        <sz val="11"/>
        <color indexed="8"/>
        <rFont val="Arial"/>
        <family val="2"/>
      </rPr>
      <t>03</t>
    </r>
    <phoneticPr fontId="3" type="noConversion"/>
  </si>
  <si>
    <r>
      <t>3</t>
    </r>
    <r>
      <rPr>
        <sz val="11"/>
        <color indexed="8"/>
        <rFont val="宋体"/>
        <family val="3"/>
        <charset val="134"/>
      </rPr>
      <t>层夹层</t>
    </r>
    <r>
      <rPr>
        <sz val="11"/>
        <color indexed="8"/>
        <rFont val="Arial"/>
        <family val="2"/>
      </rPr>
      <t>3-1</t>
    </r>
    <phoneticPr fontId="3" type="noConversion"/>
  </si>
  <si>
    <r>
      <t>5</t>
    </r>
    <r>
      <rPr>
        <sz val="11"/>
        <color indexed="8"/>
        <rFont val="宋体"/>
        <family val="3"/>
        <charset val="134"/>
      </rPr>
      <t>层</t>
    </r>
    <r>
      <rPr>
        <sz val="11"/>
        <color indexed="8"/>
        <rFont val="Arial"/>
        <family val="2"/>
      </rPr>
      <t>01</t>
    </r>
    <phoneticPr fontId="3" type="noConversion"/>
  </si>
  <si>
    <t>办公</t>
    <phoneticPr fontId="7" type="noConversion"/>
  </si>
  <si>
    <t>成新度</t>
  </si>
  <si>
    <t>收益法</t>
  </si>
  <si>
    <t>押一</t>
  </si>
  <si>
    <t>钢混</t>
  </si>
  <si>
    <t>非生产用房</t>
  </si>
  <si>
    <t>首创</t>
    <phoneticPr fontId="140" type="noConversion"/>
  </si>
  <si>
    <t>佳汇</t>
    <phoneticPr fontId="140" type="noConversion"/>
  </si>
  <si>
    <t>全部缴纳</t>
  </si>
  <si>
    <t>已包含在土地取得成本中</t>
  </si>
  <si>
    <t>未包含在土地购买价格中</t>
  </si>
  <si>
    <t>序号</t>
    <phoneticPr fontId="140" type="noConversion"/>
  </si>
  <si>
    <t>权利人</t>
    <phoneticPr fontId="140" type="noConversion"/>
  </si>
  <si>
    <t>坐落</t>
    <phoneticPr fontId="140" type="noConversion"/>
  </si>
  <si>
    <t>面积</t>
    <phoneticPr fontId="140" type="noConversion"/>
  </si>
  <si>
    <t>用途</t>
    <phoneticPr fontId="140" type="noConversion"/>
  </si>
  <si>
    <t>深圳市麦卢卡贸易有限公司</t>
    <phoneticPr fontId="140" type="noConversion"/>
  </si>
  <si>
    <r>
      <t>东城区新中街6</t>
    </r>
    <r>
      <rPr>
        <sz val="11"/>
        <color theme="1"/>
        <rFont val="宋体"/>
        <family val="3"/>
        <charset val="134"/>
        <scheme val="minor"/>
      </rPr>
      <t>8号8A楼5层公建五层04</t>
    </r>
    <phoneticPr fontId="140" type="noConversion"/>
  </si>
  <si>
    <t>办公</t>
    <phoneticPr fontId="140" type="noConversion"/>
  </si>
  <si>
    <t>使用期限</t>
    <phoneticPr fontId="140" type="noConversion"/>
  </si>
  <si>
    <r>
      <t>2</t>
    </r>
    <r>
      <rPr>
        <sz val="11"/>
        <color theme="1"/>
        <rFont val="宋体"/>
        <family val="3"/>
        <charset val="134"/>
        <scheme val="minor"/>
      </rPr>
      <t>049年4月21日止</t>
    </r>
    <phoneticPr fontId="140" type="noConversion"/>
  </si>
  <si>
    <t>合计</t>
    <phoneticPr fontId="140" type="noConversion"/>
  </si>
  <si>
    <t>——</t>
    <phoneticPr fontId="140" type="noConversion"/>
  </si>
  <si>
    <t>东城区新中街68号8A楼1层公建一层05</t>
    <phoneticPr fontId="140" type="noConversion"/>
  </si>
  <si>
    <t>东城区新中街68号8A楼1层公建一层03</t>
    <phoneticPr fontId="140" type="noConversion"/>
  </si>
  <si>
    <t>东城区新中街68号8A楼1层公建一层04</t>
    <phoneticPr fontId="140" type="noConversion"/>
  </si>
  <si>
    <t>东城区新中街68号8A楼3层公建三层</t>
    <phoneticPr fontId="140" type="noConversion"/>
  </si>
  <si>
    <t>东城区新中街68号8A楼3层公建三层夹层3-2</t>
    <phoneticPr fontId="140" type="noConversion"/>
  </si>
  <si>
    <t>东城区新中街68号8A楼4层公建四层01</t>
    <phoneticPr fontId="140" type="noConversion"/>
  </si>
  <si>
    <t>东城区新中街68号8A楼4层公建四层04</t>
    <phoneticPr fontId="140" type="noConversion"/>
  </si>
  <si>
    <t>东城区新中街68号8A楼6层公建六层02</t>
    <phoneticPr fontId="140" type="noConversion"/>
  </si>
  <si>
    <t>东城区新中街68号8A楼1层公建一层06</t>
    <phoneticPr fontId="140" type="noConversion"/>
  </si>
  <si>
    <t>东城区新中街68号8A楼5层公建五层02</t>
    <phoneticPr fontId="140" type="noConversion"/>
  </si>
  <si>
    <t>东城区新中街68号8A楼5层公建五层03</t>
    <phoneticPr fontId="140" type="noConversion"/>
  </si>
  <si>
    <t>东城区新中街68号8A楼6层公建六层01</t>
    <phoneticPr fontId="140" type="noConversion"/>
  </si>
  <si>
    <t>东城区新中街68号8A楼6层公建六层03</t>
    <phoneticPr fontId="140" type="noConversion"/>
  </si>
  <si>
    <t>东城区新中街68号8A楼6层公建六层04</t>
    <phoneticPr fontId="140" type="noConversion"/>
  </si>
  <si>
    <t>东城区新中街68号8A楼2层公建二层</t>
    <phoneticPr fontId="140" type="noConversion"/>
  </si>
  <si>
    <t>东城区新中街68号8A楼4层公建四层02</t>
    <phoneticPr fontId="140" type="noConversion"/>
  </si>
  <si>
    <t>东城区新中街68号8A楼1层通道</t>
    <phoneticPr fontId="140" type="noConversion"/>
  </si>
  <si>
    <t>东城区新中街68号8A楼4层公建四层03</t>
    <phoneticPr fontId="140" type="noConversion"/>
  </si>
  <si>
    <t>东城区新中街68号8A楼3层公建三层夹层3-1</t>
    <phoneticPr fontId="140" type="noConversion"/>
  </si>
  <si>
    <t>东城区新中街68号8A楼5层公建五层01</t>
    <phoneticPr fontId="140" type="noConversion"/>
  </si>
  <si>
    <t>按租金收入计税</t>
  </si>
  <si>
    <t>租金</t>
  </si>
  <si>
    <t>正常</t>
  </si>
  <si>
    <t>佳汇中心</t>
    <phoneticPr fontId="3" type="noConversion"/>
  </si>
  <si>
    <t>首创</t>
    <phoneticPr fontId="3" type="noConversion"/>
  </si>
  <si>
    <t>较好</t>
  </si>
  <si>
    <t>七通</t>
  </si>
  <si>
    <t>富华</t>
    <phoneticPr fontId="140" type="noConversion"/>
  </si>
  <si>
    <t>精装修</t>
    <phoneticPr fontId="32" type="noConversion"/>
  </si>
  <si>
    <t>设施设备</t>
    <phoneticPr fontId="32" type="noConversion"/>
  </si>
  <si>
    <t>完整</t>
    <phoneticPr fontId="32" type="noConversion"/>
  </si>
  <si>
    <t>普通装修</t>
  </si>
  <si>
    <t>普通装修</t>
    <phoneticPr fontId="32" type="noConversion"/>
  </si>
  <si>
    <t>部分</t>
    <phoneticPr fontId="32" type="noConversion"/>
  </si>
  <si>
    <t>塔楼</t>
  </si>
  <si>
    <t>塔楼</t>
    <phoneticPr fontId="32" type="noConversion"/>
  </si>
  <si>
    <t>钢混</t>
    <phoneticPr fontId="32" type="noConversion"/>
  </si>
  <si>
    <t>精装修</t>
  </si>
  <si>
    <t>精装修</t>
    <phoneticPr fontId="32" type="noConversion"/>
  </si>
  <si>
    <t>物业公司管理</t>
  </si>
  <si>
    <t>物业公司管理</t>
    <phoneticPr fontId="32" type="noConversion"/>
  </si>
  <si>
    <t>自管</t>
  </si>
  <si>
    <t>自管</t>
    <phoneticPr fontId="32" type="noConversion"/>
  </si>
  <si>
    <t>七通</t>
    <phoneticPr fontId="32" type="noConversion"/>
  </si>
  <si>
    <t>六通</t>
    <phoneticPr fontId="32" type="noConversion"/>
  </si>
  <si>
    <t>五通</t>
  </si>
  <si>
    <t>五通</t>
    <phoneticPr fontId="32" type="noConversion"/>
  </si>
  <si>
    <t>聚龙商务楼</t>
    <phoneticPr fontId="140" type="noConversion"/>
  </si>
  <si>
    <t>佳汇国际中心</t>
    <phoneticPr fontId="140" type="noConversion"/>
  </si>
  <si>
    <t>美惠大厦</t>
    <phoneticPr fontId="140" type="noConversion"/>
  </si>
  <si>
    <t>华普大厦</t>
    <phoneticPr fontId="140" type="noConversion"/>
  </si>
  <si>
    <t>富华大厦</t>
    <phoneticPr fontId="140" type="noConversion"/>
  </si>
  <si>
    <r>
      <t>5.5</t>
    </r>
    <r>
      <rPr>
        <sz val="11"/>
        <color theme="1"/>
        <rFont val="宋体"/>
        <family val="3"/>
        <charset val="134"/>
        <scheme val="minor"/>
      </rPr>
      <t>-6</t>
    </r>
    <phoneticPr fontId="140" type="noConversion"/>
  </si>
  <si>
    <t>首创大厦</t>
    <phoneticPr fontId="140" type="noConversion"/>
  </si>
  <si>
    <t>7-11</t>
    <phoneticPr fontId="140" type="noConversion"/>
  </si>
  <si>
    <t>蓝筹铭座</t>
    <phoneticPr fontId="140" type="noConversion"/>
  </si>
  <si>
    <t>毛坯/半装修</t>
  </si>
  <si>
    <t>毛坯/半装修</t>
    <phoneticPr fontId="32" type="noConversion"/>
  </si>
  <si>
    <t>新中大厦</t>
    <phoneticPr fontId="140" type="noConversion"/>
  </si>
  <si>
    <t>好</t>
  </si>
  <si>
    <t>估价对象为距离东二环约600米，北侧临近工人体育场北路，周边有3路、4路、113路、115录吧、406路等公交通行，距离地铁2号线东四十条站约700米，交通便捷度较好。</t>
    <phoneticPr fontId="41" type="noConversion"/>
  </si>
  <si>
    <t>区域自然环境：东岳庙；人文环境：北京工人体育场、保利剧院；综合评价环境状况较好</t>
    <phoneticPr fontId="41" type="noConversion"/>
  </si>
  <si>
    <t>估价对象地处东城区，周边办公楼项目较多，入驻率高，办公集聚程度较好。</t>
    <phoneticPr fontId="25" type="noConversion"/>
  </si>
  <si>
    <t>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t>
    <phoneticPr fontId="41" type="noConversion"/>
  </si>
  <si>
    <r>
      <rPr>
        <sz val="8"/>
        <color rgb="FFFFFFFF"/>
        <rFont val="Times New Roman"/>
        <family val="1"/>
      </rPr>
      <t xml:space="preserve"> </t>
    </r>
    <r>
      <rPr>
        <b/>
        <sz val="8"/>
        <color rgb="FFFFFFFF"/>
        <rFont val="等线"/>
        <family val="3"/>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</si>
  <si>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</si>
  <si>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</si>
  <si>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</si>
  <si>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</si>
  <si>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</si>
  <si>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</si>
  <si>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</si>
  <si>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</si>
  <si>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</si>
  <si>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</si>
  <si>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</si>
  <si>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</si>
  <si>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</si>
  <si>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</si>
  <si>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</si>
  <si>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</si>
  <si>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</si>
  <si>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</si>
  <si>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</si>
  <si>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</si>
  <si>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</si>
  <si>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</si>
  <si>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phoneticPr fontId="140" type="noConversion"/>
  </si>
  <si>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</si>
  <si>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</si>
  <si>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</si>
  <si>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</si>
  <si>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</si>
  <si>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</si>
  <si>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</si>
  <si>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</si>
  <si>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</si>
  <si>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</si>
  <si>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</si>
  <si>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</si>
  <si>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</si>
  <si>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</si>
  <si>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</si>
  <si>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</si>
  <si>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</si>
  <si>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phoneticPr fontId="140" type="noConversion"/>
  </si>
  <si>
    <t>兆泰集团</t>
  </si>
  <si>
    <t>GLP 普洛斯资本</t>
  </si>
  <si>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</si>
  <si>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</si>
  <si>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</si>
  <si>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</si>
  <si>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</si>
  <si>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</si>
  <si>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</si>
  <si>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</si>
  <si>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</si>
  <si>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</si>
  <si>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</si>
  <si>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</si>
  <si>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phoneticPr fontId="140" type="noConversion"/>
  </si>
  <si>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</si>
  <si>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</si>
  <si>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</si>
  <si>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</si>
  <si>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</si>
  <si>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</si>
  <si>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</si>
  <si>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</si>
  <si>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</si>
  <si>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</si>
  <si>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</si>
  <si>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</si>
  <si>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</si>
  <si>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</si>
  <si>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</si>
  <si>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</si>
  <si>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</si>
  <si>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</si>
  <si>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</si>
  <si>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</si>
  <si>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</si>
  <si>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</si>
  <si>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</si>
  <si>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</si>
  <si>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</si>
  <si>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</si>
  <si>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</si>
  <si>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</si>
  <si>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</si>
  <si>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</si>
  <si>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</si>
  <si>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</si>
  <si>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</si>
  <si>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</si>
  <si>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</si>
  <si>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</si>
  <si>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</si>
  <si>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</si>
  <si>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</si>
  <si>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</si>
  <si>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</si>
  <si>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</si>
  <si>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</si>
  <si>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</si>
  <si>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</si>
  <si>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</si>
  <si>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</si>
  <si>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</si>
  <si>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</si>
  <si>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</si>
  <si>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</si>
  <si>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</si>
  <si>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</si>
  <si>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</si>
  <si>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</si>
  <si>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</si>
  <si>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</si>
  <si>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</si>
  <si>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</si>
  <si>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</si>
  <si>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</si>
  <si>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</si>
  <si>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</si>
  <si>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</si>
  <si>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</si>
  <si>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</si>
  <si>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</si>
  <si>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40" type="noConversion"/>
  </si>
  <si>
    <t>西城区</t>
  </si>
  <si>
    <t>金融街控股</t>
  </si>
  <si>
    <r>
      <rPr>
        <sz val="8"/>
        <color rgb="FF252525"/>
        <rFont val="KaiTi"/>
        <family val="3"/>
      </rPr>
      <t>凯龙瑞</t>
    </r>
  </si>
  <si>
    <t>售价</t>
  </si>
  <si>
    <t>比较法-办公大宗</t>
  </si>
  <si>
    <t>比较法-办公大宗</t>
    <phoneticPr fontId="16" type="noConversion"/>
  </si>
  <si>
    <t>甲级</t>
  </si>
  <si>
    <t>甲级</t>
    <phoneticPr fontId="140" type="noConversion"/>
  </si>
  <si>
    <t>国际甲级</t>
  </si>
  <si>
    <t>国际甲级</t>
    <phoneticPr fontId="140" type="noConversion"/>
  </si>
  <si>
    <t>聚龙商务楼</t>
    <phoneticPr fontId="3" type="noConversion"/>
  </si>
  <si>
    <t>利息：取LPR加浮动点数</t>
  </si>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</sst>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_);\(#,##0.0\)"/>
    <numFmt numFmtId="199" formatCode="#,##0_);\(#,##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8"/>
      <color rgb="FFFFFFFF"/>
      <name val="宋体"/>
      <family val="3"/>
      <charset val="134"/>
    </font>
    <font>
      <sz val="8"/>
      <color rgb="FFFFFFFF"/>
      <name val="Times New Roman"/>
      <family val="1"/>
    </font>
    <font>
      <b/>
      <sz val="8"/>
      <color rgb="FFFFFFFF"/>
      <name val="等线"/>
      <family val="3"/>
      <charset val="134"/>
    </font>
    <font>
      <sz val="8"/>
      <color theme="1"/>
      <name val="宋体"/>
      <family val="3"/>
      <charset val="134"/>
      <scheme val="minor"/>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color rgb="FFFF0000"/>
      <name val="KaiTi"/>
      <family val="3"/>
    </font>
    <font>
      <sz val="8"/>
      <color rgb="FFFF0000"/>
      <name val="宋体"/>
      <family val="3"/>
      <charset val="134"/>
      <scheme val="minor"/>
    </font>
    <font>
      <sz val="6"/>
      <color theme="1"/>
      <name val="KaiTi"/>
      <family val="3"/>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006A4D"/>
        <bgColor indexed="64"/>
      </patternFill>
    </fill>
    <fill>
      <patternFill patternType="solid">
        <fgColor rgb="FFF1F1F1"/>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179" fontId="46" fillId="0" borderId="1" xfId="0" applyNumberFormat="1" applyFont="1" applyBorder="1" applyAlignment="1" applyProtection="1">
      <alignment horizontal="center" vertical="center" wrapText="1"/>
      <protection locked="0"/>
    </xf>
    <xf numFmtId="0" fontId="98" fillId="0" borderId="1" xfId="0" applyFont="1" applyBorder="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176" fontId="49" fillId="0" borderId="1" xfId="0" applyNumberFormat="1" applyFont="1" applyBorder="1" applyAlignment="1" applyProtection="1">
      <alignment horizontal="left" vertical="center" wrapText="1"/>
      <protection locked="0"/>
    </xf>
    <xf numFmtId="176" fontId="46" fillId="0" borderId="1" xfId="0" applyNumberFormat="1" applyFont="1" applyBorder="1" applyAlignment="1" applyProtection="1">
      <alignment horizontal="left" vertical="center" wrapText="1"/>
      <protection locked="0"/>
    </xf>
    <xf numFmtId="176" fontId="255" fillId="5" borderId="1" xfId="0" applyNumberFormat="1" applyFont="1" applyFill="1" applyBorder="1">
      <alignment vertical="center"/>
    </xf>
    <xf numFmtId="0" fontId="98" fillId="20" borderId="1" xfId="0" applyFont="1" applyFill="1" applyBorder="1" applyAlignment="1">
      <alignment horizontal="left" vertical="center"/>
    </xf>
    <xf numFmtId="0" fontId="98" fillId="21" borderId="1" xfId="0" applyFont="1" applyFill="1" applyBorder="1" applyAlignment="1">
      <alignment horizontal="left" vertical="center"/>
    </xf>
    <xf numFmtId="0" fontId="98" fillId="22" borderId="1" xfId="0" applyFont="1" applyFill="1" applyBorder="1" applyAlignment="1">
      <alignment horizontal="left" vertical="center"/>
    </xf>
    <xf numFmtId="0" fontId="98" fillId="9" borderId="1" xfId="0" applyFont="1" applyFill="1" applyBorder="1" applyAlignment="1">
      <alignment horizontal="left" vertical="center"/>
    </xf>
    <xf numFmtId="0" fontId="98" fillId="5" borderId="1" xfId="0" applyFont="1" applyFill="1" applyBorder="1" applyAlignment="1">
      <alignment horizontal="left" vertical="center"/>
    </xf>
    <xf numFmtId="0" fontId="98" fillId="0" borderId="1" xfId="0" applyFont="1" applyFill="1" applyBorder="1" applyAlignment="1">
      <alignment horizontal="left" vertical="center"/>
    </xf>
    <xf numFmtId="0" fontId="0" fillId="0" borderId="1" xfId="0" applyFill="1" applyBorder="1" applyAlignment="1">
      <alignment horizontal="left" vertical="center"/>
    </xf>
    <xf numFmtId="176" fontId="49" fillId="0" borderId="1" xfId="0" applyNumberFormat="1" applyFont="1" applyFill="1" applyBorder="1" applyAlignment="1" applyProtection="1">
      <alignment horizontal="left" vertical="center" wrapText="1"/>
      <protection locked="0"/>
    </xf>
    <xf numFmtId="176" fontId="46" fillId="0" borderId="1" xfId="0" applyNumberFormat="1" applyFont="1" applyFill="1" applyBorder="1" applyAlignment="1" applyProtection="1">
      <alignment horizontal="left" vertical="center" wrapText="1"/>
      <protection locked="0"/>
    </xf>
    <xf numFmtId="176" fontId="255" fillId="0" borderId="1" xfId="0" applyNumberFormat="1" applyFont="1" applyFill="1" applyBorder="1">
      <alignment vertical="center"/>
    </xf>
    <xf numFmtId="0" fontId="98" fillId="0" borderId="1" xfId="0" applyFont="1" applyFill="1" applyBorder="1">
      <alignment vertical="center"/>
    </xf>
    <xf numFmtId="181" fontId="49" fillId="23" borderId="8" xfId="0" applyNumberFormat="1" applyFont="1" applyFill="1" applyBorder="1" applyAlignment="1" applyProtection="1">
      <alignment horizontal="center" vertical="center"/>
      <protection locked="0"/>
    </xf>
    <xf numFmtId="177" fontId="49" fillId="23" borderId="1" xfId="1" applyNumberFormat="1" applyFont="1" applyFill="1" applyBorder="1" applyAlignment="1" applyProtection="1">
      <alignment horizontal="center" vertical="center"/>
      <protection locked="0"/>
    </xf>
    <xf numFmtId="10" fontId="46" fillId="23" borderId="1" xfId="0" applyNumberFormat="1" applyFont="1" applyFill="1" applyBorder="1" applyAlignment="1" applyProtection="1">
      <alignment horizontal="center" vertical="center"/>
      <protection locked="0"/>
    </xf>
    <xf numFmtId="183" fontId="46" fillId="23" borderId="1" xfId="0" applyNumberFormat="1" applyFont="1" applyFill="1" applyBorder="1" applyAlignment="1" applyProtection="1">
      <alignment horizontal="center" vertical="center"/>
      <protection locked="0"/>
    </xf>
    <xf numFmtId="181" fontId="46" fillId="23" borderId="24" xfId="0" applyNumberFormat="1" applyFont="1" applyFill="1" applyBorder="1" applyAlignment="1" applyProtection="1">
      <alignment horizontal="center"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3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49" fontId="98" fillId="0" borderId="0" xfId="0" applyNumberFormat="1" applyFont="1">
      <alignment vertical="center"/>
    </xf>
    <xf numFmtId="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59" fillId="0" borderId="0" xfId="0" applyFont="1" applyAlignment="1">
      <alignment horizontal="left" vertical="top"/>
    </xf>
    <xf numFmtId="0" fontId="260" fillId="0" borderId="160" xfId="0" applyFont="1" applyBorder="1" applyAlignment="1">
      <alignment horizontal="center" vertical="top" wrapText="1"/>
    </xf>
    <xf numFmtId="0" fontId="261" fillId="0" borderId="160" xfId="0" applyFont="1" applyBorder="1" applyAlignment="1">
      <alignment horizontal="center" vertical="top" wrapText="1"/>
    </xf>
    <xf numFmtId="0" fontId="262" fillId="0" borderId="160" xfId="0" applyFont="1" applyBorder="1" applyAlignment="1">
      <alignment horizontal="left" vertical="top" wrapText="1"/>
    </xf>
    <xf numFmtId="0" fontId="261" fillId="0" borderId="161" xfId="0" applyFont="1" applyBorder="1" applyAlignment="1">
      <alignment horizontal="left" vertical="top" wrapText="1"/>
    </xf>
    <xf numFmtId="0" fontId="261" fillId="0" borderId="160" xfId="0" applyFont="1" applyBorder="1" applyAlignment="1">
      <alignment horizontal="left" vertical="top" wrapText="1" indent="1"/>
    </xf>
    <xf numFmtId="1" fontId="263" fillId="25" borderId="162" xfId="0" applyNumberFormat="1" applyFont="1" applyFill="1" applyBorder="1" applyAlignment="1">
      <alignment horizontal="center" vertical="top" shrinkToFit="1"/>
    </xf>
    <xf numFmtId="0" fontId="264" fillId="25" borderId="162" xfId="0" applyFont="1" applyFill="1" applyBorder="1" applyAlignment="1">
      <alignment horizontal="center" vertical="top" wrapText="1"/>
    </xf>
    <xf numFmtId="197" fontId="263" fillId="25" borderId="162" xfId="0" applyNumberFormat="1" applyFont="1" applyFill="1" applyBorder="1" applyAlignment="1">
      <alignment shrinkToFit="1"/>
    </xf>
    <xf numFmtId="3" fontId="263" fillId="25" borderId="162" xfId="0" applyNumberFormat="1" applyFont="1" applyFill="1" applyBorder="1" applyAlignment="1">
      <alignment shrinkToFit="1"/>
    </xf>
    <xf numFmtId="3" fontId="263" fillId="25" borderId="163" xfId="0" applyNumberFormat="1" applyFont="1" applyFill="1" applyBorder="1" applyAlignment="1">
      <alignment shrinkToFit="1"/>
    </xf>
    <xf numFmtId="0" fontId="264" fillId="25" borderId="162" xfId="0" applyFont="1" applyFill="1" applyBorder="1" applyAlignment="1">
      <alignment horizontal="center" vertical="center" wrapText="1"/>
    </xf>
    <xf numFmtId="1" fontId="263" fillId="0" borderId="162" xfId="0" applyNumberFormat="1" applyFont="1" applyBorder="1" applyAlignment="1">
      <alignment horizontal="center" vertical="top" shrinkToFit="1"/>
    </xf>
    <xf numFmtId="0" fontId="264" fillId="0" borderId="162" xfId="0" applyFont="1" applyBorder="1" applyAlignment="1">
      <alignment horizontal="center" vertical="top" wrapText="1"/>
    </xf>
    <xf numFmtId="1" fontId="263" fillId="0" borderId="162" xfId="0" applyNumberFormat="1" applyFont="1" applyBorder="1" applyAlignment="1">
      <alignment shrinkToFit="1"/>
    </xf>
    <xf numFmtId="3" fontId="263" fillId="0" borderId="162" xfId="0" applyNumberFormat="1" applyFont="1" applyBorder="1" applyAlignment="1">
      <alignment shrinkToFit="1"/>
    </xf>
    <xf numFmtId="3" fontId="263" fillId="0" borderId="163" xfId="0" applyNumberFormat="1" applyFont="1" applyBorder="1" applyAlignment="1">
      <alignment shrinkToFit="1"/>
    </xf>
    <xf numFmtId="0" fontId="264" fillId="0" borderId="162" xfId="0" applyFont="1" applyBorder="1" applyAlignment="1">
      <alignment horizontal="center" vertical="center" wrapText="1"/>
    </xf>
    <xf numFmtId="2" fontId="263" fillId="25" borderId="162" xfId="0" applyNumberFormat="1" applyFont="1" applyFill="1" applyBorder="1" applyAlignment="1">
      <alignment shrinkToFit="1"/>
    </xf>
    <xf numFmtId="0" fontId="264" fillId="0" borderId="162" xfId="0" applyFont="1" applyBorder="1" applyAlignment="1">
      <alignment horizontal="left" vertical="top" wrapText="1"/>
    </xf>
    <xf numFmtId="3" fontId="265" fillId="25" borderId="163" xfId="0" applyNumberFormat="1" applyFont="1" applyFill="1" applyBorder="1" applyAlignment="1">
      <alignment shrinkToFit="1"/>
    </xf>
    <xf numFmtId="197" fontId="263" fillId="0" borderId="162" xfId="0" applyNumberFormat="1" applyFont="1" applyBorder="1" applyAlignment="1">
      <alignment shrinkToFit="1"/>
    </xf>
    <xf numFmtId="1" fontId="266" fillId="25" borderId="162" xfId="0" applyNumberFormat="1" applyFont="1" applyFill="1" applyBorder="1" applyAlignment="1">
      <alignment horizontal="center" vertical="top" shrinkToFit="1"/>
    </xf>
    <xf numFmtId="0" fontId="266" fillId="25" borderId="162" xfId="0" applyFont="1" applyFill="1" applyBorder="1" applyAlignment="1">
      <alignment horizontal="center" vertical="top" wrapText="1"/>
    </xf>
    <xf numFmtId="1" fontId="266" fillId="25" borderId="162" xfId="0" applyNumberFormat="1" applyFont="1" applyFill="1" applyBorder="1" applyAlignment="1">
      <alignment shrinkToFit="1"/>
    </xf>
    <xf numFmtId="3" fontId="266" fillId="25" borderId="162" xfId="0" applyNumberFormat="1" applyFont="1" applyFill="1" applyBorder="1" applyAlignment="1">
      <alignment shrinkToFit="1"/>
    </xf>
    <xf numFmtId="3" fontId="266" fillId="25" borderId="163" xfId="0" applyNumberFormat="1" applyFont="1" applyFill="1" applyBorder="1" applyAlignment="1">
      <alignment shrinkToFit="1"/>
    </xf>
    <xf numFmtId="0" fontId="266" fillId="25" borderId="162" xfId="0" applyFont="1" applyFill="1" applyBorder="1" applyAlignment="1">
      <alignment horizontal="center" vertical="center" wrapText="1"/>
    </xf>
    <xf numFmtId="0" fontId="267" fillId="0" borderId="0" xfId="0" applyFont="1" applyAlignment="1">
      <alignment horizontal="left" vertical="top"/>
    </xf>
    <xf numFmtId="2" fontId="263" fillId="0" borderId="162" xfId="0" applyNumberFormat="1" applyFont="1" applyBorder="1" applyAlignment="1">
      <alignment shrinkToFit="1"/>
    </xf>
    <xf numFmtId="0" fontId="264" fillId="0" borderId="162" xfId="0" applyFont="1" applyBorder="1" applyAlignment="1">
      <alignment wrapText="1"/>
    </xf>
    <xf numFmtId="0" fontId="264" fillId="0" borderId="163" xfId="0" applyFont="1" applyBorder="1" applyAlignment="1">
      <alignment wrapText="1"/>
    </xf>
    <xf numFmtId="3" fontId="265" fillId="25" borderId="162" xfId="0" applyNumberFormat="1" applyFont="1" applyFill="1" applyBorder="1" applyAlignment="1">
      <alignment shrinkToFit="1"/>
    </xf>
    <xf numFmtId="0" fontId="266" fillId="0" borderId="162" xfId="0" applyFont="1" applyBorder="1" applyAlignment="1">
      <alignment horizontal="center" vertical="top" wrapText="1"/>
    </xf>
    <xf numFmtId="3" fontId="265" fillId="0" borderId="162" xfId="0" applyNumberFormat="1" applyFont="1" applyBorder="1" applyAlignment="1">
      <alignment shrinkToFit="1"/>
    </xf>
    <xf numFmtId="2" fontId="266" fillId="25" borderId="162" xfId="0" applyNumberFormat="1" applyFont="1" applyFill="1" applyBorder="1" applyAlignment="1">
      <alignment shrinkToFit="1"/>
    </xf>
    <xf numFmtId="3" fontId="265" fillId="0" borderId="163" xfId="0" applyNumberFormat="1" applyFont="1" applyBorder="1" applyAlignment="1">
      <alignment shrinkToFit="1"/>
    </xf>
    <xf numFmtId="1" fontId="263" fillId="0" borderId="164" xfId="0" applyNumberFormat="1" applyFont="1" applyBorder="1" applyAlignment="1">
      <alignment horizontal="center" vertical="top" shrinkToFit="1"/>
    </xf>
    <xf numFmtId="0" fontId="264" fillId="0" borderId="164" xfId="0" applyFont="1" applyBorder="1" applyAlignment="1">
      <alignment horizontal="center" vertical="top" wrapText="1"/>
    </xf>
    <xf numFmtId="197" fontId="263" fillId="0" borderId="164" xfId="0" applyNumberFormat="1" applyFont="1" applyBorder="1" applyAlignment="1">
      <alignment shrinkToFit="1"/>
    </xf>
    <xf numFmtId="3" fontId="265" fillId="0" borderId="164" xfId="0" applyNumberFormat="1" applyFont="1" applyBorder="1" applyAlignment="1">
      <alignment shrinkToFit="1"/>
    </xf>
    <xf numFmtId="0" fontId="264" fillId="0" borderId="164" xfId="0" applyFont="1" applyBorder="1" applyAlignment="1">
      <alignment horizontal="center" vertical="center" wrapText="1"/>
    </xf>
    <xf numFmtId="1" fontId="263" fillId="25" borderId="162" xfId="0" applyNumberFormat="1" applyFont="1" applyFill="1" applyBorder="1" applyAlignment="1">
      <alignment shrinkToFit="1"/>
    </xf>
    <xf numFmtId="0" fontId="265" fillId="25" borderId="162" xfId="0" applyFont="1" applyFill="1" applyBorder="1" applyAlignment="1">
      <alignment horizontal="center" vertical="center" wrapText="1"/>
    </xf>
    <xf numFmtId="0" fontId="264" fillId="25" borderId="162" xfId="0" applyFont="1" applyFill="1" applyBorder="1" applyAlignment="1">
      <alignment horizontal="left" vertical="top" wrapText="1"/>
    </xf>
    <xf numFmtId="1" fontId="263" fillId="25" borderId="164" xfId="0" applyNumberFormat="1" applyFont="1" applyFill="1" applyBorder="1" applyAlignment="1">
      <alignment horizontal="center" vertical="center" shrinkToFit="1"/>
    </xf>
    <xf numFmtId="0" fontId="266" fillId="25" borderId="164" xfId="0" applyFont="1" applyFill="1" applyBorder="1" applyAlignment="1">
      <alignment horizontal="center" vertical="center" wrapText="1"/>
    </xf>
    <xf numFmtId="2" fontId="266" fillId="25" borderId="164" xfId="0" applyNumberFormat="1" applyFont="1" applyFill="1" applyBorder="1" applyAlignment="1">
      <alignment shrinkToFit="1"/>
    </xf>
    <xf numFmtId="3" fontId="266" fillId="25" borderId="164" xfId="0" applyNumberFormat="1" applyFont="1" applyFill="1" applyBorder="1" applyAlignment="1">
      <alignment shrinkToFit="1"/>
    </xf>
    <xf numFmtId="3" fontId="266" fillId="25" borderId="165" xfId="0" applyNumberFormat="1" applyFont="1" applyFill="1" applyBorder="1" applyAlignment="1">
      <alignment shrinkToFit="1"/>
    </xf>
    <xf numFmtId="0" fontId="264" fillId="25" borderId="164" xfId="0" applyFont="1" applyFill="1" applyBorder="1" applyAlignment="1">
      <alignment horizontal="center" vertical="center" wrapText="1"/>
    </xf>
    <xf numFmtId="0" fontId="262" fillId="0" borderId="0" xfId="0" applyFont="1" applyAlignment="1">
      <alignment horizontal="left" vertical="top"/>
    </xf>
    <xf numFmtId="198" fontId="262" fillId="5" borderId="0" xfId="0" applyNumberFormat="1" applyFont="1" applyFill="1" applyAlignment="1"/>
    <xf numFmtId="198" fontId="268" fillId="5" borderId="0" xfId="0" applyNumberFormat="1" applyFont="1" applyFill="1" applyAlignment="1"/>
    <xf numFmtId="0" fontId="259" fillId="0" borderId="1" xfId="0" applyFont="1" applyBorder="1" applyAlignment="1">
      <alignment horizontal="left" vertical="top"/>
    </xf>
    <xf numFmtId="199" fontId="259" fillId="0" borderId="1" xfId="0" applyNumberFormat="1" applyFont="1" applyBorder="1" applyAlignment="1">
      <alignment horizontal="left" vertical="top"/>
    </xf>
    <xf numFmtId="0" fontId="259" fillId="0" borderId="0" xfId="0" applyFont="1" applyAlignment="1"/>
    <xf numFmtId="3" fontId="46" fillId="0" borderId="3" xfId="0" applyNumberFormat="1" applyFont="1" applyFill="1" applyBorder="1" applyAlignment="1" applyProtection="1">
      <alignment horizontal="center" vertical="center" wrapText="1"/>
      <protection locked="0"/>
    </xf>
    <xf numFmtId="3" fontId="46" fillId="0" borderId="23" xfId="0" applyNumberFormat="1" applyFont="1" applyFill="1" applyBorder="1" applyAlignment="1" applyProtection="1">
      <alignment horizontal="center" vertical="center" wrapText="1"/>
      <protection locked="0"/>
    </xf>
    <xf numFmtId="3" fontId="72" fillId="3" borderId="20" xfId="0" applyNumberFormat="1" applyFont="1" applyFill="1" applyBorder="1" applyAlignment="1" applyProtection="1">
      <alignment vertical="center" wrapText="1"/>
      <protection locked="0"/>
    </xf>
    <xf numFmtId="3" fontId="72" fillId="3" borderId="51"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98" fillId="0" borderId="1" xfId="0" applyFont="1" applyFill="1" applyBorder="1" applyAlignment="1">
      <alignment horizontal="center" vertical="center"/>
    </xf>
    <xf numFmtId="0" fontId="256" fillId="24" borderId="0" xfId="0" applyFont="1" applyFill="1" applyAlignment="1">
      <alignment horizontal="left" vertical="top"/>
    </xf>
    <xf numFmtId="0" fontId="259" fillId="24" borderId="0" xfId="0" applyFont="1" applyFill="1" applyAlignment="1">
      <alignment horizontal="left" vertical="top"/>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5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337591</xdr:colOff>
      <xdr:row>54</xdr:row>
      <xdr:rowOff>0</xdr:rowOff>
    </xdr:from>
    <xdr:to>
      <xdr:col>18</xdr:col>
      <xdr:colOff>122959</xdr:colOff>
      <xdr:row>77</xdr:row>
      <xdr:rowOff>66675</xdr:rowOff>
    </xdr:to>
    <xdr:pic>
      <xdr:nvPicPr>
        <xdr:cNvPr id="9" name="图片 8">
          <a:extLst>
            <a:ext uri="{FF2B5EF4-FFF2-40B4-BE49-F238E27FC236}">
              <a16:creationId xmlns:a16="http://schemas.microsoft.com/office/drawing/2014/main" id="{FAB239CE-B0A0-43C6-9DC6-599480B83368}"/>
            </a:ext>
          </a:extLst>
        </xdr:cNvPr>
        <xdr:cNvPicPr>
          <a:picLocks noChangeAspect="1"/>
        </xdr:cNvPicPr>
      </xdr:nvPicPr>
      <xdr:blipFill>
        <a:blip xmlns:r="http://schemas.openxmlformats.org/officeDocument/2006/relationships" r:embed="rId1"/>
        <a:stretch>
          <a:fillRect/>
        </a:stretch>
      </xdr:blipFill>
      <xdr:spPr>
        <a:xfrm>
          <a:off x="7195591" y="9601200"/>
          <a:ext cx="5271768" cy="4010025"/>
        </a:xfrm>
        <a:prstGeom prst="rect">
          <a:avLst/>
        </a:prstGeom>
      </xdr:spPr>
    </xdr:pic>
    <xdr:clientData/>
  </xdr:twoCellAnchor>
  <xdr:twoCellAnchor editAs="oneCell">
    <xdr:from>
      <xdr:col>13</xdr:col>
      <xdr:colOff>285750</xdr:colOff>
      <xdr:row>0</xdr:row>
      <xdr:rowOff>9525</xdr:rowOff>
    </xdr:from>
    <xdr:to>
      <xdr:col>26</xdr:col>
      <xdr:colOff>370350</xdr:colOff>
      <xdr:row>7</xdr:row>
      <xdr:rowOff>28423</xdr:rowOff>
    </xdr:to>
    <xdr:pic>
      <xdr:nvPicPr>
        <xdr:cNvPr id="10" name="图片 9">
          <a:extLst>
            <a:ext uri="{FF2B5EF4-FFF2-40B4-BE49-F238E27FC236}">
              <a16:creationId xmlns:a16="http://schemas.microsoft.com/office/drawing/2014/main" id="{E7F176C2-7C05-4A62-B693-B4D1B1277A01}"/>
            </a:ext>
          </a:extLst>
        </xdr:cNvPr>
        <xdr:cNvPicPr>
          <a:picLocks noChangeAspect="1"/>
        </xdr:cNvPicPr>
      </xdr:nvPicPr>
      <xdr:blipFill>
        <a:blip xmlns:r="http://schemas.openxmlformats.org/officeDocument/2006/relationships" r:embed="rId2"/>
        <a:stretch>
          <a:fillRect/>
        </a:stretch>
      </xdr:blipFill>
      <xdr:spPr>
        <a:xfrm>
          <a:off x="9201150" y="9525"/>
          <a:ext cx="9000000" cy="1219048"/>
        </a:xfrm>
        <a:prstGeom prst="rect">
          <a:avLst/>
        </a:prstGeom>
      </xdr:spPr>
    </xdr:pic>
    <xdr:clientData/>
  </xdr:twoCellAnchor>
  <xdr:twoCellAnchor editAs="oneCell">
    <xdr:from>
      <xdr:col>14</xdr:col>
      <xdr:colOff>285750</xdr:colOff>
      <xdr:row>7</xdr:row>
      <xdr:rowOff>9525</xdr:rowOff>
    </xdr:from>
    <xdr:to>
      <xdr:col>26</xdr:col>
      <xdr:colOff>304800</xdr:colOff>
      <xdr:row>15</xdr:row>
      <xdr:rowOff>154137</xdr:rowOff>
    </xdr:to>
    <xdr:pic>
      <xdr:nvPicPr>
        <xdr:cNvPr id="11" name="图片 10">
          <a:extLst>
            <a:ext uri="{FF2B5EF4-FFF2-40B4-BE49-F238E27FC236}">
              <a16:creationId xmlns:a16="http://schemas.microsoft.com/office/drawing/2014/main" id="{6F317127-E0C4-452E-98AC-BB5ED008FC32}"/>
            </a:ext>
          </a:extLst>
        </xdr:cNvPr>
        <xdr:cNvPicPr>
          <a:picLocks noChangeAspect="1"/>
        </xdr:cNvPicPr>
      </xdr:nvPicPr>
      <xdr:blipFill>
        <a:blip xmlns:r="http://schemas.openxmlformats.org/officeDocument/2006/relationships" r:embed="rId3"/>
        <a:stretch>
          <a:fillRect/>
        </a:stretch>
      </xdr:blipFill>
      <xdr:spPr>
        <a:xfrm>
          <a:off x="9886950" y="1209675"/>
          <a:ext cx="8248650" cy="1516212"/>
        </a:xfrm>
        <a:prstGeom prst="rect">
          <a:avLst/>
        </a:prstGeom>
      </xdr:spPr>
    </xdr:pic>
    <xdr:clientData/>
  </xdr:twoCellAnchor>
  <xdr:twoCellAnchor editAs="oneCell">
    <xdr:from>
      <xdr:col>14</xdr:col>
      <xdr:colOff>228600</xdr:colOff>
      <xdr:row>14</xdr:row>
      <xdr:rowOff>133350</xdr:rowOff>
    </xdr:from>
    <xdr:to>
      <xdr:col>26</xdr:col>
      <xdr:colOff>516111</xdr:colOff>
      <xdr:row>24</xdr:row>
      <xdr:rowOff>37876</xdr:rowOff>
    </xdr:to>
    <xdr:pic>
      <xdr:nvPicPr>
        <xdr:cNvPr id="12" name="图片 11">
          <a:extLst>
            <a:ext uri="{FF2B5EF4-FFF2-40B4-BE49-F238E27FC236}">
              <a16:creationId xmlns:a16="http://schemas.microsoft.com/office/drawing/2014/main" id="{FC001777-6F03-478C-8587-8DF957FA9A49}"/>
            </a:ext>
          </a:extLst>
        </xdr:cNvPr>
        <xdr:cNvPicPr>
          <a:picLocks noChangeAspect="1"/>
        </xdr:cNvPicPr>
      </xdr:nvPicPr>
      <xdr:blipFill>
        <a:blip xmlns:r="http://schemas.openxmlformats.org/officeDocument/2006/relationships" r:embed="rId4"/>
        <a:stretch>
          <a:fillRect/>
        </a:stretch>
      </xdr:blipFill>
      <xdr:spPr>
        <a:xfrm>
          <a:off x="9829800" y="2533650"/>
          <a:ext cx="8517111" cy="1619026"/>
        </a:xfrm>
        <a:prstGeom prst="rect">
          <a:avLst/>
        </a:prstGeom>
      </xdr:spPr>
    </xdr:pic>
    <xdr:clientData/>
  </xdr:twoCellAnchor>
  <xdr:twoCellAnchor editAs="oneCell">
    <xdr:from>
      <xdr:col>0</xdr:col>
      <xdr:colOff>0</xdr:colOff>
      <xdr:row>0</xdr:row>
      <xdr:rowOff>0</xdr:rowOff>
    </xdr:from>
    <xdr:to>
      <xdr:col>6</xdr:col>
      <xdr:colOff>475388</xdr:colOff>
      <xdr:row>29</xdr:row>
      <xdr:rowOff>122924</xdr:rowOff>
    </xdr:to>
    <xdr:pic>
      <xdr:nvPicPr>
        <xdr:cNvPr id="2" name="图片 1">
          <a:extLst>
            <a:ext uri="{FF2B5EF4-FFF2-40B4-BE49-F238E27FC236}">
              <a16:creationId xmlns:a16="http://schemas.microsoft.com/office/drawing/2014/main" id="{7B6171B4-60BD-4F6F-8F51-475D086661A3}"/>
            </a:ext>
          </a:extLst>
        </xdr:cNvPr>
        <xdr:cNvPicPr>
          <a:picLocks noChangeAspect="1"/>
        </xdr:cNvPicPr>
      </xdr:nvPicPr>
      <xdr:blipFill>
        <a:blip xmlns:r="http://schemas.openxmlformats.org/officeDocument/2006/relationships" r:embed="rId5"/>
        <a:stretch>
          <a:fillRect/>
        </a:stretch>
      </xdr:blipFill>
      <xdr:spPr>
        <a:xfrm>
          <a:off x="0" y="0"/>
          <a:ext cx="4590188" cy="5094974"/>
        </a:xfrm>
        <a:prstGeom prst="rect">
          <a:avLst/>
        </a:prstGeom>
      </xdr:spPr>
    </xdr:pic>
    <xdr:clientData/>
  </xdr:twoCellAnchor>
  <xdr:twoCellAnchor editAs="oneCell">
    <xdr:from>
      <xdr:col>0</xdr:col>
      <xdr:colOff>0</xdr:colOff>
      <xdr:row>29</xdr:row>
      <xdr:rowOff>161925</xdr:rowOff>
    </xdr:from>
    <xdr:to>
      <xdr:col>11</xdr:col>
      <xdr:colOff>92700</xdr:colOff>
      <xdr:row>65</xdr:row>
      <xdr:rowOff>8683</xdr:rowOff>
    </xdr:to>
    <xdr:pic>
      <xdr:nvPicPr>
        <xdr:cNvPr id="3" name="图片 2">
          <a:extLst>
            <a:ext uri="{FF2B5EF4-FFF2-40B4-BE49-F238E27FC236}">
              <a16:creationId xmlns:a16="http://schemas.microsoft.com/office/drawing/2014/main" id="{97D0824A-AD92-44B3-9827-831796C298D7}"/>
            </a:ext>
          </a:extLst>
        </xdr:cNvPr>
        <xdr:cNvPicPr>
          <a:picLocks noChangeAspect="1"/>
        </xdr:cNvPicPr>
      </xdr:nvPicPr>
      <xdr:blipFill>
        <a:blip xmlns:r="http://schemas.openxmlformats.org/officeDocument/2006/relationships" r:embed="rId6"/>
        <a:stretch>
          <a:fillRect/>
        </a:stretch>
      </xdr:blipFill>
      <xdr:spPr>
        <a:xfrm>
          <a:off x="0" y="5133975"/>
          <a:ext cx="7636500" cy="6018958"/>
        </a:xfrm>
        <a:prstGeom prst="rect">
          <a:avLst/>
        </a:prstGeom>
      </xdr:spPr>
    </xdr:pic>
    <xdr:clientData/>
  </xdr:twoCellAnchor>
  <xdr:twoCellAnchor editAs="oneCell">
    <xdr:from>
      <xdr:col>14</xdr:col>
      <xdr:colOff>400050</xdr:colOff>
      <xdr:row>23</xdr:row>
      <xdr:rowOff>0</xdr:rowOff>
    </xdr:from>
    <xdr:to>
      <xdr:col>25</xdr:col>
      <xdr:colOff>408631</xdr:colOff>
      <xdr:row>37</xdr:row>
      <xdr:rowOff>56843</xdr:rowOff>
    </xdr:to>
    <xdr:pic>
      <xdr:nvPicPr>
        <xdr:cNvPr id="4" name="图片 3">
          <a:extLst>
            <a:ext uri="{FF2B5EF4-FFF2-40B4-BE49-F238E27FC236}">
              <a16:creationId xmlns:a16="http://schemas.microsoft.com/office/drawing/2014/main" id="{A3372128-80E9-408E-8D04-92F9B2CB05C9}"/>
            </a:ext>
          </a:extLst>
        </xdr:cNvPr>
        <xdr:cNvPicPr>
          <a:picLocks noChangeAspect="1"/>
        </xdr:cNvPicPr>
      </xdr:nvPicPr>
      <xdr:blipFill>
        <a:blip xmlns:r="http://schemas.openxmlformats.org/officeDocument/2006/relationships" r:embed="rId7"/>
        <a:stretch>
          <a:fillRect/>
        </a:stretch>
      </xdr:blipFill>
      <xdr:spPr>
        <a:xfrm>
          <a:off x="10001250" y="3943350"/>
          <a:ext cx="7552381" cy="2457143"/>
        </a:xfrm>
        <a:prstGeom prst="rect">
          <a:avLst/>
        </a:prstGeom>
      </xdr:spPr>
    </xdr:pic>
    <xdr:clientData/>
  </xdr:twoCellAnchor>
  <xdr:twoCellAnchor editAs="oneCell">
    <xdr:from>
      <xdr:col>14</xdr:col>
      <xdr:colOff>0</xdr:colOff>
      <xdr:row>38</xdr:row>
      <xdr:rowOff>0</xdr:rowOff>
    </xdr:from>
    <xdr:to>
      <xdr:col>25</xdr:col>
      <xdr:colOff>599057</xdr:colOff>
      <xdr:row>55</xdr:row>
      <xdr:rowOff>66302</xdr:rowOff>
    </xdr:to>
    <xdr:pic>
      <xdr:nvPicPr>
        <xdr:cNvPr id="5" name="图片 4">
          <a:extLst>
            <a:ext uri="{FF2B5EF4-FFF2-40B4-BE49-F238E27FC236}">
              <a16:creationId xmlns:a16="http://schemas.microsoft.com/office/drawing/2014/main" id="{6EB30F61-C067-48EE-9158-EFCE30018832}"/>
            </a:ext>
          </a:extLst>
        </xdr:cNvPr>
        <xdr:cNvPicPr>
          <a:picLocks noChangeAspect="1"/>
        </xdr:cNvPicPr>
      </xdr:nvPicPr>
      <xdr:blipFill>
        <a:blip xmlns:r="http://schemas.openxmlformats.org/officeDocument/2006/relationships" r:embed="rId8"/>
        <a:stretch>
          <a:fillRect/>
        </a:stretch>
      </xdr:blipFill>
      <xdr:spPr>
        <a:xfrm>
          <a:off x="9601200" y="6515100"/>
          <a:ext cx="8142857" cy="2980952"/>
        </a:xfrm>
        <a:prstGeom prst="rect">
          <a:avLst/>
        </a:prstGeom>
      </xdr:spPr>
    </xdr:pic>
    <xdr:clientData/>
  </xdr:twoCellAnchor>
  <xdr:twoCellAnchor editAs="oneCell">
    <xdr:from>
      <xdr:col>0</xdr:col>
      <xdr:colOff>0</xdr:colOff>
      <xdr:row>66</xdr:row>
      <xdr:rowOff>0</xdr:rowOff>
    </xdr:from>
    <xdr:to>
      <xdr:col>11</xdr:col>
      <xdr:colOff>65724</xdr:colOff>
      <xdr:row>94</xdr:row>
      <xdr:rowOff>18448</xdr:rowOff>
    </xdr:to>
    <xdr:pic>
      <xdr:nvPicPr>
        <xdr:cNvPr id="13" name="图片 12">
          <a:extLst>
            <a:ext uri="{FF2B5EF4-FFF2-40B4-BE49-F238E27FC236}">
              <a16:creationId xmlns:a16="http://schemas.microsoft.com/office/drawing/2014/main" id="{E72DFDBF-EDAC-410E-A7D8-F5E69BE3532A}"/>
            </a:ext>
          </a:extLst>
        </xdr:cNvPr>
        <xdr:cNvPicPr>
          <a:picLocks noChangeAspect="1"/>
        </xdr:cNvPicPr>
      </xdr:nvPicPr>
      <xdr:blipFill>
        <a:blip xmlns:r="http://schemas.openxmlformats.org/officeDocument/2006/relationships" r:embed="rId9"/>
        <a:stretch>
          <a:fillRect/>
        </a:stretch>
      </xdr:blipFill>
      <xdr:spPr>
        <a:xfrm>
          <a:off x="0" y="11315700"/>
          <a:ext cx="7609524" cy="4819048"/>
        </a:xfrm>
        <a:prstGeom prst="rect">
          <a:avLst/>
        </a:prstGeom>
      </xdr:spPr>
    </xdr:pic>
    <xdr:clientData/>
  </xdr:twoCellAnchor>
  <xdr:twoCellAnchor editAs="oneCell">
    <xdr:from>
      <xdr:col>11</xdr:col>
      <xdr:colOff>304800</xdr:colOff>
      <xdr:row>74</xdr:row>
      <xdr:rowOff>47625</xdr:rowOff>
    </xdr:from>
    <xdr:to>
      <xdr:col>25</xdr:col>
      <xdr:colOff>675028</xdr:colOff>
      <xdr:row>115</xdr:row>
      <xdr:rowOff>27699</xdr:rowOff>
    </xdr:to>
    <xdr:pic>
      <xdr:nvPicPr>
        <xdr:cNvPr id="14" name="图片 13">
          <a:extLst>
            <a:ext uri="{FF2B5EF4-FFF2-40B4-BE49-F238E27FC236}">
              <a16:creationId xmlns:a16="http://schemas.microsoft.com/office/drawing/2014/main" id="{C0045A1E-116E-49FC-9CB4-36ED0B0ED76A}"/>
            </a:ext>
          </a:extLst>
        </xdr:cNvPr>
        <xdr:cNvPicPr>
          <a:picLocks noChangeAspect="1"/>
        </xdr:cNvPicPr>
      </xdr:nvPicPr>
      <xdr:blipFill>
        <a:blip xmlns:r="http://schemas.openxmlformats.org/officeDocument/2006/relationships" r:embed="rId10"/>
        <a:stretch>
          <a:fillRect/>
        </a:stretch>
      </xdr:blipFill>
      <xdr:spPr>
        <a:xfrm>
          <a:off x="7848600" y="12734925"/>
          <a:ext cx="9971428" cy="7009524"/>
        </a:xfrm>
        <a:prstGeom prst="rect">
          <a:avLst/>
        </a:prstGeom>
      </xdr:spPr>
    </xdr:pic>
    <xdr:clientData/>
  </xdr:twoCellAnchor>
  <xdr:twoCellAnchor editAs="oneCell">
    <xdr:from>
      <xdr:col>0</xdr:col>
      <xdr:colOff>0</xdr:colOff>
      <xdr:row>96</xdr:row>
      <xdr:rowOff>0</xdr:rowOff>
    </xdr:from>
    <xdr:to>
      <xdr:col>10</xdr:col>
      <xdr:colOff>361048</xdr:colOff>
      <xdr:row>134</xdr:row>
      <xdr:rowOff>27757</xdr:rowOff>
    </xdr:to>
    <xdr:pic>
      <xdr:nvPicPr>
        <xdr:cNvPr id="15" name="图片 14">
          <a:extLst>
            <a:ext uri="{FF2B5EF4-FFF2-40B4-BE49-F238E27FC236}">
              <a16:creationId xmlns:a16="http://schemas.microsoft.com/office/drawing/2014/main" id="{8A94EA9B-C241-4F43-8D2C-2FB25B2AE21C}"/>
            </a:ext>
          </a:extLst>
        </xdr:cNvPr>
        <xdr:cNvPicPr>
          <a:picLocks noChangeAspect="1"/>
        </xdr:cNvPicPr>
      </xdr:nvPicPr>
      <xdr:blipFill>
        <a:blip xmlns:r="http://schemas.openxmlformats.org/officeDocument/2006/relationships" r:embed="rId11"/>
        <a:stretch>
          <a:fillRect/>
        </a:stretch>
      </xdr:blipFill>
      <xdr:spPr>
        <a:xfrm>
          <a:off x="0" y="16459200"/>
          <a:ext cx="7219048" cy="6542857"/>
        </a:xfrm>
        <a:prstGeom prst="rect">
          <a:avLst/>
        </a:prstGeom>
      </xdr:spPr>
    </xdr:pic>
    <xdr:clientData/>
  </xdr:twoCellAnchor>
  <xdr:twoCellAnchor editAs="oneCell">
    <xdr:from>
      <xdr:col>9</xdr:col>
      <xdr:colOff>314325</xdr:colOff>
      <xdr:row>121</xdr:row>
      <xdr:rowOff>152400</xdr:rowOff>
    </xdr:from>
    <xdr:to>
      <xdr:col>20</xdr:col>
      <xdr:colOff>484811</xdr:colOff>
      <xdr:row>149</xdr:row>
      <xdr:rowOff>56562</xdr:rowOff>
    </xdr:to>
    <xdr:pic>
      <xdr:nvPicPr>
        <xdr:cNvPr id="16" name="图片 15">
          <a:extLst>
            <a:ext uri="{FF2B5EF4-FFF2-40B4-BE49-F238E27FC236}">
              <a16:creationId xmlns:a16="http://schemas.microsoft.com/office/drawing/2014/main" id="{FB3863C3-3C36-4D1B-A9A3-39758733A754}"/>
            </a:ext>
          </a:extLst>
        </xdr:cNvPr>
        <xdr:cNvPicPr>
          <a:picLocks noChangeAspect="1"/>
        </xdr:cNvPicPr>
      </xdr:nvPicPr>
      <xdr:blipFill>
        <a:blip xmlns:r="http://schemas.openxmlformats.org/officeDocument/2006/relationships" r:embed="rId12"/>
        <a:stretch>
          <a:fillRect/>
        </a:stretch>
      </xdr:blipFill>
      <xdr:spPr>
        <a:xfrm>
          <a:off x="6486525" y="20897850"/>
          <a:ext cx="7714286" cy="4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9.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14459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北京市预评估</v>
      </c>
    </row>
    <row r="3" spans="1:2" s="1317" customFormat="1">
      <c r="A3" s="1315" t="s">
        <v>948</v>
      </c>
      <c r="B3" s="1316">
        <f>'预评函-封皮'!B40</f>
        <v>0</v>
      </c>
    </row>
    <row r="4" spans="1:2" s="1317" customFormat="1">
      <c r="A4" s="1315" t="s">
        <v>949</v>
      </c>
      <c r="B4" s="1316" t="str">
        <f ca="1">'预评函-封皮'!B46</f>
        <v>陈颖（注册号：1120060040)、（注册号：0)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受贵公司委托，我公司对北京市进行了预评估。</v>
      </c>
    </row>
    <row r="7" spans="1:2" s="1317" customFormat="1">
      <c r="A7" s="1315" t="s">
        <v>991</v>
      </c>
      <c r="B7" s="1316" t="str">
        <f>'预评函-1'!A7</f>
        <v>估价对象为北京市房地产，为所有。根据《国有土地使用证》[]，估价对象（分摊）出让国有建设用地使用权面积为801.32平方米，建筑面积为6192.79平方米。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估价对象为北京市房地产,属开发建设的，该项目尚在开发建设中。根据《国有土地使用证》[]，估价对象（分摊）出让国有建设用地使用权面积为801.32平方米，规划建筑面积为6192.79平方米。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2022年9月16日（评估专业人员实地查勘之日）</v>
      </c>
    </row>
    <row r="13" spans="1:2" s="1317" customFormat="1">
      <c r="A13" s="1315" t="s">
        <v>954</v>
      </c>
      <c r="B13" s="1316" t="str">
        <f>'预评函-1'!A18</f>
        <v>本次估价的“房地产价值”是指在正常市场情况下，在价值时点2022年9月16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6192.7899999999991</v>
      </c>
    </row>
    <row r="44" spans="1:2" s="1317" customFormat="1">
      <c r="A44" s="1315" t="s">
        <v>1000</v>
      </c>
      <c r="B44" s="1316" t="str">
        <f>'预评函-3'!C2</f>
        <v>(分摊)土地面积</v>
      </c>
    </row>
    <row r="45" spans="1:2" s="1317" customFormat="1">
      <c r="A45" s="1315" t="s">
        <v>972</v>
      </c>
      <c r="B45" s="1316">
        <f>'预评函-3'!C4</f>
        <v>801.32</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陈颖</v>
      </c>
    </row>
    <row r="71" spans="1:2">
      <c r="A71" s="1315" t="s">
        <v>988</v>
      </c>
      <c r="B71" s="1316">
        <f ca="1">'预评函-4'!B4</f>
        <v>1120060040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31" sqref="I31"/>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2792</v>
      </c>
      <c r="C17" s="1682"/>
    </row>
    <row r="18" spans="1:3">
      <c r="A18" s="1681" t="s">
        <v>1491</v>
      </c>
      <c r="B18" s="1681" t="s">
        <v>2936</v>
      </c>
      <c r="C18" s="1682"/>
    </row>
    <row r="19" spans="1:3">
      <c r="A19" s="1681" t="s">
        <v>1492</v>
      </c>
      <c r="B19" s="1681" t="s">
        <v>3418</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74"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4"/>
      <c r="B54" s="1689" t="s">
        <v>651</v>
      </c>
      <c r="C54" s="1686" t="s">
        <v>1008</v>
      </c>
    </row>
    <row r="55" spans="1:4">
      <c r="A55" s="3374"/>
      <c r="B55" s="1689" t="s">
        <v>652</v>
      </c>
      <c r="C55" s="1686" t="s">
        <v>1009</v>
      </c>
    </row>
    <row r="56" spans="1:4">
      <c r="A56" s="3374"/>
      <c r="B56" s="1689" t="s">
        <v>653</v>
      </c>
      <c r="C56" s="1686" t="s">
        <v>1013</v>
      </c>
    </row>
    <row r="57" spans="1:4">
      <c r="A57" s="3374"/>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C17" sqref="C17"/>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383" t="str">
        <f>IF(B10="北京市","北京市",C10)&amp;F10&amp;IF(结果表!G1="在建","出让国有建设用地使用权及在建建筑物",IF(结果表!G1="土地","出让国有建设用地使用权",))&amp;B9&amp;"预评估"</f>
        <v>北京市预评估</v>
      </c>
      <c r="C1" s="3384"/>
      <c r="D1" s="3384"/>
      <c r="E1" s="3384"/>
      <c r="F1" s="3384"/>
      <c r="G1" s="3384"/>
      <c r="H1" s="3384"/>
      <c r="I1" s="3385"/>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v>44820</v>
      </c>
      <c r="C3" s="2547" t="s">
        <v>2672</v>
      </c>
      <c r="D3" s="2546">
        <f>B3</f>
        <v>44820</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t="s">
        <v>3176</v>
      </c>
      <c r="C4" s="2549">
        <f ca="1">SUMIF(注册房地产估价师,B4,估价师及机构信息!B3:B24)</f>
        <v>1120060040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陈颖（注册号：1120060040)、（注册号：0)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c r="C8" s="2563"/>
      <c r="D8" s="3386" t="s">
        <v>2678</v>
      </c>
      <c r="E8" s="2564"/>
      <c r="F8" s="2565"/>
      <c r="G8" s="2839"/>
      <c r="H8" s="2839"/>
      <c r="I8" s="2839"/>
      <c r="J8" s="2614"/>
      <c r="K8" s="2789"/>
      <c r="L8" s="2788"/>
      <c r="M8" s="2788"/>
      <c r="N8" s="2614"/>
      <c r="O8" s="2625"/>
      <c r="P8" s="2614"/>
      <c r="Q8" s="2614"/>
      <c r="R8" s="2614"/>
    </row>
    <row r="9" spans="1:28" ht="13.5" thickBot="1">
      <c r="A9" s="2566" t="s">
        <v>2679</v>
      </c>
      <c r="B9" s="2567"/>
      <c r="C9" s="2568"/>
      <c r="D9" s="3387"/>
      <c r="E9" s="2567"/>
      <c r="F9" s="2569"/>
      <c r="G9" s="2841"/>
      <c r="H9" s="2841"/>
      <c r="I9" s="2841"/>
      <c r="J9" s="2614"/>
      <c r="K9" s="2791"/>
      <c r="L9" s="2788"/>
      <c r="M9" s="2788"/>
      <c r="N9" s="2614"/>
      <c r="O9" s="2625"/>
      <c r="P9" s="2614"/>
      <c r="Q9" s="2614"/>
      <c r="R9" s="2614"/>
    </row>
    <row r="10" spans="1:28" ht="13.5" thickTop="1">
      <c r="A10" s="2570" t="s">
        <v>2680</v>
      </c>
      <c r="B10" s="2571" t="s">
        <v>3173</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3174</v>
      </c>
      <c r="C11" s="2576"/>
      <c r="D11" s="2577"/>
      <c r="E11" s="2543"/>
      <c r="F11" s="2543"/>
      <c r="G11" s="2543"/>
      <c r="H11" s="2543"/>
      <c r="I11" s="2543"/>
      <c r="J11" s="2614"/>
      <c r="K11" s="2791"/>
      <c r="L11" s="2788"/>
      <c r="M11" s="2788"/>
      <c r="N11" s="2614"/>
      <c r="O11" s="2625"/>
      <c r="P11" s="2614"/>
      <c r="Q11" s="2614"/>
      <c r="R11" s="2614"/>
    </row>
    <row r="12" spans="1:28">
      <c r="A12" s="2578" t="s">
        <v>2683</v>
      </c>
      <c r="B12" s="2575" t="s">
        <v>3175</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v>54534</v>
      </c>
      <c r="G13" s="945"/>
      <c r="H13" s="945"/>
      <c r="I13" s="945"/>
      <c r="J13" s="2614"/>
      <c r="K13" s="2791"/>
      <c r="L13" s="2788"/>
      <c r="M13" s="2788"/>
      <c r="N13" s="2614"/>
      <c r="O13" s="2625"/>
      <c r="P13" s="2614"/>
      <c r="Q13" s="2614"/>
      <c r="R13" s="2614"/>
    </row>
    <row r="14" spans="1:28">
      <c r="A14" s="1193"/>
      <c r="B14" s="2580"/>
      <c r="C14" s="2581" t="s">
        <v>2692</v>
      </c>
      <c r="D14" s="2582"/>
      <c r="E14" s="2582"/>
      <c r="F14" s="2582">
        <v>50</v>
      </c>
      <c r="G14" s="2582"/>
      <c r="H14" s="2582"/>
      <c r="I14" s="2582"/>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f>IF(B12="出让",IF(F13="","",ROUNDDOWN(MIN((F13-$D$3)/365,F14),2)),F14)</f>
        <v>26.61</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93"/>
      <c r="C16" s="3394"/>
      <c r="D16" s="3395"/>
      <c r="E16" s="2588" t="s">
        <v>2695</v>
      </c>
      <c r="F16" s="3396"/>
      <c r="G16" s="3397"/>
      <c r="H16" s="3397"/>
      <c r="I16" s="3398"/>
      <c r="J16" s="2614"/>
      <c r="K16" s="2793"/>
      <c r="L16" s="2626"/>
      <c r="M16" s="2626"/>
      <c r="N16" s="2684"/>
      <c r="O16" s="2626"/>
      <c r="P16" s="2684"/>
      <c r="Q16" s="2614"/>
      <c r="R16" s="2614"/>
    </row>
    <row r="17" spans="1:28">
      <c r="A17" s="318" t="s">
        <v>2696</v>
      </c>
      <c r="B17" s="307" t="s">
        <v>2697</v>
      </c>
      <c r="C17" s="11">
        <f>'数据-汇总表'!E3</f>
        <v>6192.7899999999991</v>
      </c>
      <c r="D17" s="2495" t="s">
        <v>2698</v>
      </c>
      <c r="E17" s="3399" t="s">
        <v>2699</v>
      </c>
      <c r="F17" s="3400"/>
      <c r="G17" s="3400"/>
      <c r="H17" s="3400"/>
      <c r="I17" s="3401"/>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801.32</v>
      </c>
      <c r="D18" s="1204" t="s">
        <v>2702</v>
      </c>
      <c r="E18" s="3402" t="s">
        <v>2703</v>
      </c>
      <c r="F18" s="3403"/>
      <c r="G18" s="3403"/>
      <c r="H18" s="3403"/>
      <c r="I18" s="3404"/>
      <c r="J18" s="2614"/>
      <c r="K18" s="2794"/>
      <c r="L18" s="2626"/>
      <c r="M18" s="2626"/>
      <c r="N18" s="2684"/>
      <c r="O18" s="2626"/>
      <c r="P18" s="2684"/>
      <c r="Q18" s="2614"/>
      <c r="R18" s="2614"/>
      <c r="S18" s="2614"/>
      <c r="T18" s="2614"/>
      <c r="U18" s="2614"/>
      <c r="V18" s="2614"/>
    </row>
    <row r="19" spans="1:28" ht="37.5" thickTop="1" thickBot="1">
      <c r="A19" s="332" t="s">
        <v>1500</v>
      </c>
      <c r="B19" s="312"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389" t="s">
        <v>2707</v>
      </c>
      <c r="C20" s="3390"/>
      <c r="D20" s="3391" t="s">
        <v>2708</v>
      </c>
      <c r="E20" s="3392"/>
      <c r="F20" s="2823" t="s">
        <v>1501</v>
      </c>
      <c r="G20" s="2840"/>
      <c r="H20" s="2840"/>
      <c r="I20" s="2840"/>
      <c r="J20" s="2614"/>
      <c r="K20" s="3388"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38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38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76" t="s">
        <v>2715</v>
      </c>
      <c r="B27" s="325"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76"/>
      <c r="B28" s="307"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76"/>
      <c r="B29" s="307"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77"/>
      <c r="B30" s="307" t="s">
        <v>2719</v>
      </c>
      <c r="C30" s="3378"/>
      <c r="D30" s="3379"/>
      <c r="E30" s="2840"/>
      <c r="F30" s="2840"/>
      <c r="G30" s="2840"/>
      <c r="H30" s="2840"/>
      <c r="I30" s="2840"/>
      <c r="J30" s="2614"/>
      <c r="K30" s="2791"/>
      <c r="L30" s="2788"/>
      <c r="M30" s="2788"/>
      <c r="N30" s="2614"/>
      <c r="O30" s="2625"/>
      <c r="P30" s="2614"/>
      <c r="Q30" s="2614"/>
      <c r="R30" s="2614"/>
      <c r="S30" s="2614"/>
      <c r="T30" s="2614"/>
      <c r="U30" s="2614"/>
      <c r="V30" s="2614"/>
    </row>
    <row r="31" spans="1:28">
      <c r="A31" s="3380"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81"/>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81"/>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c r="C34" s="2164"/>
      <c r="D34" s="2164"/>
      <c r="E34" s="2164"/>
      <c r="F34" s="2164"/>
      <c r="G34" s="2164"/>
      <c r="H34" s="2164"/>
      <c r="I34" s="2840"/>
      <c r="J34" s="2614"/>
      <c r="K34" s="2602">
        <f>COUNTIF(B34:H34,"——")</f>
        <v>0</v>
      </c>
      <c r="L34" s="328" t="s">
        <v>2722</v>
      </c>
      <c r="M34" s="328" t="s">
        <v>2723</v>
      </c>
      <c r="N34" s="328" t="s">
        <v>2724</v>
      </c>
      <c r="O34" s="328" t="s">
        <v>2725</v>
      </c>
      <c r="P34" s="328" t="s">
        <v>2726</v>
      </c>
      <c r="Q34" s="328" t="s">
        <v>2727</v>
      </c>
      <c r="R34" s="328" t="s">
        <v>2728</v>
      </c>
      <c r="S34" s="3375" t="s">
        <v>2729</v>
      </c>
      <c r="T34" s="2603" t="str">
        <f>NUMBERSTRING(7-K34,1)&amp;"通"</f>
        <v>七通</v>
      </c>
      <c r="U34" s="2614"/>
      <c r="V34" s="2614"/>
    </row>
    <row r="35" spans="1:30">
      <c r="A35" s="2604"/>
      <c r="B35" s="3382" t="s">
        <v>2730</v>
      </c>
      <c r="C35" s="3382"/>
      <c r="D35" s="3382"/>
      <c r="E35" s="3382"/>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75"/>
      <c r="T35" s="334" t="str">
        <f>IF(T34="一通",L35,IF(T34="二通",M35,IF(T34="三通",N35,IF(T34="四通",O35,IF(T34="五通",P35,IF(T34="六通",Q35,R35))))))</f>
        <v>、、、、、、</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3" sqref="C13:C3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801.32</v>
      </c>
      <c r="B3" s="14">
        <f>IF(C3="否",G5-AT5,G5)</f>
        <v>6192.7899999999991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6192.7899999999991</v>
      </c>
      <c r="H5" s="16">
        <f t="shared" ref="H5:AT5" si="0">SUM(H13:H656)</f>
        <v>6192.7899999999991</v>
      </c>
      <c r="I5" s="16">
        <f t="shared" si="0"/>
        <v>6192.7899999999991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6192.7899999999991</v>
      </c>
      <c r="BA5" s="18">
        <f t="shared" si="1"/>
        <v>6192.7899999999991</v>
      </c>
      <c r="BB5" s="18">
        <f t="shared" si="1"/>
        <v>6192.7899999999991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801.32</v>
      </c>
      <c r="F6" s="16" t="s">
        <v>1</v>
      </c>
      <c r="G6" s="16" t="s">
        <v>2</v>
      </c>
      <c r="H6" s="20">
        <f>SUMIF(I$12:AB$12,"总值",I6:AB6)</f>
        <v>801.32</v>
      </c>
      <c r="I6" s="16">
        <f t="shared" ref="I6:AB6" si="2">ROUND($A$3*I5/$B$3,2)</f>
        <v>801.32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801.32</v>
      </c>
      <c r="AZ6" s="16" t="s">
        <v>3</v>
      </c>
      <c r="BA6" s="16">
        <f>ROUND($AY$6*BA5/$AZ$5,2)</f>
        <v>801.32</v>
      </c>
      <c r="BB6" s="16">
        <f>ROUND($AY$6*BB5/$AZ$5,2)</f>
        <v>801.32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3177</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3179</v>
      </c>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办公楼</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v>1</v>
      </c>
      <c r="C13" s="1162" t="s">
        <v>3180</v>
      </c>
      <c r="D13" s="1760" t="s">
        <v>3178</v>
      </c>
      <c r="E13" s="16">
        <f>IF($C$3="是",ROUND($A$3*G13/$B$3,2),ROUND($A$3*(G13-AT13)/$B$3,2))</f>
        <v>20.010000000000002</v>
      </c>
      <c r="F13" s="32"/>
      <c r="G13" s="33">
        <f>H13+AC13+AT13</f>
        <v>154.68</v>
      </c>
      <c r="H13" s="20">
        <f>SUMIF(I$12:AB$12,"总值",I13:AB13)</f>
        <v>154.68</v>
      </c>
      <c r="I13" s="1761">
        <v>154.68</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1</v>
      </c>
      <c r="AX13" s="11" t="str">
        <f t="shared" si="6"/>
        <v>5层04</v>
      </c>
      <c r="AY13" s="1483">
        <f>ROUND($AY$6*AZ13/$AZ$5,2)</f>
        <v>20.010000000000002</v>
      </c>
      <c r="AZ13" s="16">
        <f>BA13+BL13</f>
        <v>154.68</v>
      </c>
      <c r="BA13" s="16">
        <f>SUM(BB13:BK13)</f>
        <v>154.68</v>
      </c>
      <c r="BB13" s="16">
        <f>IF($D13="是",I13-J13,0)</f>
        <v>154.68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v>20156.830000000002</v>
      </c>
      <c r="B14" s="1162">
        <v>2</v>
      </c>
      <c r="C14" s="1162" t="s">
        <v>3181</v>
      </c>
      <c r="D14" s="1760" t="s">
        <v>3178</v>
      </c>
      <c r="E14" s="16">
        <f>IF($C$3="是",ROUND($A$3*G14/$B$3,2),ROUND($A$3*(G14-AT14)/$B$3,2))</f>
        <v>19.07</v>
      </c>
      <c r="F14" s="32"/>
      <c r="G14" s="33">
        <f>H14+AC14+AT14</f>
        <v>147.41</v>
      </c>
      <c r="H14" s="20">
        <f>SUMIF(I$12:AB$12,"总值",I14:AB14)</f>
        <v>147.41</v>
      </c>
      <c r="I14" s="1761">
        <v>147.41</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20156.830000000002</v>
      </c>
      <c r="AW14" s="11">
        <f t="shared" si="6"/>
        <v>2</v>
      </c>
      <c r="AX14" s="11" t="str">
        <f t="shared" si="6"/>
        <v>1层05</v>
      </c>
      <c r="AY14" s="1483">
        <f>ROUND($AY$6*AZ14/$AZ$5,2)</f>
        <v>19.07</v>
      </c>
      <c r="AZ14" s="16">
        <f>BA14+BL14</f>
        <v>147.41</v>
      </c>
      <c r="BA14" s="16">
        <f>SUM(BB14:BK14)</f>
        <v>147.41</v>
      </c>
      <c r="BB14" s="16">
        <f>IF($D14="是",I14-J14,0)</f>
        <v>147.41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v>2608.21</v>
      </c>
      <c r="B15" s="1162">
        <v>3</v>
      </c>
      <c r="C15" s="1162" t="s">
        <v>3182</v>
      </c>
      <c r="D15" s="1760" t="s">
        <v>3178</v>
      </c>
      <c r="E15" s="16">
        <f>IF($C$3="是",ROUND($A$3*G15/$B$3,2),ROUND($A$3*(G15-AT15)/$B$3,2))</f>
        <v>46.49</v>
      </c>
      <c r="F15" s="32"/>
      <c r="G15" s="33">
        <f>H15+AC15+AT15</f>
        <v>359.28</v>
      </c>
      <c r="H15" s="20">
        <f>SUMIF(I$12:AB$12,"总值",I15:AB15)</f>
        <v>359.28</v>
      </c>
      <c r="I15" s="1761">
        <v>359.28</v>
      </c>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2608.21</v>
      </c>
      <c r="AW15" s="11">
        <f t="shared" si="6"/>
        <v>3</v>
      </c>
      <c r="AX15" s="11" t="str">
        <f t="shared" si="6"/>
        <v>1层03</v>
      </c>
      <c r="AY15" s="1483">
        <f>ROUND($AY$6*AZ15/$AZ$5,2)</f>
        <v>46.49</v>
      </c>
      <c r="AZ15" s="16">
        <f>BA15+BL15</f>
        <v>359.28</v>
      </c>
      <c r="BA15" s="16">
        <f>SUM(BB15:BK15)</f>
        <v>359.28</v>
      </c>
      <c r="BB15" s="16">
        <f>IF($D15="是",I15-J15,0)</f>
        <v>359.28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f>ROUND(A14/A15,2)</f>
        <v>7.73</v>
      </c>
      <c r="B16" s="1162">
        <v>4</v>
      </c>
      <c r="C16" s="1162" t="s">
        <v>3183</v>
      </c>
      <c r="D16" s="1760" t="s">
        <v>3178</v>
      </c>
      <c r="E16" s="16">
        <f>IF($C$3="是",ROUND($A$3*G16/$B$3,2),ROUND($A$3*(G16-AT16)/$B$3,2))</f>
        <v>2.54</v>
      </c>
      <c r="F16" s="32"/>
      <c r="G16" s="33">
        <f>H16+AC16+AT16</f>
        <v>19.649999999999999</v>
      </c>
      <c r="H16" s="20">
        <f>SUMIF(I$12:AB$12,"总值",I16:AB16)</f>
        <v>19.649999999999999</v>
      </c>
      <c r="I16" s="1761">
        <v>19.649999999999999</v>
      </c>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7.73</v>
      </c>
      <c r="AW16" s="11">
        <f t="shared" si="6"/>
        <v>4</v>
      </c>
      <c r="AX16" s="11" t="str">
        <f t="shared" si="6"/>
        <v>1层04</v>
      </c>
      <c r="AY16" s="1483">
        <f>ROUND($AY$6*AZ16/$AZ$5,2)</f>
        <v>2.54</v>
      </c>
      <c r="AZ16" s="16">
        <f>BA16+BL16</f>
        <v>19.649999999999999</v>
      </c>
      <c r="BA16" s="16">
        <f>SUM(BB16:BK16)</f>
        <v>19.649999999999999</v>
      </c>
      <c r="BB16" s="16">
        <f>IF($D16="是",I16-J16,0)</f>
        <v>19.649999999999999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v>801.32</v>
      </c>
      <c r="B17" s="1162">
        <v>5</v>
      </c>
      <c r="C17" s="1162" t="s">
        <v>3184</v>
      </c>
      <c r="D17" s="1760" t="s">
        <v>3178</v>
      </c>
      <c r="E17" s="16">
        <f>IF($C$3="是",ROUND($A$3*G17/$B$3,2),ROUND($A$3*(G17-AT17)/$B$3,2))</f>
        <v>125.47</v>
      </c>
      <c r="F17" s="32"/>
      <c r="G17" s="33">
        <f>H17+AC17+AT17</f>
        <v>969.68</v>
      </c>
      <c r="H17" s="20">
        <f>SUMIF(I$12:AB$12,"总值",I17:AB17)</f>
        <v>969.68</v>
      </c>
      <c r="I17" s="1761">
        <v>969.68</v>
      </c>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801.32</v>
      </c>
      <c r="AW17" s="11">
        <f t="shared" si="6"/>
        <v>5</v>
      </c>
      <c r="AX17" s="11" t="str">
        <f t="shared" si="6"/>
        <v>3层</v>
      </c>
      <c r="AY17" s="1483">
        <f>ROUND($AY$6*AZ17/$AZ$5,2)</f>
        <v>125.47</v>
      </c>
      <c r="AZ17" s="16">
        <f>BA17+BL17</f>
        <v>969.68</v>
      </c>
      <c r="BA17" s="16">
        <f>SUM(BB17:BK17)</f>
        <v>969.68</v>
      </c>
      <c r="BB17" s="16">
        <f>IF($D17="是",I17-J17,0)</f>
        <v>969.68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3232">
        <f>B3</f>
        <v>6192.7899999999991</v>
      </c>
      <c r="B18" s="1162">
        <v>6</v>
      </c>
      <c r="C18" s="34" t="s">
        <v>3185</v>
      </c>
      <c r="D18" s="1760" t="s">
        <v>3178</v>
      </c>
      <c r="E18" s="35">
        <f t="shared" ref="E18:E112" si="7">IF($C$3="是",ROUND($A$3*G18/$B$3,2),ROUND($A$3*(G18-AT18)/$B$3,2))</f>
        <v>45.88</v>
      </c>
      <c r="F18" s="36"/>
      <c r="G18" s="37">
        <f t="shared" ref="G18:G109" si="8">H18+AC18+AT18</f>
        <v>354.54</v>
      </c>
      <c r="H18" s="38">
        <f t="shared" ref="H18:H109" si="9">SUMIF(I$12:AB$12,"总值",I18:AB18)</f>
        <v>354.54</v>
      </c>
      <c r="I18" s="39">
        <v>354.54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6192.7899999999991</v>
      </c>
      <c r="AW18" s="1477">
        <f t="shared" ref="AW18:AW112" si="12">B18</f>
        <v>6</v>
      </c>
      <c r="AX18" s="1477" t="str">
        <f t="shared" ref="AX18:AX112" si="13">C18</f>
        <v>3层夹层3-2</v>
      </c>
      <c r="AY18" s="42">
        <f t="shared" ref="AY18:AY109" si="14">ROUND($AY$6*AZ18/$AZ$5,2)</f>
        <v>45.88</v>
      </c>
      <c r="AZ18" s="35">
        <f t="shared" ref="AZ18:AZ109" si="15">BA18+BL18</f>
        <v>354.54</v>
      </c>
      <c r="BA18" s="35">
        <f t="shared" ref="BA18:BA109" si="16">SUM(BB18:BK18)</f>
        <v>354.54</v>
      </c>
      <c r="BB18" s="35">
        <f t="shared" ref="BB18:BB109" si="17">IF($D18="是",I18-J18,0)</f>
        <v>354.54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162">
        <v>7</v>
      </c>
      <c r="C19" s="34" t="s">
        <v>3186</v>
      </c>
      <c r="D19" s="1760" t="s">
        <v>3178</v>
      </c>
      <c r="E19" s="35">
        <f t="shared" si="7"/>
        <v>38.450000000000003</v>
      </c>
      <c r="F19" s="36"/>
      <c r="G19" s="37">
        <f t="shared" si="8"/>
        <v>297.13</v>
      </c>
      <c r="H19" s="38">
        <f t="shared" si="9"/>
        <v>297.13</v>
      </c>
      <c r="I19" s="39">
        <v>297.13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7</v>
      </c>
      <c r="AX19" s="1477" t="str">
        <f t="shared" si="13"/>
        <v>4层01</v>
      </c>
      <c r="AY19" s="42">
        <f t="shared" si="14"/>
        <v>38.450000000000003</v>
      </c>
      <c r="AZ19" s="35">
        <f t="shared" si="15"/>
        <v>297.13</v>
      </c>
      <c r="BA19" s="35">
        <f t="shared" si="16"/>
        <v>297.13</v>
      </c>
      <c r="BB19" s="35">
        <f t="shared" si="17"/>
        <v>297.13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162">
        <v>8</v>
      </c>
      <c r="C20" s="34" t="s">
        <v>3187</v>
      </c>
      <c r="D20" s="1760" t="s">
        <v>3178</v>
      </c>
      <c r="E20" s="35">
        <f t="shared" si="7"/>
        <v>21.09</v>
      </c>
      <c r="F20" s="36"/>
      <c r="G20" s="37">
        <f t="shared" si="8"/>
        <v>162.94999999999999</v>
      </c>
      <c r="H20" s="38">
        <f t="shared" si="9"/>
        <v>162.94999999999999</v>
      </c>
      <c r="I20" s="39">
        <v>162.94999999999999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8</v>
      </c>
      <c r="AX20" s="1477" t="str">
        <f t="shared" si="13"/>
        <v>4层04</v>
      </c>
      <c r="AY20" s="42">
        <f t="shared" si="14"/>
        <v>21.09</v>
      </c>
      <c r="AZ20" s="35">
        <f t="shared" si="15"/>
        <v>162.94999999999999</v>
      </c>
      <c r="BA20" s="35">
        <f t="shared" si="16"/>
        <v>162.94999999999999</v>
      </c>
      <c r="BB20" s="35">
        <f t="shared" si="17"/>
        <v>162.94999999999999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162">
        <v>9</v>
      </c>
      <c r="C21" s="34" t="s">
        <v>3188</v>
      </c>
      <c r="D21" s="1760" t="s">
        <v>3178</v>
      </c>
      <c r="E21" s="35">
        <f t="shared" si="7"/>
        <v>22.67</v>
      </c>
      <c r="F21" s="36"/>
      <c r="G21" s="37">
        <f t="shared" si="8"/>
        <v>175.17</v>
      </c>
      <c r="H21" s="38">
        <f t="shared" si="9"/>
        <v>175.17</v>
      </c>
      <c r="I21" s="39">
        <v>175.17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9</v>
      </c>
      <c r="AX21" s="1477" t="str">
        <f t="shared" si="13"/>
        <v>6层02</v>
      </c>
      <c r="AY21" s="42">
        <f t="shared" si="14"/>
        <v>22.67</v>
      </c>
      <c r="AZ21" s="35">
        <f t="shared" si="15"/>
        <v>175.17</v>
      </c>
      <c r="BA21" s="35">
        <f t="shared" si="16"/>
        <v>175.17</v>
      </c>
      <c r="BB21" s="35">
        <f t="shared" si="17"/>
        <v>175.17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162">
        <v>10</v>
      </c>
      <c r="C22" s="34" t="s">
        <v>3189</v>
      </c>
      <c r="D22" s="1760" t="s">
        <v>3178</v>
      </c>
      <c r="E22" s="35">
        <f t="shared" si="7"/>
        <v>6.99</v>
      </c>
      <c r="F22" s="36"/>
      <c r="G22" s="37">
        <f t="shared" si="8"/>
        <v>54.01</v>
      </c>
      <c r="H22" s="38">
        <f t="shared" si="9"/>
        <v>54.01</v>
      </c>
      <c r="I22" s="39">
        <v>54.01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10</v>
      </c>
      <c r="AX22" s="1477" t="str">
        <f t="shared" si="13"/>
        <v>1层06</v>
      </c>
      <c r="AY22" s="42">
        <f t="shared" si="14"/>
        <v>6.99</v>
      </c>
      <c r="AZ22" s="35">
        <f t="shared" si="15"/>
        <v>54.01</v>
      </c>
      <c r="BA22" s="35">
        <f t="shared" si="16"/>
        <v>54.01</v>
      </c>
      <c r="BB22" s="35">
        <f t="shared" si="17"/>
        <v>54.01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162">
        <v>11</v>
      </c>
      <c r="C23" s="34" t="s">
        <v>3190</v>
      </c>
      <c r="D23" s="1760" t="s">
        <v>3178</v>
      </c>
      <c r="E23" s="35">
        <f t="shared" si="7"/>
        <v>21.83</v>
      </c>
      <c r="F23" s="36"/>
      <c r="G23" s="37">
        <f t="shared" si="8"/>
        <v>168.71</v>
      </c>
      <c r="H23" s="38">
        <f t="shared" si="9"/>
        <v>168.71</v>
      </c>
      <c r="I23" s="39">
        <v>168.71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11</v>
      </c>
      <c r="AX23" s="1477" t="str">
        <f t="shared" si="13"/>
        <v>5层02</v>
      </c>
      <c r="AY23" s="42">
        <f t="shared" si="14"/>
        <v>21.83</v>
      </c>
      <c r="AZ23" s="35">
        <f t="shared" si="15"/>
        <v>168.71</v>
      </c>
      <c r="BA23" s="35">
        <f t="shared" si="16"/>
        <v>168.71</v>
      </c>
      <c r="BB23" s="35">
        <f t="shared" si="17"/>
        <v>168.71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162">
        <v>12</v>
      </c>
      <c r="C24" s="34" t="s">
        <v>3191</v>
      </c>
      <c r="D24" s="1760" t="s">
        <v>3178</v>
      </c>
      <c r="E24" s="35">
        <f t="shared" si="7"/>
        <v>38.01</v>
      </c>
      <c r="F24" s="36"/>
      <c r="G24" s="37">
        <f t="shared" si="8"/>
        <v>293.75</v>
      </c>
      <c r="H24" s="38">
        <f t="shared" si="9"/>
        <v>293.75</v>
      </c>
      <c r="I24" s="39">
        <v>293.75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12</v>
      </c>
      <c r="AX24" s="1477" t="str">
        <f t="shared" si="13"/>
        <v>5层03</v>
      </c>
      <c r="AY24" s="42">
        <f t="shared" si="14"/>
        <v>38.01</v>
      </c>
      <c r="AZ24" s="35">
        <f t="shared" si="15"/>
        <v>293.75</v>
      </c>
      <c r="BA24" s="35">
        <f t="shared" si="16"/>
        <v>293.75</v>
      </c>
      <c r="BB24" s="35">
        <f t="shared" si="17"/>
        <v>293.75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162">
        <v>13</v>
      </c>
      <c r="C25" s="34" t="s">
        <v>3192</v>
      </c>
      <c r="D25" s="1760" t="s">
        <v>3178</v>
      </c>
      <c r="E25" s="35">
        <f t="shared" si="7"/>
        <v>25.82</v>
      </c>
      <c r="F25" s="36"/>
      <c r="G25" s="37">
        <f t="shared" si="8"/>
        <v>199.53</v>
      </c>
      <c r="H25" s="38">
        <f t="shared" si="9"/>
        <v>199.53</v>
      </c>
      <c r="I25" s="39">
        <v>199.53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13</v>
      </c>
      <c r="AX25" s="1477" t="str">
        <f t="shared" si="13"/>
        <v>6层01</v>
      </c>
      <c r="AY25" s="42">
        <f t="shared" si="14"/>
        <v>25.82</v>
      </c>
      <c r="AZ25" s="35">
        <f t="shared" si="15"/>
        <v>199.53</v>
      </c>
      <c r="BA25" s="35">
        <f t="shared" si="16"/>
        <v>199.53</v>
      </c>
      <c r="BB25" s="35">
        <f t="shared" si="17"/>
        <v>199.53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162">
        <v>14</v>
      </c>
      <c r="C26" s="34" t="s">
        <v>3193</v>
      </c>
      <c r="D26" s="1760" t="s">
        <v>3178</v>
      </c>
      <c r="E26" s="35">
        <f t="shared" si="7"/>
        <v>37.97</v>
      </c>
      <c r="F26" s="36"/>
      <c r="G26" s="37">
        <f t="shared" si="8"/>
        <v>293.42</v>
      </c>
      <c r="H26" s="38">
        <f t="shared" si="9"/>
        <v>293.42</v>
      </c>
      <c r="I26" s="39">
        <v>293.42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14</v>
      </c>
      <c r="AX26" s="1477" t="str">
        <f t="shared" si="13"/>
        <v>6层03</v>
      </c>
      <c r="AY26" s="42">
        <f t="shared" si="14"/>
        <v>37.97</v>
      </c>
      <c r="AZ26" s="35">
        <f t="shared" si="15"/>
        <v>293.42</v>
      </c>
      <c r="BA26" s="35">
        <f t="shared" si="16"/>
        <v>293.42</v>
      </c>
      <c r="BB26" s="35">
        <f t="shared" si="17"/>
        <v>293.42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162">
        <v>15</v>
      </c>
      <c r="C27" s="34" t="s">
        <v>3194</v>
      </c>
      <c r="D27" s="1760" t="s">
        <v>3178</v>
      </c>
      <c r="E27" s="35">
        <f t="shared" si="7"/>
        <v>20.48</v>
      </c>
      <c r="F27" s="36"/>
      <c r="G27" s="37">
        <f t="shared" si="8"/>
        <v>158.28</v>
      </c>
      <c r="H27" s="38">
        <f t="shared" si="9"/>
        <v>158.28</v>
      </c>
      <c r="I27" s="39">
        <v>158.28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15</v>
      </c>
      <c r="AX27" s="1477" t="str">
        <f t="shared" si="13"/>
        <v>6层04</v>
      </c>
      <c r="AY27" s="42">
        <f t="shared" si="14"/>
        <v>20.48</v>
      </c>
      <c r="AZ27" s="35">
        <f t="shared" si="15"/>
        <v>158.28</v>
      </c>
      <c r="BA27" s="35">
        <f t="shared" si="16"/>
        <v>158.28</v>
      </c>
      <c r="BB27" s="35">
        <f t="shared" si="17"/>
        <v>158.28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162">
        <v>16</v>
      </c>
      <c r="C28" s="34" t="s">
        <v>3195</v>
      </c>
      <c r="D28" s="1760" t="s">
        <v>3178</v>
      </c>
      <c r="E28" s="35">
        <f t="shared" si="7"/>
        <v>150.47999999999999</v>
      </c>
      <c r="F28" s="36"/>
      <c r="G28" s="37">
        <f t="shared" si="8"/>
        <v>1162.98</v>
      </c>
      <c r="H28" s="38">
        <f t="shared" si="9"/>
        <v>1162.98</v>
      </c>
      <c r="I28" s="39">
        <v>1162.98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16</v>
      </c>
      <c r="AX28" s="1477" t="str">
        <f t="shared" si="13"/>
        <v>2层</v>
      </c>
      <c r="AY28" s="42">
        <f t="shared" si="14"/>
        <v>150.47999999999999</v>
      </c>
      <c r="AZ28" s="35">
        <f t="shared" si="15"/>
        <v>1162.98</v>
      </c>
      <c r="BA28" s="35">
        <f t="shared" si="16"/>
        <v>1162.98</v>
      </c>
      <c r="BB28" s="35">
        <f t="shared" si="17"/>
        <v>1162.98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162">
        <v>17</v>
      </c>
      <c r="C29" s="34" t="s">
        <v>3196</v>
      </c>
      <c r="D29" s="1760" t="s">
        <v>3178</v>
      </c>
      <c r="E29" s="35">
        <f t="shared" si="7"/>
        <v>23.34</v>
      </c>
      <c r="F29" s="36"/>
      <c r="G29" s="37">
        <f t="shared" si="8"/>
        <v>180.4</v>
      </c>
      <c r="H29" s="38">
        <f t="shared" si="9"/>
        <v>180.4</v>
      </c>
      <c r="I29" s="39">
        <v>180.4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17</v>
      </c>
      <c r="AX29" s="1477" t="str">
        <f t="shared" si="13"/>
        <v>4层02</v>
      </c>
      <c r="AY29" s="42">
        <f t="shared" si="14"/>
        <v>23.34</v>
      </c>
      <c r="AZ29" s="35">
        <f t="shared" si="15"/>
        <v>180.4</v>
      </c>
      <c r="BA29" s="35">
        <f t="shared" si="16"/>
        <v>180.4</v>
      </c>
      <c r="BB29" s="35">
        <f t="shared" si="17"/>
        <v>180.4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162">
        <v>18</v>
      </c>
      <c r="C30" s="34" t="s">
        <v>3197</v>
      </c>
      <c r="D30" s="1760" t="s">
        <v>3178</v>
      </c>
      <c r="E30" s="35">
        <f t="shared" si="7"/>
        <v>19.97</v>
      </c>
      <c r="F30" s="36"/>
      <c r="G30" s="37">
        <f t="shared" si="8"/>
        <v>154.32</v>
      </c>
      <c r="H30" s="38">
        <f t="shared" si="9"/>
        <v>154.32</v>
      </c>
      <c r="I30" s="39">
        <v>154.32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18</v>
      </c>
      <c r="AX30" s="1477" t="str">
        <f t="shared" si="13"/>
        <v>1层通道</v>
      </c>
      <c r="AY30" s="42">
        <f t="shared" si="14"/>
        <v>19.97</v>
      </c>
      <c r="AZ30" s="35">
        <f t="shared" si="15"/>
        <v>154.32</v>
      </c>
      <c r="BA30" s="35">
        <f t="shared" si="16"/>
        <v>154.32</v>
      </c>
      <c r="BB30" s="35">
        <f t="shared" si="17"/>
        <v>154.32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162">
        <v>19</v>
      </c>
      <c r="C31" s="34" t="s">
        <v>3198</v>
      </c>
      <c r="D31" s="1760" t="s">
        <v>3178</v>
      </c>
      <c r="E31" s="35">
        <f t="shared" si="7"/>
        <v>42.67</v>
      </c>
      <c r="F31" s="36"/>
      <c r="G31" s="37">
        <f t="shared" si="8"/>
        <v>329.79</v>
      </c>
      <c r="H31" s="38">
        <f t="shared" si="9"/>
        <v>329.79</v>
      </c>
      <c r="I31" s="39">
        <v>329.79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19</v>
      </c>
      <c r="AX31" s="1477" t="str">
        <f t="shared" si="13"/>
        <v>4层03</v>
      </c>
      <c r="AY31" s="42">
        <f t="shared" si="14"/>
        <v>42.67</v>
      </c>
      <c r="AZ31" s="35">
        <f t="shared" si="15"/>
        <v>329.79</v>
      </c>
      <c r="BA31" s="35">
        <f t="shared" si="16"/>
        <v>329.79</v>
      </c>
      <c r="BB31" s="35">
        <f t="shared" si="17"/>
        <v>329.79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8.5">
      <c r="A32" s="9"/>
      <c r="B32" s="1162">
        <v>20</v>
      </c>
      <c r="C32" s="34" t="s">
        <v>3199</v>
      </c>
      <c r="D32" s="1760" t="s">
        <v>3178</v>
      </c>
      <c r="E32" s="35">
        <f t="shared" si="7"/>
        <v>47.07</v>
      </c>
      <c r="F32" s="36"/>
      <c r="G32" s="37">
        <f t="shared" si="8"/>
        <v>363.75</v>
      </c>
      <c r="H32" s="38">
        <f t="shared" si="9"/>
        <v>363.75</v>
      </c>
      <c r="I32" s="39">
        <v>363.75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20</v>
      </c>
      <c r="AX32" s="1477" t="str">
        <f t="shared" si="13"/>
        <v>3层夹层3-1</v>
      </c>
      <c r="AY32" s="42">
        <f t="shared" si="14"/>
        <v>47.07</v>
      </c>
      <c r="AZ32" s="35">
        <f t="shared" si="15"/>
        <v>363.75</v>
      </c>
      <c r="BA32" s="35">
        <f t="shared" si="16"/>
        <v>363.75</v>
      </c>
      <c r="BB32" s="35">
        <f t="shared" si="17"/>
        <v>363.75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1162">
        <v>21</v>
      </c>
      <c r="C33" s="34" t="s">
        <v>3200</v>
      </c>
      <c r="D33" s="1760" t="s">
        <v>3178</v>
      </c>
      <c r="E33" s="35">
        <f t="shared" si="7"/>
        <v>25.02</v>
      </c>
      <c r="F33" s="36"/>
      <c r="G33" s="37">
        <f t="shared" si="8"/>
        <v>193.36</v>
      </c>
      <c r="H33" s="38">
        <f t="shared" si="9"/>
        <v>193.36</v>
      </c>
      <c r="I33" s="39">
        <v>193.36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21</v>
      </c>
      <c r="AX33" s="1477" t="str">
        <f t="shared" si="13"/>
        <v>5层01</v>
      </c>
      <c r="AY33" s="42">
        <f t="shared" si="14"/>
        <v>25.02</v>
      </c>
      <c r="AZ33" s="35">
        <f t="shared" si="15"/>
        <v>193.36</v>
      </c>
      <c r="BA33" s="35">
        <f t="shared" si="16"/>
        <v>193.36</v>
      </c>
      <c r="BB33" s="35">
        <f t="shared" si="17"/>
        <v>193.36</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1162">
        <v>22</v>
      </c>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22</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1162">
        <v>23</v>
      </c>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23</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1162">
        <v>24</v>
      </c>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24</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1162">
        <v>25</v>
      </c>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25</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1162">
        <v>26</v>
      </c>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26</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1162">
        <v>27</v>
      </c>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27</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1162">
        <v>28</v>
      </c>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28</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1162">
        <v>29</v>
      </c>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29</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1162">
        <v>30</v>
      </c>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30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1162">
        <v>31</v>
      </c>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31</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1162">
        <v>32</v>
      </c>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32</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1162">
        <v>33</v>
      </c>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33</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1162">
        <v>34</v>
      </c>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34</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1162">
        <v>35</v>
      </c>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35</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1162">
        <v>36</v>
      </c>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36</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1162">
        <v>37</v>
      </c>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37</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1162">
        <v>38</v>
      </c>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38</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1162">
        <v>39</v>
      </c>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39</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1162">
        <v>40</v>
      </c>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40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1162">
        <v>41</v>
      </c>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41</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1162">
        <v>42</v>
      </c>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42</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1162">
        <v>43</v>
      </c>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43</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1162">
        <v>44</v>
      </c>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44</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1162">
        <v>45</v>
      </c>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45</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1162">
        <v>46</v>
      </c>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46</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1162">
        <v>47</v>
      </c>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47</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1162">
        <v>48</v>
      </c>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48</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1162">
        <v>49</v>
      </c>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49</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1162">
        <v>50</v>
      </c>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50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1162">
        <v>51</v>
      </c>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51</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1162">
        <v>52</v>
      </c>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52</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1162">
        <v>53</v>
      </c>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53</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1162">
        <v>54</v>
      </c>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54</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1162">
        <v>55</v>
      </c>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55</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1162">
        <v>56</v>
      </c>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56</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1162">
        <v>57</v>
      </c>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57</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1162">
        <v>58</v>
      </c>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58</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1162">
        <v>59</v>
      </c>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59</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1162">
        <v>60</v>
      </c>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60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1162">
        <v>61</v>
      </c>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61</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1162">
        <v>62</v>
      </c>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62</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1162">
        <v>63</v>
      </c>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63</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1162">
        <v>64</v>
      </c>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64</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1162">
        <v>65</v>
      </c>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65</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1162">
        <v>66</v>
      </c>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66</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1162">
        <v>67</v>
      </c>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67</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1162">
        <v>68</v>
      </c>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68</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1162">
        <v>69</v>
      </c>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69</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1162">
        <v>70</v>
      </c>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70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1162">
        <v>71</v>
      </c>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71</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1162">
        <v>72</v>
      </c>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72</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1162">
        <v>73</v>
      </c>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73</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1162">
        <v>74</v>
      </c>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74</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1162">
        <v>75</v>
      </c>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75</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1162">
        <v>76</v>
      </c>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76</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1162">
        <v>77</v>
      </c>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77</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1162">
        <v>78</v>
      </c>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78</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1162">
        <v>79</v>
      </c>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79</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1162">
        <v>80</v>
      </c>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80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1162">
        <v>81</v>
      </c>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81</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1162">
        <v>82</v>
      </c>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82</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1162">
        <v>83</v>
      </c>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83</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1162">
        <v>84</v>
      </c>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84</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1162">
        <v>85</v>
      </c>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85</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1162">
        <v>86</v>
      </c>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86</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1162">
        <v>87</v>
      </c>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87</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1162">
        <v>88</v>
      </c>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88</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1162">
        <v>89</v>
      </c>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89</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1162">
        <v>90</v>
      </c>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90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1162">
        <v>91</v>
      </c>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91</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1162">
        <v>92</v>
      </c>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92</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1162">
        <v>93</v>
      </c>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93</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1162">
        <v>94</v>
      </c>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94</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1162">
        <v>95</v>
      </c>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95</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1162">
        <v>96</v>
      </c>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96</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1162">
        <v>97</v>
      </c>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97</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1162">
        <v>98</v>
      </c>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98</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1162">
        <v>99</v>
      </c>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99</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1162">
        <v>100</v>
      </c>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100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1162">
        <v>101</v>
      </c>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101</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1162">
        <v>102</v>
      </c>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102</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1162">
        <v>103</v>
      </c>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103</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1162">
        <v>104</v>
      </c>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104</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1162">
        <v>105</v>
      </c>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105</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1162">
        <v>106</v>
      </c>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106</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1162">
        <v>107</v>
      </c>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107</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1162">
        <v>108</v>
      </c>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108</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1162">
        <v>109</v>
      </c>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109</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1162">
        <v>110</v>
      </c>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110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1162">
        <v>111</v>
      </c>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111</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1162">
        <v>112</v>
      </c>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112</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1162">
        <v>113</v>
      </c>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113</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1162">
        <v>114</v>
      </c>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114</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1162">
        <v>115</v>
      </c>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115</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1162">
        <v>116</v>
      </c>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116</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1162">
        <v>117</v>
      </c>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117</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1162">
        <v>118</v>
      </c>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118</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1162">
        <v>119</v>
      </c>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119</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1162">
        <v>120</v>
      </c>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120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1162">
        <v>121</v>
      </c>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121</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1162">
        <v>122</v>
      </c>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122</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1162">
        <v>123</v>
      </c>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123</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1162">
        <v>124</v>
      </c>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124</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1162">
        <v>125</v>
      </c>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125</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1162">
        <v>126</v>
      </c>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126</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1162">
        <v>127</v>
      </c>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127</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1162">
        <v>128</v>
      </c>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128</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1162">
        <v>129</v>
      </c>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129</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1162">
        <v>130</v>
      </c>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130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1162">
        <v>131</v>
      </c>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131</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1162">
        <v>132</v>
      </c>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132</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1162">
        <v>133</v>
      </c>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133</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1162">
        <v>134</v>
      </c>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134</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1162">
        <v>135</v>
      </c>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135</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1162">
        <v>136</v>
      </c>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136</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1162">
        <v>137</v>
      </c>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137</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1162">
        <v>138</v>
      </c>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138</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1162">
        <v>139</v>
      </c>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139</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1162">
        <v>140</v>
      </c>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140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1162">
        <v>141</v>
      </c>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141</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1162">
        <v>142</v>
      </c>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142</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1162">
        <v>143</v>
      </c>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143</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1162">
        <v>144</v>
      </c>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144</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1162">
        <v>145</v>
      </c>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145</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1162">
        <v>146</v>
      </c>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146</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1162">
        <v>147</v>
      </c>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147</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1162">
        <v>148</v>
      </c>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148</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1162">
        <v>149</v>
      </c>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149</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1162">
        <v>150</v>
      </c>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150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1162">
        <v>151</v>
      </c>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151</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1162">
        <v>152</v>
      </c>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152</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1162">
        <v>153</v>
      </c>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153</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1162">
        <v>154</v>
      </c>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154</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1162">
        <v>155</v>
      </c>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155</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1162">
        <v>156</v>
      </c>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156</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1162">
        <v>157</v>
      </c>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157</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1162">
        <v>158</v>
      </c>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158</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1162">
        <v>159</v>
      </c>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159</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1162">
        <v>160</v>
      </c>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160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1162">
        <v>161</v>
      </c>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161</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1162">
        <v>162</v>
      </c>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162</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1162">
        <v>163</v>
      </c>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163</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1162">
        <v>164</v>
      </c>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164</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1162">
        <v>165</v>
      </c>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165</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1162">
        <v>166</v>
      </c>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166</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1162">
        <v>167</v>
      </c>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167</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1162">
        <v>168</v>
      </c>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168</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1162">
        <v>169</v>
      </c>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169</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1162">
        <v>170</v>
      </c>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170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1162">
        <v>171</v>
      </c>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171</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1162">
        <v>172</v>
      </c>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172</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1162">
        <v>173</v>
      </c>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173</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1162">
        <v>174</v>
      </c>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174</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1162">
        <v>175</v>
      </c>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175</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1162">
        <v>176</v>
      </c>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176</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1162">
        <v>177</v>
      </c>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177</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1162">
        <v>178</v>
      </c>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178</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1162">
        <v>179</v>
      </c>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179</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1162">
        <v>180</v>
      </c>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180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1162">
        <v>181</v>
      </c>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181</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1162">
        <v>182</v>
      </c>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182</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1162">
        <v>183</v>
      </c>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183</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1162">
        <v>184</v>
      </c>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184</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1162">
        <v>185</v>
      </c>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185</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1162">
        <v>186</v>
      </c>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186</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1162">
        <v>187</v>
      </c>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187</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1162">
        <v>188</v>
      </c>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188</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1162">
        <v>189</v>
      </c>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189</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1162">
        <v>190</v>
      </c>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190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1162">
        <v>191</v>
      </c>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191</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1162">
        <v>192</v>
      </c>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192</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1162">
        <v>193</v>
      </c>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193</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1162">
        <v>194</v>
      </c>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194</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1162">
        <v>195</v>
      </c>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195</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1162">
        <v>196</v>
      </c>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196</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1162">
        <v>197</v>
      </c>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197</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1162">
        <v>198</v>
      </c>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198</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1162">
        <v>199</v>
      </c>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199</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1162">
        <v>200</v>
      </c>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200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1162">
        <v>201</v>
      </c>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201</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1162">
        <v>202</v>
      </c>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202</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1162">
        <v>203</v>
      </c>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203</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1162">
        <v>204</v>
      </c>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204</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1162">
        <v>205</v>
      </c>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205</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1162">
        <v>206</v>
      </c>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206</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1162">
        <v>207</v>
      </c>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207</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1162">
        <v>208</v>
      </c>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208</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1162">
        <v>209</v>
      </c>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209</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1162">
        <v>210</v>
      </c>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210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1162">
        <v>211</v>
      </c>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211</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1162">
        <v>212</v>
      </c>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212</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1162">
        <v>213</v>
      </c>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213</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1162">
        <v>214</v>
      </c>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214</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1162">
        <v>215</v>
      </c>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215</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1162">
        <v>216</v>
      </c>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216</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1162">
        <v>217</v>
      </c>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217</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1162">
        <v>218</v>
      </c>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218</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1162">
        <v>219</v>
      </c>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219</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1162">
        <v>220</v>
      </c>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220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1162">
        <v>221</v>
      </c>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221</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1162">
        <v>222</v>
      </c>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222</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1162">
        <v>223</v>
      </c>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223</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1162">
        <v>224</v>
      </c>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224</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1162">
        <v>225</v>
      </c>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225</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1162">
        <v>226</v>
      </c>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226</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1162">
        <v>227</v>
      </c>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227</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1162">
        <v>228</v>
      </c>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228</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1162">
        <v>229</v>
      </c>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229</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1162">
        <v>230</v>
      </c>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230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1162">
        <v>231</v>
      </c>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231</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1162">
        <v>232</v>
      </c>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232</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1162">
        <v>233</v>
      </c>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233</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1162">
        <v>234</v>
      </c>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234</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1162">
        <v>235</v>
      </c>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235</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1162">
        <v>236</v>
      </c>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236</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1162">
        <v>237</v>
      </c>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237</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1162">
        <v>238</v>
      </c>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238</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1162">
        <v>239</v>
      </c>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239</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1162">
        <v>240</v>
      </c>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240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1162">
        <v>241</v>
      </c>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241</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1162">
        <v>242</v>
      </c>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242</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1162">
        <v>243</v>
      </c>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243</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1162">
        <v>244</v>
      </c>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244</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1162">
        <v>245</v>
      </c>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245</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1162">
        <v>246</v>
      </c>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246</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1162">
        <v>247</v>
      </c>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247</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1162">
        <v>248</v>
      </c>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248</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1162">
        <v>249</v>
      </c>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249</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1162">
        <v>250</v>
      </c>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250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1162">
        <v>251</v>
      </c>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251</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1162">
        <v>252</v>
      </c>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252</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1162">
        <v>253</v>
      </c>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253</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1162">
        <v>254</v>
      </c>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254</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1162">
        <v>255</v>
      </c>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255</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1162">
        <v>256</v>
      </c>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256</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1162">
        <v>257</v>
      </c>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257</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1162">
        <v>258</v>
      </c>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258</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1162">
        <v>259</v>
      </c>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259</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1162">
        <v>260</v>
      </c>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260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1162">
        <v>261</v>
      </c>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261</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1162">
        <v>262</v>
      </c>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262</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1162">
        <v>263</v>
      </c>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263</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1162">
        <v>264</v>
      </c>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264</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1162">
        <v>265</v>
      </c>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265</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1162">
        <v>266</v>
      </c>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266</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1162">
        <v>267</v>
      </c>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267</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1162">
        <v>268</v>
      </c>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268</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1162">
        <v>269</v>
      </c>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269</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1162">
        <v>270</v>
      </c>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270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1162">
        <v>271</v>
      </c>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271</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1162">
        <v>272</v>
      </c>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272</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1162">
        <v>273</v>
      </c>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273</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1162">
        <v>274</v>
      </c>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274</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1162">
        <v>275</v>
      </c>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275</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1162">
        <v>276</v>
      </c>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276</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1162">
        <v>277</v>
      </c>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277</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1162">
        <v>278</v>
      </c>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278</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1162">
        <v>279</v>
      </c>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279</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1162">
        <v>280</v>
      </c>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280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1162">
        <v>281</v>
      </c>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281</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1162">
        <v>282</v>
      </c>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282</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1162">
        <v>283</v>
      </c>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283</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1162">
        <v>284</v>
      </c>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284</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1162">
        <v>285</v>
      </c>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285</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1162">
        <v>286</v>
      </c>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286</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1162">
        <v>287</v>
      </c>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287</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1162">
        <v>288</v>
      </c>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288</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1162">
        <v>289</v>
      </c>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289</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1162">
        <v>290</v>
      </c>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290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1162">
        <v>291</v>
      </c>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291</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1162">
        <v>292</v>
      </c>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292</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1162">
        <v>293</v>
      </c>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293</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1162">
        <v>294</v>
      </c>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294</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1162">
        <v>295</v>
      </c>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295</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1162">
        <v>296</v>
      </c>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296</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1162">
        <v>297</v>
      </c>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297</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1162">
        <v>298</v>
      </c>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298</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1162">
        <v>299</v>
      </c>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299</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1162">
        <v>300</v>
      </c>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300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1162">
        <v>301</v>
      </c>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301</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1162">
        <v>302</v>
      </c>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302</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1162">
        <v>303</v>
      </c>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303</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1162">
        <v>304</v>
      </c>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304</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1162">
        <v>305</v>
      </c>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305</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1162">
        <v>306</v>
      </c>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306</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1162">
        <v>307</v>
      </c>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307</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1162">
        <v>308</v>
      </c>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308</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1162">
        <v>309</v>
      </c>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309</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1162">
        <v>310</v>
      </c>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310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1162">
        <v>311</v>
      </c>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311</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1162">
        <v>312</v>
      </c>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312</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1162">
        <v>313</v>
      </c>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313</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1162">
        <v>314</v>
      </c>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314</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1162">
        <v>315</v>
      </c>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315</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1162">
        <v>316</v>
      </c>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316</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1162">
        <v>317</v>
      </c>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317</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1162">
        <v>318</v>
      </c>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318</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1162">
        <v>319</v>
      </c>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319</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1162">
        <v>320</v>
      </c>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320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1162">
        <v>321</v>
      </c>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321</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1162">
        <v>322</v>
      </c>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322</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1162">
        <v>323</v>
      </c>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323</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1162">
        <v>324</v>
      </c>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324</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1162">
        <v>325</v>
      </c>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325</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1162">
        <v>326</v>
      </c>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326</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1162">
        <v>327</v>
      </c>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327</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1162">
        <v>328</v>
      </c>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328</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1162">
        <v>329</v>
      </c>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329</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1162">
        <v>330</v>
      </c>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330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1162">
        <v>331</v>
      </c>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331</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1162">
        <v>332</v>
      </c>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332</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1162">
        <v>333</v>
      </c>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333</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1162">
        <v>334</v>
      </c>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334</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1162">
        <v>335</v>
      </c>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335</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1162">
        <v>336</v>
      </c>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336</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1162">
        <v>337</v>
      </c>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337</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1162">
        <v>338</v>
      </c>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338</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1162">
        <v>339</v>
      </c>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339</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1162">
        <v>340</v>
      </c>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340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1162">
        <v>341</v>
      </c>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341</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1162">
        <v>342</v>
      </c>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342</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1162">
        <v>343</v>
      </c>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343</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1162">
        <v>344</v>
      </c>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344</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1162">
        <v>345</v>
      </c>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345</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1162">
        <v>346</v>
      </c>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346</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1162">
        <v>347</v>
      </c>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347</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1162">
        <v>348</v>
      </c>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348</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1162">
        <v>349</v>
      </c>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349</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1162">
        <v>350</v>
      </c>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350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1162">
        <v>351</v>
      </c>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351</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1162">
        <v>352</v>
      </c>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352</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1162">
        <v>353</v>
      </c>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353</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1162">
        <v>354</v>
      </c>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354</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1162">
        <v>355</v>
      </c>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355</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1162">
        <v>356</v>
      </c>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356</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1162">
        <v>357</v>
      </c>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357</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1162">
        <v>358</v>
      </c>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358</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1162">
        <v>359</v>
      </c>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359</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1162">
        <v>360</v>
      </c>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360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1162">
        <v>361</v>
      </c>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361</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1162">
        <v>362</v>
      </c>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362</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1162">
        <v>363</v>
      </c>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363</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1162">
        <v>364</v>
      </c>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364</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1162">
        <v>365</v>
      </c>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365</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1162">
        <v>366</v>
      </c>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366</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1162">
        <v>367</v>
      </c>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367</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1162">
        <v>368</v>
      </c>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368</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1162">
        <v>369</v>
      </c>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369</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1162">
        <v>370</v>
      </c>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370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1162">
        <v>371</v>
      </c>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371</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1162">
        <v>372</v>
      </c>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372</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1162">
        <v>373</v>
      </c>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373</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1162">
        <v>374</v>
      </c>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374</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1162">
        <v>375</v>
      </c>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375</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1162">
        <v>376</v>
      </c>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376</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1162">
        <v>377</v>
      </c>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377</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1162">
        <v>378</v>
      </c>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378</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1162">
        <v>379</v>
      </c>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379</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1162">
        <v>380</v>
      </c>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380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1162">
        <v>381</v>
      </c>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381</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1162">
        <v>382</v>
      </c>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382</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1162">
        <v>383</v>
      </c>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383</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1162">
        <v>384</v>
      </c>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384</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1162">
        <v>385</v>
      </c>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385</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1162">
        <v>386</v>
      </c>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386</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1162">
        <v>387</v>
      </c>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387</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1162">
        <v>388</v>
      </c>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388</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1162">
        <v>389</v>
      </c>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389</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1162">
        <v>390</v>
      </c>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390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1162">
        <v>391</v>
      </c>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391</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1162">
        <v>392</v>
      </c>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392</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1162">
        <v>393</v>
      </c>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393</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1162">
        <v>394</v>
      </c>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394</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1162">
        <v>395</v>
      </c>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395</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1162">
        <v>396</v>
      </c>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396</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1162">
        <v>397</v>
      </c>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397</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1162">
        <v>398</v>
      </c>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398</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1162">
        <v>399</v>
      </c>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399</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1162">
        <v>400</v>
      </c>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400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1162">
        <v>401</v>
      </c>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401</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1162">
        <v>402</v>
      </c>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402</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1162">
        <v>403</v>
      </c>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403</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1162">
        <v>404</v>
      </c>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404</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1162">
        <v>405</v>
      </c>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405</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1162">
        <v>406</v>
      </c>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406</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1162">
        <v>407</v>
      </c>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407</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1162">
        <v>408</v>
      </c>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408</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1162">
        <v>409</v>
      </c>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409</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1162">
        <v>410</v>
      </c>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410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1162">
        <v>411</v>
      </c>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411</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1162">
        <v>412</v>
      </c>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412</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1162">
        <v>413</v>
      </c>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413</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1162">
        <v>414</v>
      </c>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414</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1162">
        <v>415</v>
      </c>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415</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1162">
        <v>416</v>
      </c>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416</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1162">
        <v>417</v>
      </c>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417</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1162">
        <v>418</v>
      </c>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418</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1162">
        <v>419</v>
      </c>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419</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1162">
        <v>420</v>
      </c>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420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1162">
        <v>421</v>
      </c>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421</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1162">
        <v>422</v>
      </c>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422</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1162">
        <v>423</v>
      </c>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423</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1162">
        <v>424</v>
      </c>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424</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1162">
        <v>425</v>
      </c>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425</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1162">
        <v>426</v>
      </c>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426</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1162">
        <v>427</v>
      </c>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427</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1162">
        <v>428</v>
      </c>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428</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1162">
        <v>429</v>
      </c>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429</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1162">
        <v>430</v>
      </c>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430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1162">
        <v>431</v>
      </c>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431</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1162">
        <v>432</v>
      </c>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432</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1162">
        <v>433</v>
      </c>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433</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1162">
        <v>434</v>
      </c>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434</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1162">
        <v>435</v>
      </c>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435</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1162">
        <v>436</v>
      </c>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436</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1162">
        <v>437</v>
      </c>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437</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1162">
        <v>438</v>
      </c>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438</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1162">
        <v>439</v>
      </c>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439</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1162">
        <v>440</v>
      </c>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440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1162">
        <v>441</v>
      </c>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441</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1162">
        <v>442</v>
      </c>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442</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1162">
        <v>443</v>
      </c>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443</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1162">
        <v>444</v>
      </c>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444</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1162">
        <v>445</v>
      </c>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445</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1162">
        <v>446</v>
      </c>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446</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1162">
        <v>447</v>
      </c>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447</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1162">
        <v>448</v>
      </c>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448</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1162">
        <v>449</v>
      </c>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449</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1162">
        <v>450</v>
      </c>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450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1162">
        <v>451</v>
      </c>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451</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1162">
        <v>452</v>
      </c>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452</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1162">
        <v>453</v>
      </c>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453</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1162">
        <v>454</v>
      </c>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454</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1162">
        <v>455</v>
      </c>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455</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1162">
        <v>456</v>
      </c>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456</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1162">
        <v>457</v>
      </c>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457</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1162">
        <v>458</v>
      </c>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458</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1162">
        <v>459</v>
      </c>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459</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1162">
        <v>460</v>
      </c>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460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1162">
        <v>461</v>
      </c>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461</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1162">
        <v>462</v>
      </c>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462</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1162">
        <v>463</v>
      </c>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463</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1162">
        <v>464</v>
      </c>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464</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1162">
        <v>465</v>
      </c>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465</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1162">
        <v>466</v>
      </c>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466</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1162">
        <v>467</v>
      </c>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467</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1162">
        <v>468</v>
      </c>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468</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1162">
        <v>469</v>
      </c>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469</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1162">
        <v>470</v>
      </c>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470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1162">
        <v>471</v>
      </c>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471</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1162">
        <v>472</v>
      </c>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472</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1162">
        <v>473</v>
      </c>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473</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1162">
        <v>474</v>
      </c>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474</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1162">
        <v>475</v>
      </c>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475</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1162">
        <v>476</v>
      </c>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476</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1162">
        <v>477</v>
      </c>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477</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1162">
        <v>478</v>
      </c>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478</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1162">
        <v>479</v>
      </c>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479</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1162">
        <v>480</v>
      </c>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480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1162">
        <v>481</v>
      </c>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481</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1162">
        <v>482</v>
      </c>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482</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1162">
        <v>483</v>
      </c>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483</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1162">
        <v>484</v>
      </c>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484</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1162">
        <v>485</v>
      </c>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485</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1162">
        <v>486</v>
      </c>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486</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1162">
        <v>487</v>
      </c>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487</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1162">
        <v>488</v>
      </c>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488</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1162">
        <v>489</v>
      </c>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489</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1162">
        <v>490</v>
      </c>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490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1162">
        <v>491</v>
      </c>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491</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1162">
        <v>492</v>
      </c>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492</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1162">
        <v>493</v>
      </c>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493</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1162">
        <v>494</v>
      </c>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494</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1162">
        <v>495</v>
      </c>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495</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1162">
        <v>496</v>
      </c>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496</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1162">
        <v>497</v>
      </c>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497</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1162">
        <v>498</v>
      </c>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498</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1162">
        <v>499</v>
      </c>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499</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1162">
        <v>500</v>
      </c>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500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1162">
        <v>501</v>
      </c>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501</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1162">
        <v>502</v>
      </c>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502</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1162">
        <v>503</v>
      </c>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503</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1162">
        <v>504</v>
      </c>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504</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1162">
        <v>505</v>
      </c>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505</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1162">
        <v>506</v>
      </c>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506</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1162">
        <v>507</v>
      </c>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507</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1162">
        <v>508</v>
      </c>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508</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1162">
        <v>509</v>
      </c>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509</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1162">
        <v>510</v>
      </c>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510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1162">
        <v>511</v>
      </c>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511</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1162">
        <v>512</v>
      </c>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512</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1162">
        <v>513</v>
      </c>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513</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1162">
        <v>514</v>
      </c>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514</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1162">
        <v>515</v>
      </c>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515</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1162">
        <v>516</v>
      </c>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516</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1162">
        <v>517</v>
      </c>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517</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1162">
        <v>518</v>
      </c>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518</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1162">
        <v>519</v>
      </c>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519</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1162">
        <v>520</v>
      </c>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520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1162">
        <v>521</v>
      </c>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521</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1162">
        <v>522</v>
      </c>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522</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1162">
        <v>523</v>
      </c>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523</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1162">
        <v>524</v>
      </c>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524</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1162">
        <v>525</v>
      </c>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525</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1162">
        <v>526</v>
      </c>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526</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1162">
        <v>527</v>
      </c>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527</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1162">
        <v>528</v>
      </c>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528</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1162">
        <v>529</v>
      </c>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529</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1162">
        <v>530</v>
      </c>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530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1162">
        <v>531</v>
      </c>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531</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1162">
        <v>532</v>
      </c>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532</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1162">
        <v>533</v>
      </c>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533</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1162">
        <v>534</v>
      </c>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534</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1162">
        <v>535</v>
      </c>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535</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1162">
        <v>536</v>
      </c>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536</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1162">
        <v>537</v>
      </c>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537</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1162">
        <v>538</v>
      </c>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538</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1162">
        <v>539</v>
      </c>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539</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1162">
        <v>540</v>
      </c>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540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1162">
        <v>541</v>
      </c>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541</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1162">
        <v>542</v>
      </c>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542</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1162">
        <v>543</v>
      </c>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543</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1162">
        <v>544</v>
      </c>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544</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1162">
        <v>545</v>
      </c>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545</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1162">
        <v>546</v>
      </c>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546</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1162">
        <v>547</v>
      </c>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547</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1162">
        <v>548</v>
      </c>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548</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1162">
        <v>549</v>
      </c>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549</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1162">
        <v>550</v>
      </c>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550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1162">
        <v>551</v>
      </c>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551</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1162">
        <v>552</v>
      </c>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552</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1162">
        <v>553</v>
      </c>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553</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1162">
        <v>554</v>
      </c>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554</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1162">
        <v>555</v>
      </c>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555</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1162">
        <v>556</v>
      </c>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556</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1162">
        <v>557</v>
      </c>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557</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1162">
        <v>558</v>
      </c>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558</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1162">
        <v>559</v>
      </c>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559</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1162">
        <v>560</v>
      </c>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560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1162">
        <v>561</v>
      </c>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561</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1162">
        <v>562</v>
      </c>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562</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1162">
        <v>563</v>
      </c>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563</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1162">
        <v>564</v>
      </c>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564</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1162">
        <v>565</v>
      </c>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565</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1162">
        <v>566</v>
      </c>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566</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1162">
        <v>567</v>
      </c>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567</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1162">
        <v>568</v>
      </c>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568</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1162">
        <v>569</v>
      </c>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569</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1162">
        <v>570</v>
      </c>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570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1162">
        <v>571</v>
      </c>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571</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1162">
        <v>572</v>
      </c>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572</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1162">
        <v>573</v>
      </c>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573</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1162">
        <v>574</v>
      </c>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574</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1162">
        <v>575</v>
      </c>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575</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5" t="s">
        <v>0</v>
      </c>
      <c r="B1" s="3405" t="s">
        <v>4</v>
      </c>
      <c r="C1" s="3405" t="s">
        <v>5</v>
      </c>
      <c r="D1" s="3406" t="s">
        <v>53</v>
      </c>
      <c r="E1" s="3406" t="s">
        <v>54</v>
      </c>
      <c r="F1" s="3406"/>
      <c r="G1" s="3406"/>
      <c r="H1" s="3406"/>
      <c r="I1" s="3406"/>
      <c r="J1" s="3406"/>
      <c r="K1" s="3406"/>
      <c r="L1" s="3406"/>
      <c r="M1" s="3406"/>
    </row>
    <row r="2" spans="1:13" ht="27" customHeight="1">
      <c r="A2" s="3405"/>
      <c r="B2" s="3405"/>
      <c r="C2" s="3405"/>
      <c r="D2" s="3406"/>
      <c r="E2" s="3406" t="s">
        <v>37</v>
      </c>
      <c r="F2" s="3406" t="s">
        <v>38</v>
      </c>
      <c r="G2" s="3406"/>
      <c r="H2" s="3406"/>
      <c r="I2" s="3406"/>
      <c r="J2" s="3406" t="s">
        <v>39</v>
      </c>
      <c r="K2" s="3406"/>
      <c r="L2" s="3406"/>
      <c r="M2" s="3406"/>
    </row>
    <row r="3" spans="1:13" ht="28.5">
      <c r="A3" s="3405"/>
      <c r="B3" s="3405"/>
      <c r="C3" s="3405"/>
      <c r="D3" s="3406"/>
      <c r="E3" s="34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6" t="s">
        <v>55</v>
      </c>
      <c r="B9" s="3406"/>
      <c r="C9" s="34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416" t="s">
        <v>1576</v>
      </c>
      <c r="B2" s="3416"/>
      <c r="C2" s="3416"/>
      <c r="D2" s="884" t="s">
        <v>1552</v>
      </c>
      <c r="E2" s="1774" t="s">
        <v>1553</v>
      </c>
      <c r="F2" s="2835"/>
      <c r="G2" s="2826"/>
      <c r="H2" s="2827"/>
      <c r="I2" s="2498" t="s">
        <v>1577</v>
      </c>
      <c r="J2" s="2835"/>
      <c r="K2" s="2835"/>
      <c r="L2" s="2835"/>
      <c r="M2" s="2835"/>
      <c r="N2" s="2837"/>
      <c r="O2" s="2835"/>
      <c r="P2" s="2835"/>
    </row>
    <row r="3" spans="1:16" ht="15.75" thickBot="1">
      <c r="A3" s="3417" t="s">
        <v>1550</v>
      </c>
      <c r="B3" s="3417"/>
      <c r="C3" s="3417"/>
      <c r="D3" s="46">
        <f>'数据-基础表'!AY6</f>
        <v>801.32</v>
      </c>
      <c r="E3" s="46">
        <f>'数据-基础表'!AZ5</f>
        <v>6192.7899999999991</v>
      </c>
      <c r="F3" s="2835"/>
      <c r="G3" s="1259"/>
      <c r="H3" s="1137" t="s">
        <v>1551</v>
      </c>
      <c r="I3" s="944">
        <f>ROUND('数据-基础表'!B3/'数据-基础表'!A3,2)</f>
        <v>7.73</v>
      </c>
      <c r="J3" s="2835"/>
      <c r="K3" s="2835"/>
      <c r="L3" s="2835"/>
      <c r="M3" s="2835"/>
      <c r="N3" s="2837"/>
      <c r="O3" s="2835"/>
      <c r="P3" s="2835"/>
    </row>
    <row r="4" spans="1:16" ht="15">
      <c r="A4" s="3418"/>
      <c r="B4" s="3419"/>
      <c r="C4" s="3420"/>
      <c r="D4" s="1776" t="s">
        <v>1552</v>
      </c>
      <c r="E4" s="1777" t="s">
        <v>1553</v>
      </c>
      <c r="F4" s="2835"/>
      <c r="G4" s="2828" t="s">
        <v>1578</v>
      </c>
      <c r="H4" s="1137" t="s">
        <v>1558</v>
      </c>
      <c r="I4" s="944">
        <f>ROUND(SUMIF('数据-基础表'!I9:AS9,"地上",'数据-基础表'!I5:AS5)/'数据-基础表'!A3,2)</f>
        <v>7.73</v>
      </c>
      <c r="J4" s="2835"/>
      <c r="K4" s="2835"/>
      <c r="L4" s="2835"/>
      <c r="M4" s="2835"/>
      <c r="N4" s="2837"/>
      <c r="O4" s="2835"/>
      <c r="P4" s="2835"/>
    </row>
    <row r="5" spans="1:16">
      <c r="A5" s="47" t="s">
        <v>1554</v>
      </c>
      <c r="B5" s="3421" t="s">
        <v>1555</v>
      </c>
      <c r="C5" s="3421"/>
      <c r="D5" s="48">
        <f>ROUND($D$3*E5/$E$3,2)</f>
        <v>0</v>
      </c>
      <c r="E5" s="49">
        <f>SUMIF('数据-基础表'!$11:$11,"住宅",'数据-基础表'!$5:$5)</f>
        <v>0</v>
      </c>
      <c r="F5" s="2835"/>
      <c r="G5" s="1259"/>
      <c r="H5" s="1137" t="s">
        <v>1551</v>
      </c>
      <c r="I5" s="944">
        <f>ROUND(E31/D31,2)</f>
        <v>7.73</v>
      </c>
      <c r="J5" s="2835"/>
      <c r="K5" s="2835"/>
      <c r="L5" s="2835"/>
      <c r="M5" s="2835"/>
      <c r="N5" s="2835"/>
      <c r="O5" s="2835"/>
      <c r="P5" s="2835"/>
    </row>
    <row r="6" spans="1:16" ht="15" thickBot="1">
      <c r="A6" s="1779"/>
      <c r="B6" s="3421" t="s">
        <v>1556</v>
      </c>
      <c r="C6" s="3421"/>
      <c r="D6" s="48">
        <f>ROUND($D$3*E6/$E$3,2)</f>
        <v>801.32</v>
      </c>
      <c r="E6" s="49">
        <f>E3-E5</f>
        <v>6192.7899999999991</v>
      </c>
      <c r="F6" s="2835"/>
      <c r="G6" s="2829" t="s">
        <v>1557</v>
      </c>
      <c r="H6" s="1260" t="s">
        <v>1558</v>
      </c>
      <c r="I6" s="2830">
        <f>ROUND(F31/D31,2)</f>
        <v>7.73</v>
      </c>
      <c r="J6" s="2835"/>
      <c r="K6" s="2835"/>
      <c r="L6" s="2835"/>
      <c r="M6" s="2835"/>
      <c r="N6" s="2835"/>
      <c r="O6" s="2835"/>
      <c r="P6" s="2835"/>
    </row>
    <row r="7" spans="1:16" ht="15.75" thickBot="1">
      <c r="A7" s="3413"/>
      <c r="B7" s="3414"/>
      <c r="C7" s="3415"/>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801.32</v>
      </c>
      <c r="E8" s="51">
        <f>SUMIF('数据-基础表'!BB10:BK10,"地上",'数据-基础表'!BB5:BK5)</f>
        <v>6192.7899999999991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801.32</v>
      </c>
      <c r="E16" s="53">
        <f>SUM(E8:E15)</f>
        <v>6192.7899999999991</v>
      </c>
      <c r="F16" s="2835"/>
      <c r="G16" s="2836"/>
      <c r="H16" s="1783" t="s">
        <v>1580</v>
      </c>
      <c r="I16" s="1784"/>
      <c r="J16" s="1253"/>
      <c r="K16" s="3410" t="s">
        <v>1580</v>
      </c>
      <c r="L16" s="3411"/>
      <c r="M16" s="3411"/>
      <c r="N16" s="3411"/>
      <c r="O16" s="3411"/>
      <c r="P16" s="3412"/>
    </row>
    <row r="17" spans="1:19" ht="15">
      <c r="A17" s="1785" t="s">
        <v>1581</v>
      </c>
      <c r="B17" s="1786" t="s">
        <v>1582</v>
      </c>
      <c r="C17" s="1787" t="s">
        <v>1583</v>
      </c>
      <c r="D17" s="1788" t="s">
        <v>1571</v>
      </c>
      <c r="E17" s="1789" t="s">
        <v>1572</v>
      </c>
      <c r="F17" s="1790"/>
      <c r="G17" s="1791"/>
      <c r="H17" s="1792" t="s">
        <v>1584</v>
      </c>
      <c r="I17" s="1793" t="s">
        <v>1569</v>
      </c>
      <c r="J17" s="1253"/>
      <c r="K17" s="3407" t="s">
        <v>1585</v>
      </c>
      <c r="L17" s="3408"/>
      <c r="M17" s="3409"/>
      <c r="N17" s="3407" t="s">
        <v>1586</v>
      </c>
      <c r="O17" s="3408"/>
      <c r="P17" s="3409"/>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0" t="s">
        <v>3201</v>
      </c>
      <c r="D19" s="48">
        <f>ROUND($D$3*E19/$E$3,2)</f>
        <v>801.32</v>
      </c>
      <c r="E19" s="56">
        <f t="shared" ref="E19:E26" si="1">SUM(F19:G19)</f>
        <v>6192.7899999999991</v>
      </c>
      <c r="F19" s="2975">
        <f>'数据-基础表'!I5</f>
        <v>6192.7899999999991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801.32</v>
      </c>
      <c r="S19" s="1138">
        <f t="shared" si="5"/>
        <v>6192.7899999999991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801.32</v>
      </c>
      <c r="E27" s="1255">
        <f>IF(SUM(E19:E26)='数据-基础表'!BA5,SUM(E19:E26),IF(F27="地上面积有误","面积有误","地下面积有误"))</f>
        <v>6192.7899999999991</v>
      </c>
      <c r="F27" s="1254">
        <f>IF(SUM(F19:F26)=E8,SUM(F19:F26),"地上面积有误")</f>
        <v>6192.7899999999991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801.32</v>
      </c>
      <c r="S27" s="1137">
        <f>IF(SUM(S19:S26)=$E$3,SUM(S19:S26),SUM(S19:S26)&amp;"误差"&amp;ROUND(SUM(S19:S26)-E3,2))</f>
        <v>6192.7899999999991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801.32</v>
      </c>
      <c r="E31" s="684">
        <f>E27+E30</f>
        <v>6192.7899999999991</v>
      </c>
      <c r="F31" s="685">
        <f>F27+F30</f>
        <v>6192.7899999999991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U36" activePane="bottomRight" state="frozen"/>
      <selection activeCell="C50" sqref="C50"/>
      <selection pane="topRight" activeCell="C50" sqref="C50"/>
      <selection pane="bottomLeft" activeCell="C50" sqref="C50"/>
      <selection pane="bottomRight" activeCell="X46" sqref="X46"/>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44820</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3202</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7">
        <f>SUMIF(项目基本情况!D$12:I$12,C6,项目基本情况!D$14:I$14)</f>
        <v>50</v>
      </c>
      <c r="E6" s="946">
        <f>IF(B6="","",SUMIF(项目基本情况!D$12:I$12,C6,项目基本情况!D$13:I$13))</f>
        <v>54534</v>
      </c>
      <c r="F6" s="68">
        <f>SUMIF(项目基本情况!D$12:I$12,C6,项目基本情况!D$15:I$15)</f>
        <v>26.61</v>
      </c>
      <c r="G6" s="69">
        <f>IF(ISERROR(ROUND(POWER(1+H6,D6-F6)*(POWER(1+H6,F6)-1)/(POWER(1+H6,D6)-1),3)),0,ROUND(POWER(1+H6,D6-F6)*(POWER(1+H6,F6)-1)/(POWER(1+H6,D6)-1),3))</f>
        <v>0.77600000000000002</v>
      </c>
      <c r="H6" s="740">
        <v>4.4999999999999998E-2</v>
      </c>
      <c r="I6" s="740">
        <v>0.05</v>
      </c>
      <c r="J6" s="70">
        <v>0.06</v>
      </c>
      <c r="K6" s="1141">
        <f>SUMIF('数据-汇总表'!C$19:C$33,A6,'数据-汇总表'!E$19:E$33)</f>
        <v>6192.7899999999991</v>
      </c>
      <c r="L6" s="3251">
        <v>4500</v>
      </c>
      <c r="M6" s="71">
        <f t="shared" ref="M6:M14" si="0">ROUND(K6*L6/10000,0)</f>
        <v>2787</v>
      </c>
      <c r="N6" s="739">
        <f>N20</f>
        <v>0.72500000000000009</v>
      </c>
      <c r="O6" s="71" t="str">
        <f>IF($N$5="成新度","——",ROUND(M6*N6,0))</f>
        <v>——</v>
      </c>
      <c r="P6" s="72" t="str">
        <f>IF($N$5="成新度","——",M6-O6)</f>
        <v>——</v>
      </c>
      <c r="Q6" s="742">
        <v>0.2</v>
      </c>
      <c r="R6" s="73">
        <f ca="1">SUMIF('数据-汇总表'!C$19:C$33,A6,'数据-汇总表'!R$19:R$27)</f>
        <v>801.32</v>
      </c>
      <c r="S6" s="54">
        <f>IF('数据-汇总表'!$I$17="按面积比例",SUMIF('数据-汇总表'!C$19:C$33,A6,'数据-汇总表'!K$19:K$33),SUMIF('数据-汇总表'!C$19:C$33,A6,'数据-汇总表'!N$19:N$33))</f>
        <v>0</v>
      </c>
      <c r="T6" s="1286">
        <f>ROUND($L$14*S6/10000,0)</f>
        <v>0</v>
      </c>
      <c r="U6" s="74">
        <f>'比较法-办公租金'!C49</f>
        <v>5.8</v>
      </c>
      <c r="V6" s="75">
        <v>3.5000000000000003E-2</v>
      </c>
      <c r="W6" s="75">
        <v>0.05</v>
      </c>
      <c r="X6" s="1151"/>
      <c r="Y6" s="76">
        <f>N6</f>
        <v>0.72500000000000009</v>
      </c>
      <c r="Z6" s="77"/>
      <c r="AA6" s="70"/>
      <c r="AB6" s="70"/>
      <c r="AC6" s="1151"/>
      <c r="AD6" s="78"/>
      <c r="AE6" s="1152">
        <f ca="1">IF(AN6="",0,SUMIF(INDIRECT("'"&amp;AN6&amp;"'"&amp;"!E:E"),$AE$5,INDIRECT("'"&amp;AN6&amp;"'"&amp;"!F:F")))</f>
        <v>26.61</v>
      </c>
      <c r="AF6" s="1482"/>
      <c r="AG6" s="142">
        <f>IF(AF6="",0,AE6-AF6)</f>
        <v>0</v>
      </c>
      <c r="AH6" s="79"/>
      <c r="AI6" s="81">
        <v>365</v>
      </c>
      <c r="AJ6" s="82"/>
      <c r="AK6" s="3252">
        <v>5.0000000000000001E-3</v>
      </c>
      <c r="AL6" s="3253">
        <v>1E-3</v>
      </c>
      <c r="AM6" s="3254">
        <v>5.0000000000000001E-3</v>
      </c>
      <c r="AN6" s="1851" t="s">
        <v>3203</v>
      </c>
      <c r="AO6" s="55">
        <f ca="1">SUMIF(INDIRECT("'"&amp;AN6&amp;"'"&amp;"!A:A"),"总价",INDIRECT("'"&amp;AN6&amp;"'"&amp;"!B:B"))</f>
        <v>21334</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0.77600000000000002</v>
      </c>
      <c r="H16" s="95">
        <f>ROUND(SUMPRODUCT(H6:H13,K6:K13)/SUMPRODUCT((H6:H13&gt;0)*(K6:K13)),3)</f>
        <v>4.4999999999999998E-2</v>
      </c>
      <c r="I16" s="96"/>
      <c r="J16" s="96"/>
      <c r="K16" s="97">
        <f>SUM(K6:K15)</f>
        <v>6192.7899999999991</v>
      </c>
      <c r="L16" s="98">
        <f>ROUND(M16*10000/SUM(K6:K14),0)</f>
        <v>4500</v>
      </c>
      <c r="M16" s="98">
        <f>SUM(M6:M14)</f>
        <v>2787</v>
      </c>
      <c r="N16" s="99">
        <f>ROUND(SUMPRODUCT(M6:M14,N6:N14)/M16,3)</f>
        <v>0.72499999999999998</v>
      </c>
      <c r="O16" s="98">
        <f>SUM(O6:O14)</f>
        <v>0</v>
      </c>
      <c r="P16" s="98">
        <f>SUM(P6:P14)</f>
        <v>0</v>
      </c>
      <c r="Q16" s="100">
        <f>ROUND(SUMPRODUCT(Q6:Q13,K6:K13)/SUMPRODUCT((Q6:Q13&gt;0)*(K6:K13)),2)</f>
        <v>0.2</v>
      </c>
      <c r="R16" s="1145">
        <f ca="1">SUM(R6:R13)</f>
        <v>801.32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v>2001</v>
      </c>
      <c r="N18" s="2849">
        <f>1-(2022-M18)/60</f>
        <v>0.65</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2804</v>
      </c>
      <c r="D19" s="2854"/>
      <c r="E19" s="2851"/>
      <c r="F19" s="2851"/>
      <c r="G19" s="2851"/>
      <c r="H19" s="2851"/>
      <c r="I19" s="2851"/>
      <c r="J19" s="2851"/>
      <c r="K19" s="2850"/>
      <c r="L19" s="2850"/>
      <c r="M19" s="2849"/>
      <c r="N19" s="2849">
        <v>0.8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2802</v>
      </c>
      <c r="D20" s="2854"/>
      <c r="E20" s="2851"/>
      <c r="F20" s="2851"/>
      <c r="G20" s="2851"/>
      <c r="H20" s="2851"/>
      <c r="I20" s="2851"/>
      <c r="J20" s="2851"/>
      <c r="K20" s="2850"/>
      <c r="L20" s="2850"/>
      <c r="M20" s="2849"/>
      <c r="N20" s="2849">
        <f>AVERAGE(N18:N19)</f>
        <v>0.72500000000000009</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160</v>
      </c>
      <c r="C27" s="2981" t="s">
        <v>2806</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成本法!C10</f>
        <v>124</v>
      </c>
      <c r="C29" s="2982" t="s">
        <v>2793</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83" t="s">
        <v>2794</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c r="C34" s="2983" t="s">
        <v>2795</v>
      </c>
      <c r="D34" s="2862" t="s">
        <v>2803</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200</v>
      </c>
      <c r="C35" s="2983" t="s">
        <v>2796</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2797</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3250">
        <v>0.02</v>
      </c>
      <c r="C37" s="2983" t="s">
        <v>2798</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2798</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3424</v>
      </c>
      <c r="B40" s="1190">
        <f ca="1">IF(A40="利息：取LPR",存贷款利率!G1,存贷款利率!G1+C40)</f>
        <v>4.7500000000000001E-2</v>
      </c>
      <c r="C40" s="2994">
        <v>1.0999999999999999E-2</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7.0000000000000007E-2</v>
      </c>
      <c r="C44" s="2983" t="s">
        <v>2807</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2799</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2800</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2808</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2799</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2801</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137</v>
      </c>
      <c r="C53" s="2837" t="s">
        <v>1691</v>
      </c>
      <c r="D53" s="2984" t="s">
        <v>2805</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422" t="s">
        <v>2785</v>
      </c>
      <c r="B1" s="3423"/>
      <c r="C1" s="3423"/>
      <c r="D1" s="3423"/>
      <c r="E1" s="3423"/>
      <c r="F1" s="3423"/>
      <c r="G1" s="3423"/>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2780</v>
      </c>
      <c r="D2" s="2636"/>
      <c r="E2" s="2633"/>
      <c r="F2" s="2637"/>
      <c r="G2" s="2635" t="s">
        <v>2781</v>
      </c>
      <c r="H2" s="887"/>
      <c r="I2" s="887"/>
      <c r="J2" s="887"/>
      <c r="K2" s="887"/>
      <c r="L2" s="887"/>
      <c r="M2" s="887"/>
      <c r="N2" s="887"/>
      <c r="O2" s="887"/>
      <c r="P2" s="887"/>
      <c r="Q2" s="887"/>
      <c r="R2" s="887"/>
    </row>
    <row r="3" spans="1:29" ht="48">
      <c r="A3" s="2616" t="s">
        <v>2782</v>
      </c>
      <c r="B3" s="2638" t="s">
        <v>2753</v>
      </c>
      <c r="C3" s="2639" t="s">
        <v>2783</v>
      </c>
      <c r="D3" s="2640"/>
      <c r="E3" s="2617" t="s">
        <v>2782</v>
      </c>
      <c r="F3" s="2641" t="s">
        <v>2754</v>
      </c>
      <c r="G3" s="2642" t="s">
        <v>2784</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
      <c r="A5" s="2617"/>
      <c r="B5" s="328" t="s">
        <v>2759</v>
      </c>
      <c r="C5" s="3270" t="s">
        <v>3286</v>
      </c>
      <c r="D5" s="2640"/>
      <c r="E5" s="2644"/>
      <c r="F5" s="328" t="s">
        <v>2760</v>
      </c>
      <c r="G5" s="2645" t="s">
        <v>2761</v>
      </c>
      <c r="H5" s="887"/>
      <c r="I5" s="887"/>
      <c r="J5" s="887"/>
      <c r="K5" s="887"/>
      <c r="L5" s="887"/>
      <c r="M5" s="887"/>
      <c r="N5" s="887"/>
      <c r="O5" s="887"/>
      <c r="P5" s="887"/>
      <c r="Q5" s="887"/>
      <c r="R5" s="887"/>
    </row>
    <row r="6" spans="1:29" ht="72">
      <c r="A6" s="2617"/>
      <c r="B6" s="328" t="s">
        <v>2762</v>
      </c>
      <c r="C6" s="3269" t="s">
        <v>3284</v>
      </c>
      <c r="D6" s="2640"/>
      <c r="E6" s="2644"/>
      <c r="F6" s="328" t="s">
        <v>2763</v>
      </c>
      <c r="G6" s="2645" t="s">
        <v>2764</v>
      </c>
      <c r="H6" s="887"/>
      <c r="I6" s="887"/>
      <c r="J6" s="887"/>
      <c r="K6" s="887"/>
      <c r="L6" s="887"/>
      <c r="M6" s="887"/>
      <c r="N6" s="887"/>
      <c r="O6" s="887"/>
      <c r="P6" s="887"/>
      <c r="Q6" s="887"/>
      <c r="R6" s="887"/>
    </row>
    <row r="7" spans="1:29" ht="132.75" thickBot="1">
      <c r="A7" s="2617"/>
      <c r="B7" s="328" t="s">
        <v>2760</v>
      </c>
      <c r="C7" s="3269" t="s">
        <v>3287</v>
      </c>
      <c r="D7" s="2646"/>
      <c r="E7" s="2647"/>
      <c r="F7" s="2648" t="s">
        <v>2765</v>
      </c>
      <c r="G7" s="2649" t="s">
        <v>2766</v>
      </c>
      <c r="H7" s="887"/>
      <c r="I7" s="887"/>
      <c r="J7" s="887"/>
      <c r="K7" s="887"/>
      <c r="L7" s="887"/>
      <c r="M7" s="887"/>
      <c r="N7" s="887"/>
      <c r="O7" s="887"/>
      <c r="P7" s="887"/>
      <c r="Q7" s="887"/>
      <c r="R7" s="887"/>
    </row>
    <row r="8" spans="1:29">
      <c r="A8" s="2617"/>
      <c r="B8" s="328" t="s">
        <v>2763</v>
      </c>
      <c r="C8" s="2645" t="s">
        <v>2764</v>
      </c>
      <c r="D8" s="2646"/>
      <c r="E8" s="2646"/>
      <c r="F8" s="2650"/>
      <c r="G8" s="2650"/>
      <c r="H8" s="887"/>
      <c r="I8" s="887"/>
      <c r="J8" s="887"/>
      <c r="K8" s="887"/>
      <c r="L8" s="887"/>
      <c r="M8" s="887"/>
      <c r="N8" s="887"/>
      <c r="O8" s="887"/>
      <c r="P8" s="887"/>
      <c r="Q8" s="887"/>
      <c r="R8" s="887"/>
    </row>
    <row r="9" spans="1:29" ht="36">
      <c r="A9" s="2617"/>
      <c r="B9" s="328" t="s">
        <v>2767</v>
      </c>
      <c r="C9" s="3270" t="s">
        <v>3285</v>
      </c>
      <c r="D9" s="2640"/>
      <c r="E9" s="2646"/>
      <c r="F9" s="2650"/>
      <c r="G9" s="2650"/>
      <c r="H9" s="887"/>
      <c r="I9" s="887"/>
      <c r="J9" s="887"/>
      <c r="K9" s="887"/>
      <c r="L9" s="887"/>
      <c r="M9" s="887"/>
      <c r="N9" s="887"/>
      <c r="O9" s="887"/>
      <c r="P9" s="887"/>
      <c r="Q9" s="887"/>
      <c r="R9" s="887"/>
    </row>
    <row r="10" spans="1:29" s="2656" customFormat="1" ht="15" thickBot="1">
      <c r="A10" s="2618"/>
      <c r="B10" s="2651" t="s">
        <v>2768</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2786</v>
      </c>
      <c r="B13" s="2659"/>
      <c r="C13" s="2659"/>
      <c r="D13" s="2657"/>
      <c r="E13" s="2659"/>
      <c r="F13" s="2659"/>
      <c r="G13" s="2659"/>
    </row>
    <row r="14" spans="1:29" ht="15" thickBot="1">
      <c r="A14" s="2669"/>
      <c r="B14" s="2669"/>
      <c r="C14" s="2670" t="s">
        <v>2769</v>
      </c>
      <c r="D14" s="2640"/>
      <c r="E14" s="2671"/>
      <c r="F14" s="2671"/>
      <c r="G14" s="2635" t="s">
        <v>2770</v>
      </c>
    </row>
    <row r="15" spans="1:29" ht="51">
      <c r="A15" s="2619" t="s">
        <v>2771</v>
      </c>
      <c r="B15" s="2672" t="s">
        <v>2753</v>
      </c>
      <c r="C15" s="2673" t="str">
        <f>C3</f>
        <v>估价对象周边居住用地比例、居住小区规模和社区发展完善程度，综合评价居住社区成熟度一般</v>
      </c>
      <c r="D15" s="2640"/>
      <c r="E15" s="2620" t="s">
        <v>2772</v>
      </c>
      <c r="F15" s="2672" t="s">
        <v>2773</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估价对象地处东城区，周边办公楼项目较多，入驻率高，办公集聚程度较好。</v>
      </c>
      <c r="D17" s="2646"/>
      <c r="E17" s="2622"/>
      <c r="F17" s="2677" t="s">
        <v>2774</v>
      </c>
      <c r="G17" s="2679"/>
    </row>
    <row r="18" spans="1:18" ht="76.5">
      <c r="A18" s="2621"/>
      <c r="B18" s="2677" t="s">
        <v>2762</v>
      </c>
      <c r="C18" s="2678" t="str">
        <f>C6</f>
        <v>估价对象为距离东二环约600米，北侧临近工人体育场北路，周边有3路、4路、113路、115录吧、406路等公交通行，距离地铁2号线东四十条站约700米，交通便捷度较好。</v>
      </c>
      <c r="D18" s="2646"/>
      <c r="E18" s="2622"/>
      <c r="F18" s="2677" t="s">
        <v>2765</v>
      </c>
      <c r="G18" s="2678" t="str">
        <f>G7</f>
        <v>该园区内是否有污染型企业，绿化情况，卫生条件，整体环境状况判断</v>
      </c>
    </row>
    <row r="19" spans="1:18" ht="25.5">
      <c r="A19" s="2621"/>
      <c r="B19" s="2677" t="s">
        <v>2775</v>
      </c>
      <c r="C19" s="2679"/>
      <c r="D19" s="2640"/>
      <c r="E19" s="2622"/>
      <c r="F19" s="328" t="s">
        <v>2760</v>
      </c>
      <c r="G19" s="2678" t="str">
        <f>G5</f>
        <v>估价对象所在区域公共配套设施齐备情况</v>
      </c>
    </row>
    <row r="20" spans="1:18" ht="38.25">
      <c r="A20" s="2621"/>
      <c r="B20" s="2677" t="s">
        <v>2776</v>
      </c>
      <c r="C20" s="2676" t="str">
        <f>C9</f>
        <v>区域自然环境：东岳庙；人文环境：北京工人体育场、保利剧院；综合评价环境状况较好</v>
      </c>
      <c r="D20" s="2646"/>
      <c r="E20" s="2622"/>
      <c r="F20" s="328" t="s">
        <v>2763</v>
      </c>
      <c r="G20" s="2678" t="str">
        <f>G6</f>
        <v>估价对象所在区域基础设施水平</v>
      </c>
    </row>
    <row r="21" spans="1:18" ht="140.25">
      <c r="A21" s="2621"/>
      <c r="B21" s="328" t="s">
        <v>2760</v>
      </c>
      <c r="C21" s="2678" t="str">
        <f>C7</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21" s="2640"/>
      <c r="E21" s="2622"/>
      <c r="F21" s="2677" t="s">
        <v>2777</v>
      </c>
      <c r="G21" s="2680"/>
    </row>
    <row r="22" spans="1:18" ht="13.5" customHeight="1">
      <c r="A22" s="2621"/>
      <c r="B22" s="328" t="s">
        <v>2763</v>
      </c>
      <c r="C22" s="2678" t="str">
        <f>C8</f>
        <v>估价对象所在区域基础设施水平</v>
      </c>
      <c r="D22" s="2640"/>
      <c r="E22" s="2622"/>
      <c r="F22" s="2677" t="s">
        <v>2768</v>
      </c>
      <c r="G22" s="2679"/>
    </row>
    <row r="23" spans="1:18" s="887" customFormat="1" ht="15" thickBot="1">
      <c r="A23" s="2621"/>
      <c r="B23" s="2677" t="s">
        <v>2777</v>
      </c>
      <c r="C23" s="2680"/>
      <c r="D23" s="1877"/>
      <c r="E23" s="2623"/>
      <c r="F23" s="2681" t="s">
        <v>2778</v>
      </c>
      <c r="G23" s="2682"/>
      <c r="H23" s="2666"/>
      <c r="I23" s="2667"/>
      <c r="J23" s="2666"/>
      <c r="K23" s="2666"/>
      <c r="L23" s="2667"/>
      <c r="M23" s="2666"/>
      <c r="N23" s="2666"/>
      <c r="O23" s="2667"/>
      <c r="P23" s="2666"/>
      <c r="Q23" s="2666"/>
      <c r="R23" s="2668"/>
    </row>
    <row r="24" spans="1:18" s="887" customFormat="1" ht="15" thickBot="1">
      <c r="A24" s="2624"/>
      <c r="B24" s="2681" t="s">
        <v>2779</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6192.7899999999991</v>
      </c>
      <c r="C1" s="2864"/>
      <c r="D1" s="2864"/>
      <c r="E1" s="2864"/>
      <c r="F1" s="2864"/>
      <c r="G1" s="2865"/>
      <c r="H1" s="2866"/>
      <c r="I1" s="2866"/>
      <c r="J1" s="2866"/>
      <c r="K1" s="2866"/>
    </row>
    <row r="2" spans="1:11" ht="16.5">
      <c r="A2" s="2687" t="s">
        <v>1078</v>
      </c>
      <c r="B2" s="2687">
        <f>SUM(C14:C23)</f>
        <v>801.32</v>
      </c>
      <c r="C2" s="2864"/>
      <c r="D2" s="2864"/>
      <c r="E2" s="2864"/>
      <c r="F2" s="2864"/>
      <c r="G2" s="2865"/>
      <c r="H2" s="2866"/>
      <c r="I2" s="2866"/>
      <c r="J2" s="2866"/>
      <c r="K2" s="2866"/>
    </row>
    <row r="3" spans="1:11" ht="16.5">
      <c r="A3" s="2687" t="s">
        <v>1087</v>
      </c>
      <c r="B3" s="2689">
        <f>项目基本情况!D3</f>
        <v>44820</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26830</v>
      </c>
      <c r="C5" s="2687">
        <f ca="1">ROUND(B5*10000/$B$1,0)</f>
        <v>43325</v>
      </c>
      <c r="D5" s="2687">
        <f ca="1">ROUND(B5*10000/$B$2,0)</f>
        <v>334823</v>
      </c>
      <c r="E5" s="2864"/>
      <c r="F5" s="2865"/>
      <c r="G5" s="2865"/>
      <c r="H5" s="2866"/>
      <c r="I5" s="2866"/>
      <c r="J5" s="2866"/>
      <c r="K5" s="2866"/>
    </row>
    <row r="6" spans="1:11" ht="16.5">
      <c r="A6" s="2687" t="s">
        <v>1081</v>
      </c>
      <c r="B6" s="2687" t="e">
        <f ca="1">SUM(G14:G23)</f>
        <v>#REF!</v>
      </c>
      <c r="C6" s="2687" t="e">
        <f ca="1">ROUND(B6*10000/$B$1,0)</f>
        <v>#REF!</v>
      </c>
      <c r="D6" s="2687" t="e">
        <f ca="1">ROUND(B6*10000/$B$2,0)</f>
        <v>#REF!</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6192.7899999999991</v>
      </c>
      <c r="C14" s="2693">
        <f>结果表!C118</f>
        <v>801.32</v>
      </c>
      <c r="D14" s="2693">
        <f ca="1">结果表!G19</f>
        <v>26830</v>
      </c>
      <c r="E14" s="2693">
        <f ca="1">ROUND(D14*10000/B14,0)</f>
        <v>43325</v>
      </c>
      <c r="F14" s="2693">
        <f ca="1">ROUND(D14*10000/C14,0)</f>
        <v>334823</v>
      </c>
      <c r="G14" s="2693" t="e">
        <f ca="1">结果表!D122</f>
        <v>#REF!</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1" zoomScaleNormal="100" zoomScaleSheetLayoutView="100" zoomScalePageLayoutView="80" workbookViewId="0">
      <selection activeCell="J9" sqref="J9"/>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58" t="str">
        <f>项目基本情况!S2</f>
        <v>北京市房地产</v>
      </c>
      <c r="B2" s="3459"/>
      <c r="C2" s="3459"/>
      <c r="D2" s="3459"/>
      <c r="E2" s="3459"/>
      <c r="F2" s="3459"/>
      <c r="G2" s="3459"/>
      <c r="H2" s="3459"/>
      <c r="I2" s="3460"/>
    </row>
    <row r="3" spans="1:12" ht="12.75">
      <c r="A3" s="3462" t="s">
        <v>1709</v>
      </c>
      <c r="B3" s="3463"/>
      <c r="C3" s="3463"/>
      <c r="D3" s="3463"/>
      <c r="E3" s="3463"/>
      <c r="F3" s="3463"/>
      <c r="G3" s="3463"/>
      <c r="H3" s="3463"/>
      <c r="I3" s="3463"/>
    </row>
    <row r="4" spans="1:12" ht="14.25">
      <c r="A4" s="1890" t="s">
        <v>1710</v>
      </c>
      <c r="B4" s="1891" t="s">
        <v>1711</v>
      </c>
      <c r="C4" s="1892" t="s">
        <v>3417</v>
      </c>
      <c r="D4" s="1892" t="s">
        <v>3203</v>
      </c>
      <c r="E4" s="3464" t="s">
        <v>1712</v>
      </c>
      <c r="F4" s="3465"/>
      <c r="G4" s="3465"/>
      <c r="H4" s="3465"/>
      <c r="I4" s="3466"/>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38" t="s">
        <v>1713</v>
      </c>
      <c r="B5" s="3425">
        <v>25</v>
      </c>
      <c r="C5" s="3441"/>
      <c r="D5" s="3461"/>
      <c r="E5" s="135" t="s">
        <v>1714</v>
      </c>
      <c r="F5" s="1893"/>
      <c r="G5" s="1893"/>
      <c r="H5" s="1893"/>
      <c r="I5" s="1507"/>
    </row>
    <row r="6" spans="1:12" ht="12.75">
      <c r="A6" s="3438"/>
      <c r="B6" s="3425"/>
      <c r="C6" s="3442"/>
      <c r="D6" s="3461"/>
      <c r="E6" s="135" t="s">
        <v>1715</v>
      </c>
      <c r="F6" s="1893"/>
      <c r="G6" s="1893"/>
      <c r="H6" s="1893"/>
      <c r="I6" s="1507"/>
    </row>
    <row r="7" spans="1:12" ht="12.75">
      <c r="A7" s="3438"/>
      <c r="B7" s="3425"/>
      <c r="C7" s="3443"/>
      <c r="D7" s="3461"/>
      <c r="E7" s="135" t="s">
        <v>1716</v>
      </c>
      <c r="F7" s="1893"/>
      <c r="G7" s="1893"/>
      <c r="H7" s="1893"/>
      <c r="I7" s="1507"/>
    </row>
    <row r="8" spans="1:12" ht="12.75">
      <c r="A8" s="3438" t="s">
        <v>1717</v>
      </c>
      <c r="B8" s="3425">
        <v>15</v>
      </c>
      <c r="C8" s="3441"/>
      <c r="D8" s="3461"/>
      <c r="E8" s="135" t="s">
        <v>1718</v>
      </c>
      <c r="F8" s="1893"/>
      <c r="G8" s="1893"/>
      <c r="H8" s="1893"/>
      <c r="I8" s="1507"/>
    </row>
    <row r="9" spans="1:12" ht="12.75">
      <c r="A9" s="3438"/>
      <c r="B9" s="3425"/>
      <c r="C9" s="3443"/>
      <c r="D9" s="3461"/>
      <c r="E9" s="135" t="s">
        <v>1719</v>
      </c>
      <c r="F9" s="1893"/>
      <c r="G9" s="1893"/>
      <c r="H9" s="1893"/>
      <c r="I9" s="1507"/>
    </row>
    <row r="10" spans="1:12" ht="12.75">
      <c r="A10" s="3438" t="s">
        <v>1720</v>
      </c>
      <c r="B10" s="3425">
        <v>15</v>
      </c>
      <c r="C10" s="3441"/>
      <c r="D10" s="3461"/>
      <c r="E10" s="135" t="s">
        <v>1721</v>
      </c>
      <c r="F10" s="1893"/>
      <c r="G10" s="1893"/>
      <c r="H10" s="1893"/>
      <c r="I10" s="1507"/>
    </row>
    <row r="11" spans="1:12" ht="12.75">
      <c r="A11" s="3438"/>
      <c r="B11" s="3425"/>
      <c r="C11" s="3443"/>
      <c r="D11" s="3461"/>
      <c r="E11" s="135" t="s">
        <v>1722</v>
      </c>
      <c r="F11" s="1893"/>
      <c r="G11" s="1893"/>
      <c r="H11" s="1893"/>
      <c r="I11" s="1507"/>
    </row>
    <row r="12" spans="1:12" ht="12.75">
      <c r="A12" s="3438" t="s">
        <v>1723</v>
      </c>
      <c r="B12" s="3425">
        <v>15</v>
      </c>
      <c r="C12" s="3441"/>
      <c r="D12" s="3461"/>
      <c r="E12" s="135" t="s">
        <v>1724</v>
      </c>
      <c r="F12" s="1893"/>
      <c r="G12" s="1893"/>
      <c r="H12" s="1893"/>
      <c r="I12" s="1507"/>
    </row>
    <row r="13" spans="1:12" ht="12.75">
      <c r="A13" s="3438"/>
      <c r="B13" s="3425"/>
      <c r="C13" s="3443"/>
      <c r="D13" s="3461"/>
      <c r="E13" s="135" t="s">
        <v>1725</v>
      </c>
      <c r="F13" s="1893"/>
      <c r="G13" s="1893"/>
      <c r="H13" s="1893"/>
      <c r="I13" s="1507"/>
    </row>
    <row r="14" spans="1:12" ht="12.75">
      <c r="A14" s="3438" t="s">
        <v>1726</v>
      </c>
      <c r="B14" s="3425">
        <v>30</v>
      </c>
      <c r="C14" s="3441">
        <v>7</v>
      </c>
      <c r="D14" s="3461">
        <f>10-C14</f>
        <v>3</v>
      </c>
      <c r="E14" s="135" t="s">
        <v>1727</v>
      </c>
      <c r="F14" s="1893"/>
      <c r="G14" s="1893"/>
      <c r="H14" s="1893"/>
      <c r="I14" s="1507"/>
    </row>
    <row r="15" spans="1:12" ht="12.75">
      <c r="A15" s="3438"/>
      <c r="B15" s="3425"/>
      <c r="C15" s="3442"/>
      <c r="D15" s="3461"/>
      <c r="E15" s="135" t="s">
        <v>1728</v>
      </c>
      <c r="F15" s="1893"/>
      <c r="G15" s="1893"/>
      <c r="H15" s="1893"/>
      <c r="I15" s="1507"/>
    </row>
    <row r="16" spans="1:12" ht="12.75">
      <c r="A16" s="3438"/>
      <c r="B16" s="3425"/>
      <c r="C16" s="3443"/>
      <c r="D16" s="3461"/>
      <c r="E16" s="135" t="s">
        <v>1729</v>
      </c>
      <c r="F16" s="1893"/>
      <c r="G16" s="1893"/>
      <c r="H16" s="1893"/>
      <c r="I16" s="1507"/>
    </row>
    <row r="17" spans="1:36" ht="15">
      <c r="A17" s="1894" t="s">
        <v>1730</v>
      </c>
      <c r="B17" s="60"/>
      <c r="C17" s="136">
        <f>SUM(C5:C16)</f>
        <v>7</v>
      </c>
      <c r="D17" s="136">
        <f>SUM(D5:D16)</f>
        <v>3</v>
      </c>
      <c r="E17" s="133"/>
      <c r="F17" s="133"/>
      <c r="G17" s="133"/>
      <c r="H17" s="133"/>
      <c r="I17" s="133"/>
      <c r="K17" s="307"/>
      <c r="L17" s="307" t="s">
        <v>1731</v>
      </c>
      <c r="M17" s="307" t="s">
        <v>1732</v>
      </c>
    </row>
    <row r="18" spans="1:36" ht="31.9" customHeight="1" thickBot="1">
      <c r="A18" s="1895" t="s">
        <v>1733</v>
      </c>
      <c r="B18" s="1896"/>
      <c r="C18" s="137">
        <f>ROUND(C17/SUM(C17:D17),2)</f>
        <v>0.7</v>
      </c>
      <c r="D18" s="137">
        <f>1-C18</f>
        <v>0.30000000000000004</v>
      </c>
      <c r="E18" s="3448" t="s">
        <v>2632</v>
      </c>
      <c r="F18" s="3449"/>
      <c r="G18" s="3449"/>
      <c r="H18" s="3449"/>
      <c r="I18" s="3449"/>
      <c r="K18" s="307" t="s">
        <v>1734</v>
      </c>
      <c r="L18" s="307">
        <f>IF(C1="",'数据-汇总表'!E3,SUMIF(项目类型,C1,'数据-汇总表'!E17:E26)+SUMIF(项目类型,C1,'数据-汇总表'!I17:I26))</f>
        <v>6192.7899999999991</v>
      </c>
      <c r="M18" s="307">
        <f>IF(C1="",'数据-汇总表'!E3,SUMIF(项目类型,C1,'数据-汇总表'!E17:E26))</f>
        <v>6192.7899999999991</v>
      </c>
    </row>
    <row r="19" spans="1:36" ht="15">
      <c r="A19" s="1897" t="s">
        <v>1735</v>
      </c>
      <c r="B19" s="1898" t="s">
        <v>1736</v>
      </c>
      <c r="C19" s="138">
        <f ca="1">SUMIF(INDIRECT("'"&amp;C4&amp;"'"&amp;"!A:A"),结果表!B19,INDIRECT("'"&amp;C4&amp;"'"&amp;"!B:B"))</f>
        <v>29185</v>
      </c>
      <c r="D19" s="139">
        <f ca="1">SUMIF(INDIRECT("'"&amp;D4&amp;"'"&amp;"!A:A"),结果表!B19,INDIRECT("'"&amp;D4&amp;"'"&amp;"!B:B"))</f>
        <v>21334</v>
      </c>
      <c r="E19" s="1897" t="s">
        <v>1737</v>
      </c>
      <c r="F19" s="1898" t="s">
        <v>1736</v>
      </c>
      <c r="G19" s="140">
        <f ca="1">ROUND(C19*$C$18+D19*$D$18,0)</f>
        <v>26830</v>
      </c>
      <c r="H19" s="1899" t="s">
        <v>1738</v>
      </c>
      <c r="I19" s="133"/>
      <c r="K19" s="307" t="s">
        <v>1739</v>
      </c>
      <c r="L19" s="307">
        <f>IF(C1="",'数据-汇总表'!D3,SUMIF(项目类型,C1,'数据-汇总表'!D17:D26)+SUMIF(项目类型,C1,'数据-汇总表'!H17:H27))</f>
        <v>801.32</v>
      </c>
      <c r="M19" s="307">
        <f>IF(C1="",'数据-汇总表'!D3,SUMIF(项目类型,C1,'数据-汇总表'!D17:D26))</f>
        <v>801.32</v>
      </c>
    </row>
    <row r="20" spans="1:36" ht="15">
      <c r="A20" s="1900"/>
      <c r="B20" s="1137" t="s">
        <v>1740</v>
      </c>
      <c r="C20" s="141">
        <f ca="1">SUMIF(INDIRECT("'"&amp;C4&amp;"'"&amp;"!A:A"),结果表!B20,INDIRECT("'"&amp;C4&amp;"'"&amp;"!B:B"))</f>
        <v>47127</v>
      </c>
      <c r="D20" s="142">
        <f ca="1">SUMIF(INDIRECT("'"&amp;D4&amp;"'"&amp;"!A:A"),结果表!B20,INDIRECT("'"&amp;D4&amp;"'"&amp;"!B:B"))</f>
        <v>34450</v>
      </c>
      <c r="E20" s="1900"/>
      <c r="F20" s="1137" t="s">
        <v>1740</v>
      </c>
      <c r="G20" s="143">
        <f ca="1">ROUND(C20*$C$18+D20*$D$18,0)</f>
        <v>43324</v>
      </c>
      <c r="H20" s="897" t="s">
        <v>1741</v>
      </c>
      <c r="I20" s="133"/>
    </row>
    <row r="21" spans="1:36" ht="15" customHeight="1" thickBot="1">
      <c r="A21" s="917"/>
      <c r="B21" s="1901" t="s">
        <v>1742</v>
      </c>
      <c r="C21" s="727">
        <f ca="1">ROUND(C19*10000/L19,0)</f>
        <v>364212</v>
      </c>
      <c r="D21" s="728">
        <f ca="1">ROUND(D19*10000/L19,0)</f>
        <v>266236</v>
      </c>
      <c r="E21" s="917"/>
      <c r="F21" s="1901" t="s">
        <v>1742</v>
      </c>
      <c r="G21" s="144">
        <f ca="1">ROUND(G19*10000/L19,0)</f>
        <v>334823</v>
      </c>
      <c r="H21" s="1902" t="s">
        <v>1741</v>
      </c>
      <c r="I21" s="133"/>
      <c r="J21" s="733">
        <v>20550</v>
      </c>
      <c r="K21" s="733">
        <f>J21*L21</f>
        <v>22605.000000000004</v>
      </c>
      <c r="L21" s="733">
        <v>1.1000000000000001</v>
      </c>
    </row>
    <row r="22" spans="1:36" ht="15" thickBot="1">
      <c r="A22" s="1824" t="s">
        <v>1743</v>
      </c>
      <c r="B22" s="1903"/>
      <c r="C22" s="1904"/>
      <c r="D22" s="729">
        <f ca="1">IF(C19&lt;D19,D19/C19-1,C19/D19-1)</f>
        <v>0.36800412487109768</v>
      </c>
      <c r="E22" s="133"/>
      <c r="F22" s="133"/>
      <c r="G22" s="133"/>
      <c r="H22" s="133"/>
      <c r="I22" s="133"/>
      <c r="J22" s="733">
        <f>K21/'数据-汇总表'!F19</f>
        <v>3.6502125859265382</v>
      </c>
    </row>
    <row r="23" spans="1:36" ht="13.5" thickBot="1">
      <c r="A23" s="1883"/>
      <c r="B23" s="1883"/>
      <c r="C23" s="1883"/>
      <c r="D23" s="1883"/>
      <c r="E23" s="133"/>
      <c r="F23" s="133"/>
      <c r="G23" s="133"/>
      <c r="H23" s="133">
        <f ca="1">ROUND(G19*0.95,0)</f>
        <v>25489</v>
      </c>
      <c r="I23" s="133"/>
    </row>
    <row r="24" spans="1:36" ht="14.25">
      <c r="A24" s="3432" t="s">
        <v>1744</v>
      </c>
      <c r="B24" s="1898" t="s">
        <v>1736</v>
      </c>
      <c r="C24" s="140">
        <f>IF(B30=0,0,D30)</f>
        <v>0</v>
      </c>
      <c r="D24" s="1905"/>
      <c r="E24" s="133"/>
      <c r="F24" s="133"/>
      <c r="G24" s="133"/>
      <c r="H24" s="133">
        <f ca="1">ROUND(G19*1.05,0)</f>
        <v>28172</v>
      </c>
      <c r="I24" s="133"/>
    </row>
    <row r="25" spans="1:36" ht="14.25">
      <c r="A25" s="3433"/>
      <c r="B25" s="1137" t="s">
        <v>1740</v>
      </c>
      <c r="C25" s="145">
        <f>IF(B30=0,0,C30)</f>
        <v>0</v>
      </c>
      <c r="D25" s="1906"/>
      <c r="E25" s="133"/>
      <c r="F25" s="133"/>
      <c r="G25" s="133"/>
      <c r="H25" s="133"/>
      <c r="I25" s="133"/>
      <c r="J25" s="733">
        <f ca="1">G19-3600</f>
        <v>23230</v>
      </c>
      <c r="K25" s="733">
        <f ca="1">J25/20500</f>
        <v>1.133170731707317</v>
      </c>
    </row>
    <row r="26" spans="1:36" ht="13.5" customHeight="1">
      <c r="A26" s="1907" t="s">
        <v>1745</v>
      </c>
      <c r="B26" s="146" t="s">
        <v>1746</v>
      </c>
      <c r="C26" s="146" t="s">
        <v>1747</v>
      </c>
      <c r="D26" s="147" t="s">
        <v>1748</v>
      </c>
      <c r="E26" s="133"/>
      <c r="F26" s="133"/>
      <c r="G26" s="133"/>
      <c r="H26" s="133"/>
      <c r="I26" s="133"/>
      <c r="J26" s="733">
        <f>2.05*1.1+0.36</f>
        <v>2.6149999999999998</v>
      </c>
      <c r="K26" s="733" t="s">
        <v>3425</v>
      </c>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43324</v>
      </c>
      <c r="D32" s="1911"/>
      <c r="E32" s="133"/>
      <c r="F32" s="133"/>
      <c r="G32" s="133"/>
      <c r="H32" s="133"/>
      <c r="I32" s="133"/>
    </row>
    <row r="33" spans="1:15" ht="15">
      <c r="A33" s="874" t="s">
        <v>1751</v>
      </c>
      <c r="B33" s="1912"/>
      <c r="C33" s="1913"/>
      <c r="D33" s="1914"/>
      <c r="E33" s="1915" t="s">
        <v>1752</v>
      </c>
      <c r="F33" s="1916" t="str">
        <f>IF(D32="楼面单价","取值（单价）","取值（总价）")</f>
        <v>取值（总价）</v>
      </c>
      <c r="G33" s="133"/>
      <c r="H33" s="133"/>
      <c r="I33" s="133"/>
    </row>
    <row r="34" spans="1:15" ht="15">
      <c r="A34" s="1917"/>
      <c r="B34" s="1918" t="s">
        <v>1753</v>
      </c>
      <c r="C34" s="152"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3"/>
      <c r="H34" s="133"/>
      <c r="I34" s="133"/>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8"/>
      <c r="G35" s="133"/>
      <c r="H35" s="133"/>
      <c r="I35" s="133"/>
    </row>
    <row r="36" spans="1:15" ht="15.75" thickBot="1">
      <c r="A36" s="3452" t="s">
        <v>1757</v>
      </c>
      <c r="B36" s="1923" t="s">
        <v>1758</v>
      </c>
      <c r="C36" s="149"/>
      <c r="D36" s="1924"/>
      <c r="E36" s="1925"/>
      <c r="F36" s="1926"/>
      <c r="G36" s="133"/>
      <c r="H36" s="133"/>
      <c r="I36" s="133"/>
    </row>
    <row r="37" spans="1:15" ht="15.75" thickBot="1">
      <c r="A37" s="3453"/>
      <c r="B37" s="1810" t="s">
        <v>1759</v>
      </c>
      <c r="C37" s="151"/>
      <c r="D37" s="1253"/>
      <c r="E37" s="1253"/>
      <c r="F37" s="1926"/>
      <c r="G37" s="133"/>
      <c r="H37" s="133"/>
      <c r="I37" s="133"/>
    </row>
    <row r="38" spans="1:15" ht="15.75" thickBot="1">
      <c r="A38" s="3454"/>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29" t="s">
        <v>1771</v>
      </c>
      <c r="B45" s="3430"/>
      <c r="C45" s="3431"/>
      <c r="D45" s="159" t="e">
        <f ca="1">ROUND(H101*F45,0)</f>
        <v>#REF!</v>
      </c>
      <c r="E45" s="160" t="s">
        <v>1772</v>
      </c>
      <c r="F45" s="161">
        <v>1</v>
      </c>
      <c r="G45" s="162" t="s">
        <v>1773</v>
      </c>
      <c r="H45" s="133"/>
      <c r="I45" s="133"/>
      <c r="J45" s="3510" t="s">
        <v>1774</v>
      </c>
      <c r="K45" s="3510"/>
      <c r="L45" s="3510"/>
      <c r="M45" s="3510"/>
      <c r="N45" s="3510"/>
      <c r="O45" s="3510"/>
    </row>
    <row r="46" spans="1:15" ht="14.25" customHeight="1">
      <c r="A46" s="3426" t="s">
        <v>1775</v>
      </c>
      <c r="B46" s="3427"/>
      <c r="C46" s="3427"/>
      <c r="D46" s="3427"/>
      <c r="E46" s="3427"/>
      <c r="F46" s="3427"/>
      <c r="G46" s="3428"/>
      <c r="H46" s="1942"/>
      <c r="I46" s="163"/>
      <c r="J46" s="2698">
        <v>1</v>
      </c>
      <c r="K46" s="3491" t="s">
        <v>1776</v>
      </c>
      <c r="L46" s="3491"/>
      <c r="M46" s="3511"/>
      <c r="N46" s="3511"/>
      <c r="O46" s="3511"/>
    </row>
    <row r="47" spans="1:15" ht="12" customHeight="1">
      <c r="A47" s="164" t="s">
        <v>1777</v>
      </c>
      <c r="B47" s="165"/>
      <c r="C47" s="166"/>
      <c r="D47" s="1199" t="s">
        <v>1778</v>
      </c>
      <c r="E47" s="307" t="s">
        <v>1779</v>
      </c>
      <c r="F47" s="167" t="s">
        <v>1780</v>
      </c>
      <c r="G47" s="2721" t="s">
        <v>1781</v>
      </c>
      <c r="H47" s="2722"/>
      <c r="I47" s="163"/>
      <c r="J47" s="2698">
        <v>2</v>
      </c>
      <c r="K47" s="3491" t="s">
        <v>1782</v>
      </c>
      <c r="L47" s="3491"/>
      <c r="M47" s="3512">
        <f>'数据-取费表'!B2</f>
        <v>44820</v>
      </c>
      <c r="N47" s="3512"/>
      <c r="O47" s="3512"/>
    </row>
    <row r="48" spans="1:15" ht="25.5">
      <c r="A48" s="3457" t="s">
        <v>1783</v>
      </c>
      <c r="B48" s="3440"/>
      <c r="C48" s="3440"/>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491" t="s">
        <v>1785</v>
      </c>
      <c r="L48" s="3491"/>
      <c r="M48" s="3513" t="e">
        <f ca="1">H101</f>
        <v>#REF!</v>
      </c>
      <c r="N48" s="3513"/>
      <c r="O48" s="3513"/>
    </row>
    <row r="49" spans="1:35" ht="25.5" customHeight="1">
      <c r="A49" s="2506" t="s">
        <v>1786</v>
      </c>
      <c r="B49" s="3424" t="s">
        <v>1787</v>
      </c>
      <c r="C49" s="3424"/>
      <c r="D49" s="1725">
        <v>0</v>
      </c>
      <c r="E49" s="329" t="s">
        <v>1788</v>
      </c>
      <c r="F49" s="2599" t="s">
        <v>34</v>
      </c>
      <c r="G49" s="3497"/>
      <c r="H49" s="2478" t="s">
        <v>2635</v>
      </c>
      <c r="I49" s="2479"/>
      <c r="J49" s="2698">
        <v>4</v>
      </c>
      <c r="K49" s="3491" t="str">
        <f>IF(项目基本情况!E8="房地产抵押价值","房地产抵押价值","抵押担保权已注销时的房地产抵押价值")</f>
        <v>抵押担保权已注销时的房地产抵押价值</v>
      </c>
      <c r="L49" s="3491"/>
      <c r="M49" s="3513" t="str">
        <f>IF(项目基本情况!E8="房地产抵押价值",H107,H109)</f>
        <v>——</v>
      </c>
      <c r="N49" s="3513"/>
      <c r="O49" s="3513"/>
    </row>
    <row r="50" spans="1:35" ht="25.5" customHeight="1">
      <c r="A50" s="2726"/>
      <c r="B50" s="3424" t="s">
        <v>1789</v>
      </c>
      <c r="C50" s="3424"/>
      <c r="D50" s="2727"/>
      <c r="E50" s="337"/>
      <c r="F50" s="2599"/>
      <c r="G50" s="3498"/>
      <c r="H50" s="2480" t="s">
        <v>2636</v>
      </c>
      <c r="I50" s="2479"/>
      <c r="J50" s="3510" t="s">
        <v>1790</v>
      </c>
      <c r="K50" s="3510"/>
      <c r="L50" s="3510"/>
      <c r="M50" s="3510"/>
      <c r="N50" s="3510"/>
      <c r="O50" s="3510"/>
    </row>
    <row r="51" spans="1:35" ht="20.45" customHeight="1">
      <c r="A51" s="2728"/>
      <c r="B51" s="3424" t="s">
        <v>1791</v>
      </c>
      <c r="C51" s="3424"/>
      <c r="D51" s="1199"/>
      <c r="E51" s="332"/>
      <c r="F51" s="2599"/>
      <c r="G51" s="3499"/>
      <c r="H51" s="2480" t="s">
        <v>2637</v>
      </c>
      <c r="I51" s="2479"/>
      <c r="J51" s="2699" t="s">
        <v>1792</v>
      </c>
      <c r="K51" s="3491" t="s">
        <v>1793</v>
      </c>
      <c r="L51" s="3491"/>
      <c r="M51" s="2699" t="s">
        <v>1794</v>
      </c>
      <c r="N51" s="2699" t="s">
        <v>1795</v>
      </c>
      <c r="O51" s="2699" t="s">
        <v>1796</v>
      </c>
    </row>
    <row r="52" spans="1:35" ht="24" customHeight="1">
      <c r="A52" s="2508" t="s">
        <v>1797</v>
      </c>
      <c r="B52" s="3424" t="s">
        <v>1798</v>
      </c>
      <c r="C52" s="3424"/>
      <c r="D52" s="1199" t="e">
        <f ca="1">ROUND(D45*'数据-取费表'!B41/(1+'数据-取费表'!C42),0)</f>
        <v>#REF!</v>
      </c>
      <c r="E52" s="2507" t="s">
        <v>1799</v>
      </c>
      <c r="F52" s="2729">
        <f>'数据-取费表'!B41</f>
        <v>5.6000000000000001E-2</v>
      </c>
      <c r="G52" s="2730"/>
      <c r="H52" s="2719"/>
      <c r="I52" s="1943"/>
      <c r="J52" s="2698">
        <v>1</v>
      </c>
      <c r="K52" s="3492" t="s">
        <v>1800</v>
      </c>
      <c r="L52" s="3492"/>
      <c r="M52" s="2700" t="b">
        <f>D48</f>
        <v>0</v>
      </c>
      <c r="N52" s="2698" t="str">
        <f>E48</f>
        <v>销售额×税（费）率</v>
      </c>
      <c r="O52" s="2701">
        <f>F48</f>
        <v>5.6000000000000001E-2</v>
      </c>
    </row>
    <row r="53" spans="1:35" ht="12" customHeight="1">
      <c r="A53" s="2508" t="s">
        <v>1801</v>
      </c>
      <c r="B53" s="3450" t="s">
        <v>2790</v>
      </c>
      <c r="C53" s="3451"/>
      <c r="D53" s="1199" t="e">
        <f ca="1">ROUND(D45*'数据-取费表'!B41/(1+'数据-取费表'!C42),0)</f>
        <v>#REF!</v>
      </c>
      <c r="E53" s="2507" t="s">
        <v>1799</v>
      </c>
      <c r="F53" s="2729">
        <f>'数据-取费表'!B41</f>
        <v>5.6000000000000001E-2</v>
      </c>
      <c r="G53" s="2730"/>
      <c r="H53" s="2719"/>
      <c r="I53" s="1943"/>
      <c r="J53" s="2698">
        <v>2</v>
      </c>
      <c r="K53" s="3492" t="s">
        <v>1802</v>
      </c>
      <c r="L53" s="3492"/>
      <c r="M53" s="2700" t="e">
        <f t="shared" ref="M53:O54" ca="1" si="0">D55</f>
        <v>#REF!</v>
      </c>
      <c r="N53" s="2698" t="str">
        <f t="shared" si="0"/>
        <v>销售额×税（费）率</v>
      </c>
      <c r="O53" s="2701" t="str">
        <f t="shared" si="0"/>
        <v>免征</v>
      </c>
    </row>
    <row r="54" spans="1:35" ht="12" customHeight="1">
      <c r="A54" s="2508" t="s">
        <v>1803</v>
      </c>
      <c r="B54" s="3450" t="s">
        <v>2791</v>
      </c>
      <c r="C54" s="3451"/>
      <c r="D54" s="1199" t="e">
        <f ca="1">C68</f>
        <v>#REF!</v>
      </c>
      <c r="E54" s="332" t="s">
        <v>1804</v>
      </c>
      <c r="F54" s="2729">
        <f>'数据-取费表'!B41</f>
        <v>5.6000000000000001E-2</v>
      </c>
      <c r="G54" s="2730"/>
      <c r="H54" s="2731"/>
      <c r="I54" s="1943"/>
      <c r="J54" s="2698">
        <v>3</v>
      </c>
      <c r="K54" s="3492" t="s">
        <v>1805</v>
      </c>
      <c r="L54" s="3492"/>
      <c r="M54" s="2700" t="e">
        <f t="shared" ca="1" si="0"/>
        <v>#REF!</v>
      </c>
      <c r="N54" s="2698" t="str">
        <f t="shared" si="0"/>
        <v>增值额×税（费）率</v>
      </c>
      <c r="O54" s="2702" t="str">
        <f t="shared" si="0"/>
        <v>免征</v>
      </c>
    </row>
    <row r="55" spans="1:35" ht="24" customHeight="1">
      <c r="A55" s="3439" t="s">
        <v>1806</v>
      </c>
      <c r="B55" s="3440"/>
      <c r="C55" s="3440"/>
      <c r="D55" s="2497" t="e">
        <f ca="1">IF(H55="个人住宅",0,ROUND(D45*I55,0))</f>
        <v>#REF!</v>
      </c>
      <c r="E55" s="2507" t="s">
        <v>1807</v>
      </c>
      <c r="F55" s="2729" t="str">
        <f>IF(H55="正常",I55,"免征")</f>
        <v>免征</v>
      </c>
      <c r="G55" s="2730"/>
      <c r="H55" s="2725"/>
      <c r="I55" s="169">
        <f>'数据-取费表'!B49</f>
        <v>5.0000000000000001E-4</v>
      </c>
      <c r="J55" s="2698">
        <f>IF(H59="非个人房产","",4)</f>
        <v>4</v>
      </c>
      <c r="K55" s="3492" t="str">
        <f>IF(H59="非个人房产","——","个人所得税")</f>
        <v>个人所得税</v>
      </c>
      <c r="L55" s="3492"/>
      <c r="M55" s="2703" t="e">
        <f ca="1">D59</f>
        <v>#REF!</v>
      </c>
      <c r="N55" s="2178" t="str">
        <f>E59</f>
        <v>差额计税</v>
      </c>
      <c r="O55" s="2704">
        <f>F59</f>
        <v>0.01</v>
      </c>
    </row>
    <row r="56" spans="1:35" ht="24.75">
      <c r="A56" s="3439" t="s">
        <v>1808</v>
      </c>
      <c r="B56" s="3440"/>
      <c r="C56" s="3440"/>
      <c r="D56" s="2497" t="e">
        <f ca="1">IF(H56="个人住宅",D57,D58)</f>
        <v>#REF!</v>
      </c>
      <c r="E56" s="2507" t="s">
        <v>1809</v>
      </c>
      <c r="F56" s="2729" t="str">
        <f>IF(H56="正常",F58,"免征")</f>
        <v>免征</v>
      </c>
      <c r="G56" s="2732" t="s">
        <v>1810</v>
      </c>
      <c r="H56" s="2733"/>
      <c r="I56" s="1944"/>
      <c r="J56" s="2698" t="str">
        <f>IF(项目基本情况!K6="上海银行",IF(J55="",4,J55+1),"")</f>
        <v/>
      </c>
      <c r="K56" s="3515" t="str">
        <f>IF(项目基本情况!K6="上海银行","其他处置费用","")</f>
        <v/>
      </c>
      <c r="L56" s="3516"/>
      <c r="M56" s="2700" t="str">
        <f>IF(项目基本情况!K6="上海银行",M69,"")</f>
        <v/>
      </c>
      <c r="N56" s="3515" t="str">
        <f>IF(项目基本情况!K6="上海银行","包含处置中涉及的律师、诉讼、拍卖、评估等费用","")</f>
        <v/>
      </c>
      <c r="O56" s="3518"/>
    </row>
    <row r="57" spans="1:35" ht="12.75">
      <c r="A57" s="2508" t="s">
        <v>1786</v>
      </c>
      <c r="B57" s="3450" t="s">
        <v>1811</v>
      </c>
      <c r="C57" s="3451"/>
      <c r="D57" s="1725">
        <v>0</v>
      </c>
      <c r="E57" s="329" t="s">
        <v>1788</v>
      </c>
      <c r="F57" s="307"/>
      <c r="G57" s="2730"/>
      <c r="H57" s="2734"/>
      <c r="I57" s="1944"/>
      <c r="J57" s="3492">
        <f>IF(AND(J55="",J56=""),4,IF(项目基本情况!K6="上海银行",结果表!J56+1,结果表!J55+1))</f>
        <v>5</v>
      </c>
      <c r="K57" s="3492" t="s">
        <v>1812</v>
      </c>
      <c r="L57" s="2705" t="s">
        <v>1813</v>
      </c>
      <c r="M57" s="2706"/>
      <c r="N57" s="2707">
        <f ca="1">SUMIF(M52:M56,"&lt;9e307")</f>
        <v>0</v>
      </c>
      <c r="O57" s="2708"/>
      <c r="P57" s="2868" t="e">
        <f ca="1">N57/M49</f>
        <v>#VALUE!</v>
      </c>
    </row>
    <row r="58" spans="1:35" ht="24.75">
      <c r="A58" s="2508" t="s">
        <v>1797</v>
      </c>
      <c r="B58" s="3450" t="s">
        <v>1814</v>
      </c>
      <c r="C58" s="3424"/>
      <c r="D58" s="2497" t="e">
        <f ca="1">IF(H58="转让取得",C81,C97)</f>
        <v>#REF!</v>
      </c>
      <c r="E58" s="2507" t="s">
        <v>1809</v>
      </c>
      <c r="F58" s="307" t="s">
        <v>34</v>
      </c>
      <c r="G58" s="2730"/>
      <c r="H58" s="2733"/>
      <c r="I58" s="1944"/>
      <c r="J58" s="3492"/>
      <c r="K58" s="3492"/>
      <c r="L58" s="2705" t="s">
        <v>1815</v>
      </c>
      <c r="M58" s="2709"/>
      <c r="N58" s="2710" t="str">
        <f ca="1">NUMBERSTRING(INT(N57*10000),2)&amp;"元整"</f>
        <v>零元整</v>
      </c>
      <c r="O58" s="2711"/>
    </row>
    <row r="59" spans="1:35" ht="24.75" thickBot="1">
      <c r="A59" s="3495" t="s">
        <v>1816</v>
      </c>
      <c r="B59" s="3496"/>
      <c r="C59" s="3496"/>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493">
        <f>J57+1</f>
        <v>6</v>
      </c>
      <c r="K59" s="3492" t="s">
        <v>1817</v>
      </c>
      <c r="L59" s="2698" t="s">
        <v>1813</v>
      </c>
      <c r="M59" s="2712"/>
      <c r="N59" s="2713" t="e">
        <f ca="1">M49-N57</f>
        <v>#VALUE!</v>
      </c>
      <c r="O59" s="2714"/>
    </row>
    <row r="60" spans="1:35" ht="12" customHeight="1">
      <c r="A60" s="1945"/>
      <c r="B60" s="1883"/>
      <c r="C60" s="1883"/>
      <c r="D60" s="1883"/>
      <c r="E60" s="1713"/>
      <c r="F60" s="1944"/>
      <c r="G60" s="1944"/>
      <c r="H60" s="1946"/>
      <c r="I60" s="133"/>
      <c r="J60" s="3494"/>
      <c r="K60" s="3492"/>
      <c r="L60" s="2705" t="s">
        <v>1815</v>
      </c>
      <c r="M60" s="2709"/>
      <c r="N60" s="2710" t="e">
        <f ca="1">NUMBERSTRING(INT(N59*10000),2)&amp;"元整"</f>
        <v>#VALUE!</v>
      </c>
      <c r="O60" s="2711"/>
    </row>
    <row r="61" spans="1:35" ht="13.5" thickBot="1">
      <c r="A61" s="3437" t="s">
        <v>1818</v>
      </c>
      <c r="B61" s="3437"/>
      <c r="C61" s="3437"/>
      <c r="D61" s="3437"/>
      <c r="E61" s="3437"/>
      <c r="F61" s="1944"/>
      <c r="G61" s="1944"/>
      <c r="H61" s="1946"/>
      <c r="I61" s="133"/>
      <c r="J61" s="2698">
        <f>J59+1</f>
        <v>7</v>
      </c>
      <c r="K61" s="3492" t="s">
        <v>1819</v>
      </c>
      <c r="L61" s="3492"/>
      <c r="M61" s="2715"/>
      <c r="N61" s="2716" t="e">
        <f ca="1">ROUND(N59*10000/'数据-汇总表'!E3,0)</f>
        <v>#VALUE!</v>
      </c>
      <c r="O61" s="2717"/>
    </row>
    <row r="62" spans="1:35" ht="12.75">
      <c r="A62" s="3455" t="s">
        <v>1820</v>
      </c>
      <c r="B62" s="3456"/>
      <c r="C62" s="2159"/>
      <c r="D62" s="2159" t="s">
        <v>1821</v>
      </c>
      <c r="E62" s="170" t="s">
        <v>1822</v>
      </c>
      <c r="F62" s="1944"/>
      <c r="G62" s="1944"/>
      <c r="H62" s="1946"/>
      <c r="I62" s="133"/>
    </row>
    <row r="63" spans="1:35" ht="12.75">
      <c r="A63" s="177" t="s">
        <v>594</v>
      </c>
      <c r="B63" s="171" t="s">
        <v>1823</v>
      </c>
      <c r="C63" s="2739" t="e">
        <f ca="1">ROUND((C64+C65)/(1+'数据-取费表'!C42),0)</f>
        <v>#REF!</v>
      </c>
      <c r="D63" s="171"/>
      <c r="E63" s="172"/>
      <c r="F63" s="1944"/>
      <c r="G63" s="1944"/>
      <c r="H63" s="1946"/>
      <c r="I63" s="133"/>
      <c r="J63" s="3517" t="s">
        <v>1824</v>
      </c>
      <c r="K63" s="1452" t="s">
        <v>1825</v>
      </c>
      <c r="L63" s="1452" t="e">
        <f>IF(M49&gt;10000,M49*0.5%,IF(AND(M49&gt;1000,M49&lt;=10000),M49*1%,IF(AND(M49&gt;100,M49&lt;=1000),M49*3%,IF(AND(M49&gt;10,M49&lt;=100),M49*5%,M49*8%))))</f>
        <v>#VALUE!</v>
      </c>
      <c r="M63" s="307" t="e">
        <f>ROUND(L63,1)</f>
        <v>#VALUE!</v>
      </c>
      <c r="N63" s="2718"/>
      <c r="Z63" s="1888"/>
      <c r="AI63" s="1889"/>
    </row>
    <row r="64" spans="1:35" ht="14.25" customHeight="1">
      <c r="A64" s="173" t="s">
        <v>589</v>
      </c>
      <c r="B64" s="174" t="s">
        <v>1826</v>
      </c>
      <c r="C64" s="2740" t="e">
        <f ca="1">D45</f>
        <v>#REF!</v>
      </c>
      <c r="D64" s="174" t="s">
        <v>32</v>
      </c>
      <c r="E64" s="176"/>
      <c r="F64" s="1944"/>
      <c r="G64" s="1944"/>
      <c r="H64" s="1946"/>
      <c r="I64" s="133"/>
      <c r="J64" s="3517"/>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9" t="s">
        <v>1828</v>
      </c>
      <c r="Z64" s="1888"/>
      <c r="AI64" s="1889"/>
    </row>
    <row r="65" spans="1:35" ht="14.25" customHeight="1">
      <c r="A65" s="173" t="s">
        <v>590</v>
      </c>
      <c r="B65" s="174" t="s">
        <v>1829</v>
      </c>
      <c r="C65" s="2741"/>
      <c r="D65" s="174"/>
      <c r="E65" s="176"/>
      <c r="F65" s="1944"/>
      <c r="G65" s="1944"/>
      <c r="H65" s="1946"/>
      <c r="I65" s="133"/>
      <c r="J65" s="3517"/>
      <c r="K65" s="1452" t="s">
        <v>1830</v>
      </c>
      <c r="L65" s="1452" t="e">
        <f>IF(M49&gt;1000,M49*0.1%,IF(AND(M49&gt;500,M49&lt;=1000),M49*0.5%,IF(AND(M49&gt;50,M49&lt;=500),M49*1%,IF(AND(M49&gt;1,M49&lt;=50),M49*1.5%))))</f>
        <v>#VALUE!</v>
      </c>
      <c r="M65" s="307" t="e">
        <f t="shared" si="1"/>
        <v>#VALUE!</v>
      </c>
      <c r="N65" s="2719" t="s">
        <v>1828</v>
      </c>
      <c r="Z65" s="1888"/>
      <c r="AI65" s="1889"/>
    </row>
    <row r="66" spans="1:35" ht="14.25" customHeight="1">
      <c r="A66" s="177" t="s">
        <v>591</v>
      </c>
      <c r="B66" s="178" t="s">
        <v>1831</v>
      </c>
      <c r="C66" s="2742"/>
      <c r="D66" s="178" t="s">
        <v>32</v>
      </c>
      <c r="E66" s="1459" t="s">
        <v>1096</v>
      </c>
      <c r="F66" s="1944"/>
      <c r="G66" s="1944"/>
      <c r="H66" s="1946"/>
      <c r="I66" s="133"/>
      <c r="J66" s="3517"/>
      <c r="K66" s="1452" t="s">
        <v>1832</v>
      </c>
      <c r="L66" s="1452" t="e">
        <f>M49*0.5%</f>
        <v>#VALUE!</v>
      </c>
      <c r="M66" s="307" t="e">
        <f>IF(L66&gt;0.5,0.5,ROUND(L66,0))</f>
        <v>#VALUE!</v>
      </c>
      <c r="N66" s="2719" t="s">
        <v>1833</v>
      </c>
      <c r="Z66" s="1888"/>
      <c r="AI66" s="1889"/>
    </row>
    <row r="67" spans="1:35" ht="14.25" customHeight="1">
      <c r="A67" s="177" t="s">
        <v>592</v>
      </c>
      <c r="B67" s="178" t="s">
        <v>1834</v>
      </c>
      <c r="C67" s="2743" t="e">
        <f ca="1">C63-C66</f>
        <v>#REF!</v>
      </c>
      <c r="D67" s="174" t="s">
        <v>32</v>
      </c>
      <c r="E67" s="176"/>
      <c r="F67" s="1944"/>
      <c r="G67" s="1944"/>
      <c r="H67" s="1946"/>
      <c r="I67" s="133"/>
      <c r="J67" s="3517"/>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8"/>
      <c r="Z67" s="1888"/>
      <c r="AI67" s="1889"/>
    </row>
    <row r="68" spans="1:35" ht="14.25" customHeight="1" thickBot="1">
      <c r="A68" s="180" t="s">
        <v>593</v>
      </c>
      <c r="B68" s="181" t="s">
        <v>1836</v>
      </c>
      <c r="C68" s="2744" t="e">
        <f ca="1">IF(C67&lt;=0,0,ROUND(C67*D68,0))</f>
        <v>#REF!</v>
      </c>
      <c r="D68" s="2745">
        <f>'数据-取费表'!B41</f>
        <v>5.6000000000000001E-2</v>
      </c>
      <c r="E68" s="183"/>
      <c r="F68" s="1944"/>
      <c r="G68" s="1944"/>
      <c r="H68" s="1946"/>
      <c r="I68" s="133"/>
      <c r="J68" s="3517"/>
      <c r="K68" s="1452" t="s">
        <v>1837</v>
      </c>
      <c r="L68" s="1452" t="e">
        <f>IF(M49&gt;10000,M49*0.5%,IF(AND(M49&gt;5000,M49&lt;=10000),M49*1%,IF(AND(M49&gt;1000,M49&lt;=5000),M49*2%,IF(AND(M49&gt;200,M49&lt;=1000),M49*3%,M49*5%))))</f>
        <v>#VALUE!</v>
      </c>
      <c r="M68" s="307" t="e">
        <f>ROUND(L68,1)</f>
        <v>#VALUE!</v>
      </c>
      <c r="N68" s="2718"/>
      <c r="Z68" s="1888"/>
      <c r="AI68" s="1889"/>
    </row>
    <row r="69" spans="1:35" s="1908" customFormat="1" ht="16.5" customHeight="1">
      <c r="A69" s="1947"/>
      <c r="B69" s="1948"/>
      <c r="C69" s="1949"/>
      <c r="D69" s="1950"/>
      <c r="E69" s="1951"/>
      <c r="F69" s="1713"/>
      <c r="G69" s="1713"/>
      <c r="H69" s="1712"/>
      <c r="I69" s="1883"/>
      <c r="J69" s="3517"/>
      <c r="K69" s="1452" t="s">
        <v>1838</v>
      </c>
      <c r="L69" s="1452"/>
      <c r="M69" s="307"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476" t="s">
        <v>1839</v>
      </c>
      <c r="B70" s="3477"/>
      <c r="C70" s="3477"/>
      <c r="D70" s="3477"/>
      <c r="E70" s="3477"/>
      <c r="F70" s="3477"/>
      <c r="G70" s="3477"/>
      <c r="H70" s="3477"/>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55" t="s">
        <v>1820</v>
      </c>
      <c r="B71" s="3456"/>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t="e">
        <f ca="1">ROUND(D45/(1+'数据-取费表'!C42),0)</f>
        <v>#REF!</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t="e">
        <f ca="1">C74+C78</f>
        <v>#REF!</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450" t="s">
        <v>1847</v>
      </c>
      <c r="F76" s="3424"/>
      <c r="G76" s="3424"/>
      <c r="H76" s="3475"/>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t="e">
        <f ca="1">ROUND(D45*D78/(1+'数据-取费表'!C42),0)</f>
        <v>#REF!</v>
      </c>
      <c r="D78" s="2752">
        <f>'数据-取费表'!B43</f>
        <v>6.000000000000001E-3</v>
      </c>
      <c r="E78" s="3434" t="s">
        <v>1851</v>
      </c>
      <c r="F78" s="3435"/>
      <c r="G78" s="3435"/>
      <c r="H78" s="3444"/>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t="e">
        <f ca="1">C72-C73</f>
        <v>#REF!</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t="e">
        <f ca="1">IF(C79&lt;=0,0,C79/C73)</f>
        <v>#REF!</v>
      </c>
      <c r="D80" s="174"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t="e">
        <f ca="1">ROUND(IF(C79&lt;=0,0,IF(C80&gt;=200%,C79*60%-C73*35%,IF(C80&gt;=100%,C79*50%-C73*15%,IF(C80&gt;=50%,C79*40%-C73*5%,IF(C80&lt;50%,C79*30%,0))))),0)</f>
        <v>#REF!</v>
      </c>
      <c r="D81" s="275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76" t="s">
        <v>1855</v>
      </c>
      <c r="B83" s="3477"/>
      <c r="C83" s="3477"/>
      <c r="D83" s="3477"/>
      <c r="E83" s="3477"/>
      <c r="F83" s="3477"/>
      <c r="G83" s="3477"/>
      <c r="H83" s="3477"/>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55" t="s">
        <v>1820</v>
      </c>
      <c r="B84" s="3456"/>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t="e">
        <f ca="1">ROUND(D45/(1+'数据-取费表'!C42),0)</f>
        <v>#REF!</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t="e">
        <f ca="1">IF(H88="仅含出让金",C87+C90+C91+C92+C93+C94,C87+C91+C92+C93+C94)</f>
        <v>#REF!</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519" t="s">
        <v>2630</v>
      </c>
      <c r="H90" s="3520"/>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434" t="s">
        <v>1864</v>
      </c>
      <c r="F91" s="3435"/>
      <c r="G91" s="3435"/>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434" t="s">
        <v>1867</v>
      </c>
      <c r="F92" s="3435"/>
      <c r="G92" s="3435"/>
      <c r="H92" s="3444"/>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t="e">
        <f ca="1">ROUND(D45*D93/(1+'数据-取费表'!C42),0)</f>
        <v>#REF!</v>
      </c>
      <c r="D93" s="2752">
        <f>'数据-取费表'!B43</f>
        <v>6.000000000000001E-3</v>
      </c>
      <c r="E93" s="3434" t="s">
        <v>1851</v>
      </c>
      <c r="F93" s="3435"/>
      <c r="G93" s="3435"/>
      <c r="H93" s="3444"/>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445" t="s">
        <v>1871</v>
      </c>
      <c r="F94" s="3446"/>
      <c r="G94" s="3446"/>
      <c r="H94" s="3447"/>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t="e">
        <f ca="1">ROUND(C85-C86,0)</f>
        <v>#REF!</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t="e">
        <f ca="1">IF(C95&lt;=0,0,C95/C86)</f>
        <v>#REF!</v>
      </c>
      <c r="D96" s="174"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t="e">
        <f ca="1">ROUND(IF(C95&lt;=0,0,IF(C96&gt;=200%,C95*60%-C86*35%,IF(C96&gt;=100%,C95*50%-C86*15%,IF(C96&gt;=50%,C95*40%-C86*5%,IF(C96&lt;50%,C95*30%,0))))),0)</f>
        <v>#REF!</v>
      </c>
      <c r="D97" s="275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418" t="s">
        <v>1873</v>
      </c>
      <c r="B100" s="3419"/>
      <c r="C100" s="3419"/>
      <c r="D100" s="3436"/>
      <c r="E100" s="3419" t="s">
        <v>1874</v>
      </c>
      <c r="F100" s="3419"/>
      <c r="G100" s="3419"/>
      <c r="H100" s="3436"/>
      <c r="I100" s="133"/>
    </row>
    <row r="101" spans="1:35" ht="18.75" customHeight="1">
      <c r="A101" s="3500" t="s">
        <v>1875</v>
      </c>
      <c r="B101" s="3501"/>
      <c r="C101" s="2760" t="str">
        <f>C4</f>
        <v>比较法-办公大宗</v>
      </c>
      <c r="D101" s="2761" t="str">
        <f>D4</f>
        <v>收益法</v>
      </c>
      <c r="E101" s="3514" t="s">
        <v>1876</v>
      </c>
      <c r="F101" s="3468"/>
      <c r="G101" s="1963" t="s">
        <v>1877</v>
      </c>
      <c r="H101" s="2770" t="e">
        <f ca="1">H118</f>
        <v>#REF!</v>
      </c>
      <c r="I101" s="133"/>
    </row>
    <row r="102" spans="1:35" ht="18.75" customHeight="1">
      <c r="A102" s="3470" t="s">
        <v>1878</v>
      </c>
      <c r="B102" s="2759" t="s">
        <v>1877</v>
      </c>
      <c r="C102" s="2760">
        <f ca="1">C19</f>
        <v>29185</v>
      </c>
      <c r="D102" s="2761">
        <f ca="1">D19</f>
        <v>21334</v>
      </c>
      <c r="E102" s="3514"/>
      <c r="F102" s="3468"/>
      <c r="G102" s="1963" t="s">
        <v>1879</v>
      </c>
      <c r="H102" s="2730" t="e">
        <f ca="1">I118</f>
        <v>#REF!</v>
      </c>
      <c r="I102" s="133"/>
    </row>
    <row r="103" spans="1:35" ht="42.75" customHeight="1">
      <c r="A103" s="3470"/>
      <c r="B103" s="2759" t="s">
        <v>1879</v>
      </c>
      <c r="C103" s="2762">
        <f ca="1">C20</f>
        <v>47127</v>
      </c>
      <c r="D103" s="2763">
        <f ca="1">D20</f>
        <v>34450</v>
      </c>
      <c r="E103" s="3508" t="s">
        <v>1880</v>
      </c>
      <c r="F103" s="3509"/>
      <c r="G103" s="1964" t="s">
        <v>1881</v>
      </c>
      <c r="H103" s="2770">
        <f>IF(D36="正常操作",H104+H105+H106,H105+H106)</f>
        <v>0</v>
      </c>
      <c r="I103" s="133"/>
    </row>
    <row r="104" spans="1:35" ht="18.75" customHeight="1">
      <c r="A104" s="3470" t="s">
        <v>1882</v>
      </c>
      <c r="B104" s="2764" t="s">
        <v>1877</v>
      </c>
      <c r="C104" s="2765" t="e">
        <f ca="1">H118</f>
        <v>#REF!</v>
      </c>
      <c r="D104" s="2766"/>
      <c r="E104" s="1810" t="s">
        <v>1883</v>
      </c>
      <c r="F104" s="1801"/>
      <c r="G104" s="1964" t="s">
        <v>1881</v>
      </c>
      <c r="H104" s="2771">
        <f>IF(D36="同一抵押权人同一抵押物续贷",C36&amp;"（续贷，未扣减，详见特别提示）",C36)</f>
        <v>0</v>
      </c>
      <c r="I104" s="133"/>
    </row>
    <row r="105" spans="1:35" ht="18.75" customHeight="1" thickBot="1">
      <c r="A105" s="3471"/>
      <c r="B105" s="2767" t="s">
        <v>1879</v>
      </c>
      <c r="C105" s="2768" t="e">
        <f ca="1">I118</f>
        <v>#REF!</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467" t="str">
        <f>IF(项目基本情况!E8="已注销","——","3.房地产抵押价值")</f>
        <v>3.房地产抵押价值</v>
      </c>
      <c r="F107" s="3468"/>
      <c r="G107" s="1963" t="s">
        <v>1877</v>
      </c>
      <c r="H107" s="2770" t="e">
        <f ca="1">IF(E107="——","——",H101-H103)</f>
        <v>#REF!</v>
      </c>
      <c r="I107" s="133"/>
    </row>
    <row r="108" spans="1:35" ht="18.75" customHeight="1">
      <c r="A108" s="133"/>
      <c r="B108" s="133"/>
      <c r="C108" s="133"/>
      <c r="D108" s="133"/>
      <c r="E108" s="3467"/>
      <c r="F108" s="3468"/>
      <c r="G108" s="1963" t="s">
        <v>1879</v>
      </c>
      <c r="H108" s="2730" t="e">
        <f ca="1">ROUND(H107*10000/'数据-汇总表'!E3,0)</f>
        <v>#REF!</v>
      </c>
      <c r="I108" s="133"/>
    </row>
    <row r="109" spans="1:35" ht="18.75" customHeight="1">
      <c r="A109" s="133"/>
      <c r="B109" s="133"/>
      <c r="C109" s="133"/>
      <c r="D109" s="133"/>
      <c r="E109" s="3467" t="str">
        <f>IF(项目基本情况!E8="已注销及未注销","4.抵押担保权已注销时的房地产抵押价值",IF(项目基本情况!E8="已注销","3.抵押担保权已注销时的房地产抵押价值","——"))</f>
        <v>——</v>
      </c>
      <c r="F109" s="3468"/>
      <c r="G109" s="1963" t="s">
        <v>1877</v>
      </c>
      <c r="H109" s="2773" t="str">
        <f>IF(E109="——","——",H101-H105-H106)</f>
        <v>——</v>
      </c>
      <c r="I109" s="133"/>
    </row>
    <row r="110" spans="1:35" ht="18.75" customHeight="1">
      <c r="A110" s="133"/>
      <c r="B110" s="133"/>
      <c r="C110" s="133"/>
      <c r="D110" s="133"/>
      <c r="E110" s="3467"/>
      <c r="F110" s="3468"/>
      <c r="G110" s="1963" t="s">
        <v>1879</v>
      </c>
      <c r="H110" s="2730" t="str">
        <f>IF(H109="——","——",ROUND(H109*10000/'数据-汇总表'!E3,0))</f>
        <v>——</v>
      </c>
      <c r="I110" s="133"/>
    </row>
    <row r="111" spans="1:35" ht="18.75" customHeight="1">
      <c r="A111" s="133"/>
      <c r="B111" s="133"/>
      <c r="C111" s="133"/>
      <c r="D111" s="133"/>
      <c r="E111" s="3502" t="str">
        <f>IF(项目基本情况!E9="抵押净值",IF(OR(项目基本情况!E8="已注销",项目基本情况!E8="房地产抵押价值"),"4.抵押净值","5.抵押净值"),"——")</f>
        <v>——</v>
      </c>
      <c r="F111" s="3469"/>
      <c r="G111" s="1963" t="s">
        <v>1877</v>
      </c>
      <c r="H111" s="2770" t="str">
        <f>IF(E111="——","——",N59)</f>
        <v>——</v>
      </c>
      <c r="I111" s="133"/>
    </row>
    <row r="112" spans="1:35" ht="18.75" customHeight="1" thickBot="1">
      <c r="A112" s="133"/>
      <c r="B112" s="133"/>
      <c r="C112" s="133"/>
      <c r="D112" s="133"/>
      <c r="E112" s="3503"/>
      <c r="F112" s="3504"/>
      <c r="G112" s="1966" t="s">
        <v>1879</v>
      </c>
      <c r="H112" s="2774" t="str">
        <f>IF(E111="——","——",N61)</f>
        <v>——</v>
      </c>
      <c r="I112" s="133"/>
    </row>
    <row r="113" spans="1:27" ht="18.75" customHeight="1">
      <c r="A113" s="133"/>
      <c r="B113" s="133"/>
      <c r="C113" s="133"/>
      <c r="D113" s="133"/>
      <c r="E113" s="3472" t="s">
        <v>1885</v>
      </c>
      <c r="F113" s="3472"/>
      <c r="G113" s="3472"/>
      <c r="H113" s="3472"/>
      <c r="I113" s="133"/>
    </row>
    <row r="114" spans="1:27" ht="3.75" customHeight="1">
      <c r="A114" s="1883"/>
      <c r="B114" s="1883"/>
      <c r="C114" s="1883"/>
      <c r="D114" s="1883"/>
      <c r="E114" s="1945"/>
      <c r="F114" s="1945"/>
      <c r="G114" s="1945"/>
      <c r="H114" s="1945"/>
      <c r="I114" s="1883"/>
    </row>
    <row r="115" spans="1:27" ht="18.75" customHeight="1">
      <c r="A115" s="3485" t="s">
        <v>1887</v>
      </c>
      <c r="B115" s="3486"/>
      <c r="C115" s="3486"/>
      <c r="D115" s="3486"/>
      <c r="E115" s="3486"/>
      <c r="F115" s="3486"/>
      <c r="G115" s="3486"/>
      <c r="H115" s="3486"/>
      <c r="I115" s="3487"/>
    </row>
    <row r="116" spans="1:27" ht="27" customHeight="1">
      <c r="A116" s="3438" t="s">
        <v>1888</v>
      </c>
      <c r="B116" s="3473" t="s">
        <v>1889</v>
      </c>
      <c r="C116" s="3473" t="s">
        <v>1890</v>
      </c>
      <c r="D116" s="3489" t="s">
        <v>1891</v>
      </c>
      <c r="E116" s="3490"/>
      <c r="F116" s="3481" t="s">
        <v>1892</v>
      </c>
      <c r="G116" s="3481"/>
      <c r="H116" s="3438" t="s">
        <v>1893</v>
      </c>
      <c r="I116" s="3438"/>
    </row>
    <row r="117" spans="1:27" ht="18.75" customHeight="1">
      <c r="A117" s="3438"/>
      <c r="B117" s="3474"/>
      <c r="C117" s="3474"/>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6192.7899999999991</v>
      </c>
      <c r="C118" s="2502">
        <f>M19</f>
        <v>801.32</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438" t="s">
        <v>1897</v>
      </c>
      <c r="B119" s="3438"/>
      <c r="C119" s="3438"/>
      <c r="D119" s="3478" t="e">
        <f ca="1">NUMBERSTRING(INT(D118*10000),2)&amp;"元整"</f>
        <v>#REF!</v>
      </c>
      <c r="E119" s="3480"/>
      <c r="F119" s="3478" t="e">
        <f ca="1">NUMBERSTRING(INT(F118*10000),2)&amp;"元整"</f>
        <v>#REF!</v>
      </c>
      <c r="G119" s="3480"/>
      <c r="H119" s="3478" t="e">
        <f ca="1">NUMBERSTRING(INT(H118*10000),2)&amp;"元整"</f>
        <v>#REF!</v>
      </c>
      <c r="I119" s="3480"/>
    </row>
    <row r="120" spans="1:27" ht="18.75" customHeight="1">
      <c r="A120" s="3505" t="str">
        <f>IF(项目基本情况!B9="房地产市场价值","",MID(E103,3,LEN(E103)-2))</f>
        <v>估价师知悉的法定优先受偿款</v>
      </c>
      <c r="B120" s="3506"/>
      <c r="C120" s="3507"/>
      <c r="D120" s="3505">
        <f>H103</f>
        <v>0</v>
      </c>
      <c r="E120" s="3506"/>
      <c r="F120" s="3506"/>
      <c r="G120" s="3506"/>
      <c r="H120" s="3506"/>
      <c r="I120" s="3507"/>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82" t="s">
        <v>1897</v>
      </c>
      <c r="B121" s="3483"/>
      <c r="C121" s="3484"/>
      <c r="D121" s="3478" t="str">
        <f>IF(D120=0,"零元整",NUMBERSTRING(INT(D120*10000),2)&amp;"元整")</f>
        <v>零元整</v>
      </c>
      <c r="E121" s="3479"/>
      <c r="F121" s="3479"/>
      <c r="G121" s="3479"/>
      <c r="H121" s="3479"/>
      <c r="I121" s="3480"/>
      <c r="AA121" s="733"/>
    </row>
    <row r="122" spans="1:27" ht="18.75" customHeight="1">
      <c r="A122" s="3469" t="str">
        <f>IF(项目基本情况!B9="房地产市场价值","",MID(E107,3,LEN(E107)-2))</f>
        <v>房地产抵押价值</v>
      </c>
      <c r="B122" s="3469"/>
      <c r="C122" s="3469"/>
      <c r="D122" s="3505" t="e">
        <f ca="1">H107</f>
        <v>#REF!</v>
      </c>
      <c r="E122" s="3506"/>
      <c r="F122" s="3506"/>
      <c r="G122" s="3506"/>
      <c r="H122" s="3506"/>
      <c r="I122" s="3507"/>
      <c r="AA122" s="733"/>
    </row>
    <row r="123" spans="1:27" ht="18.75" customHeight="1">
      <c r="A123" s="3438" t="s">
        <v>1897</v>
      </c>
      <c r="B123" s="3438"/>
      <c r="C123" s="3438"/>
      <c r="D123" s="3478" t="e">
        <f ca="1">NUMBERSTRING(INT(D122*10000),2)&amp;"元整"</f>
        <v>#REF!</v>
      </c>
      <c r="E123" s="3479"/>
      <c r="F123" s="3479"/>
      <c r="G123" s="3479"/>
      <c r="H123" s="3479"/>
      <c r="I123" s="3480"/>
      <c r="AA123" s="733"/>
    </row>
    <row r="124" spans="1:27" ht="18.75" customHeight="1">
      <c r="A124" s="3469" t="str">
        <f>IF(项目基本情况!B9="房地产市场价值","",MID(E109,3,LEN(E109)-2))</f>
        <v/>
      </c>
      <c r="B124" s="3469"/>
      <c r="C124" s="3469"/>
      <c r="D124" s="3505" t="str">
        <f>H109</f>
        <v>——</v>
      </c>
      <c r="E124" s="3506"/>
      <c r="F124" s="3506"/>
      <c r="G124" s="3506"/>
      <c r="H124" s="3506"/>
      <c r="I124" s="3507"/>
      <c r="AA124" s="733"/>
    </row>
    <row r="125" spans="1:27" ht="18.75" customHeight="1">
      <c r="A125" s="3438" t="s">
        <v>1897</v>
      </c>
      <c r="B125" s="3438"/>
      <c r="C125" s="3438"/>
      <c r="D125" s="3478" t="e">
        <f>NUMBERSTRING(INT(D124*10000),2)&amp;"元整"</f>
        <v>#VALUE!</v>
      </c>
      <c r="E125" s="3479"/>
      <c r="F125" s="3479"/>
      <c r="G125" s="3479"/>
      <c r="H125" s="3479"/>
      <c r="I125" s="3480"/>
      <c r="AA125" s="733"/>
    </row>
    <row r="126" spans="1:27" ht="18.75" customHeight="1">
      <c r="A126" s="3469" t="str">
        <f>IF(项目基本情况!B9="房地产市场价值","",MID(E111,3,LEN(E111)-2))</f>
        <v/>
      </c>
      <c r="B126" s="3469"/>
      <c r="C126" s="3469"/>
      <c r="D126" s="3505" t="str">
        <f>H111</f>
        <v>——</v>
      </c>
      <c r="E126" s="3506"/>
      <c r="F126" s="3506"/>
      <c r="G126" s="3506"/>
      <c r="H126" s="3506"/>
      <c r="I126" s="3507"/>
      <c r="AA126" s="733"/>
    </row>
    <row r="127" spans="1:27" ht="18.75" customHeight="1">
      <c r="A127" s="3438" t="s">
        <v>1897</v>
      </c>
      <c r="B127" s="3438"/>
      <c r="C127" s="3438"/>
      <c r="D127" s="3478" t="e">
        <f>NUMBERSTRING(INT(D126*10000),2)&amp;"元整"</f>
        <v>#VALUE!</v>
      </c>
      <c r="E127" s="3479"/>
      <c r="F127" s="3479"/>
      <c r="G127" s="3479"/>
      <c r="H127" s="3479"/>
      <c r="I127" s="3480"/>
      <c r="AA127" s="733"/>
    </row>
    <row r="128" spans="1:27" ht="21.75" customHeight="1">
      <c r="A128" s="3488" t="s">
        <v>1898</v>
      </c>
      <c r="B128" s="3488"/>
      <c r="C128" s="3488"/>
      <c r="D128" s="3488"/>
      <c r="E128" s="3488"/>
      <c r="F128" s="3488"/>
      <c r="G128" s="3488"/>
      <c r="H128" s="3488"/>
      <c r="I128" s="3488"/>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J57"/>
  <sheetViews>
    <sheetView view="pageBreakPreview" zoomScale="110" zoomScaleNormal="70" zoomScaleSheetLayoutView="110" workbookViewId="0">
      <selection activeCell="F10" sqref="F1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24646</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39798</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15024</v>
      </c>
      <c r="D5" s="216" t="s">
        <v>1914</v>
      </c>
      <c r="E5" s="217" t="s">
        <v>1915</v>
      </c>
      <c r="F5" s="217" t="s">
        <v>1916</v>
      </c>
      <c r="G5" s="218"/>
    </row>
    <row r="6" spans="1:9" s="219" customFormat="1" ht="13.5" customHeight="1">
      <c r="A6" s="866" t="s">
        <v>1917</v>
      </c>
      <c r="B6" s="220" t="s">
        <v>1918</v>
      </c>
      <c r="C6" s="221">
        <f>[2]基准地价修正!$E$33</f>
        <v>14459</v>
      </c>
      <c r="D6" s="222"/>
      <c r="E6" s="223"/>
      <c r="F6" s="223"/>
      <c r="G6" s="224"/>
    </row>
    <row r="7" spans="1:9" s="219" customFormat="1" ht="13.5" customHeight="1">
      <c r="A7" s="866" t="s">
        <v>1919</v>
      </c>
      <c r="B7" s="220" t="s">
        <v>1920</v>
      </c>
      <c r="C7" s="225">
        <f>ROUND(C6*F7,0)</f>
        <v>441</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124</v>
      </c>
      <c r="D8" s="227"/>
      <c r="E8" s="225"/>
      <c r="F8" s="226"/>
      <c r="G8" s="1992" t="s">
        <v>3211</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160</v>
      </c>
      <c r="F9" s="226"/>
      <c r="G9" s="1993" t="s">
        <v>3209</v>
      </c>
      <c r="H9" s="1251"/>
      <c r="I9" s="1994" t="s">
        <v>1924</v>
      </c>
    </row>
    <row r="10" spans="1:9" s="219" customFormat="1" ht="13.5" customHeight="1">
      <c r="A10" s="867" t="s">
        <v>620</v>
      </c>
      <c r="B10" s="229" t="s">
        <v>1925</v>
      </c>
      <c r="C10" s="230">
        <f ca="1">ROUND(D10*E10/10000,0)</f>
        <v>124</v>
      </c>
      <c r="D10" s="934">
        <f ca="1">IF(B1="",'数据-汇总表'!E6,IF(INDIRECT("'数据-取费表'!c"&amp;$G$1)="住宅",INDIRECT("'数据-取费表'!s"&amp;$G$1),INDIRECT("'数据-取费表'!k"&amp;$G$1)+INDIRECT("'数据-取费表'!s"&amp;$G$1)))</f>
        <v>6192.7899999999991</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6192.7899999999991</v>
      </c>
      <c r="E19" s="216">
        <f>'数据-取费表'!B31</f>
        <v>200</v>
      </c>
      <c r="F19" s="236"/>
      <c r="G19" s="1992" t="s">
        <v>3210</v>
      </c>
    </row>
    <row r="20" spans="1:7" s="219" customFormat="1" ht="13.5" customHeight="1">
      <c r="A20" s="260" t="s">
        <v>1938</v>
      </c>
      <c r="B20" s="215" t="s">
        <v>1939</v>
      </c>
      <c r="C20" s="237">
        <f ca="1">ROUND((C5+C19)*F20,0)</f>
        <v>300</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1475</v>
      </c>
      <c r="D22" s="240">
        <f ca="1">C26</f>
        <v>1E-3</v>
      </c>
      <c r="E22" s="241" t="s">
        <v>1943</v>
      </c>
      <c r="F22" s="242">
        <f ca="1">'数据-取费表'!B40</f>
        <v>4.7500000000000001E-2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1461</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14</v>
      </c>
      <c r="D25" s="243"/>
      <c r="E25" s="246"/>
      <c r="F25" s="244"/>
      <c r="G25" s="247" t="s">
        <v>1955</v>
      </c>
    </row>
    <row r="26" spans="1:7" s="219" customFormat="1">
      <c r="A26" s="868" t="s">
        <v>614</v>
      </c>
      <c r="B26" s="220" t="s">
        <v>1956</v>
      </c>
      <c r="C26" s="243">
        <f ca="1">ROUND(IF('数据-取费表'!B22&lt;=1,F21*F22*'数据-取费表'!B23/2,F21*(POWER((1+F22),'数据-取费表'!B23/2)-1)),4)</f>
        <v>1E-3</v>
      </c>
      <c r="D26" s="243"/>
      <c r="E26" s="246"/>
      <c r="F26" s="244"/>
      <c r="G26" s="248"/>
    </row>
    <row r="27" spans="1:7" s="219" customFormat="1" ht="24.75">
      <c r="A27" s="260" t="s">
        <v>1957</v>
      </c>
      <c r="B27" s="249" t="s">
        <v>1958</v>
      </c>
      <c r="C27" s="250">
        <f ca="1">C28</f>
        <v>3065</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ROUND((C5+C19+C20)*F27*'数据-取费表'!B21/'数据-取费表'!B20,0)</f>
        <v>3065</v>
      </c>
      <c r="D28" s="240"/>
      <c r="E28" s="241"/>
      <c r="F28" s="251"/>
      <c r="G28" s="252"/>
    </row>
    <row r="29" spans="1:7" s="219" customFormat="1" ht="13.5" customHeight="1">
      <c r="A29" s="868" t="s">
        <v>611</v>
      </c>
      <c r="B29" s="253" t="s">
        <v>1962</v>
      </c>
      <c r="C29" s="243">
        <f ca="1">ROUND(C21*F27*'数据-取费表'!B21/'数据-取费表'!B20,4)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21551</v>
      </c>
      <c r="D31" s="235"/>
      <c r="E31" s="216"/>
      <c r="F31" s="255"/>
      <c r="G31" s="239" t="s">
        <v>1967</v>
      </c>
    </row>
    <row r="32" spans="1:7" s="213" customFormat="1" ht="15.75">
      <c r="A32" s="257" t="s">
        <v>1968</v>
      </c>
      <c r="B32" s="258"/>
      <c r="C32" s="258"/>
      <c r="D32" s="258"/>
      <c r="E32" s="258"/>
      <c r="F32" s="258"/>
      <c r="G32" s="259"/>
    </row>
    <row r="33" spans="1:10" s="219" customFormat="1" ht="13.5" customHeight="1">
      <c r="A33" s="260" t="s">
        <v>601</v>
      </c>
      <c r="B33" s="215" t="s">
        <v>1969</v>
      </c>
      <c r="C33" s="261">
        <f ca="1">SUM(C34:C38)</f>
        <v>3092</v>
      </c>
      <c r="D33" s="237"/>
      <c r="E33" s="217"/>
      <c r="F33" s="246"/>
      <c r="G33" s="239"/>
    </row>
    <row r="34" spans="1:10"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2787</v>
      </c>
      <c r="D34" s="222"/>
      <c r="E34" s="225"/>
      <c r="F34" s="262">
        <f ca="1">IF('数据-取费表'!B24=0,1,IF(B1="",'数据-取费表'!N16,INDIRECT("'数据-取费表'!n"&amp;$G$1)))</f>
        <v>1</v>
      </c>
      <c r="G34" s="224" t="s">
        <v>1971</v>
      </c>
    </row>
    <row r="35" spans="1:10" ht="13.5" customHeight="1">
      <c r="A35" s="868" t="s">
        <v>615</v>
      </c>
      <c r="B35" s="220" t="s">
        <v>1972</v>
      </c>
      <c r="C35" s="225">
        <f ca="1">ROUND(C34*F35,0)</f>
        <v>139</v>
      </c>
      <c r="D35" s="225"/>
      <c r="E35" s="225"/>
      <c r="F35" s="264">
        <f>'数据-取费表'!B33</f>
        <v>0.05</v>
      </c>
      <c r="G35" s="224" t="s">
        <v>1973</v>
      </c>
    </row>
    <row r="36" spans="1:10"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10" s="263" customFormat="1" ht="13.5" customHeight="1">
      <c r="A37" s="868" t="s">
        <v>617</v>
      </c>
      <c r="B37" s="220" t="s">
        <v>1976</v>
      </c>
      <c r="C37" s="254">
        <f ca="1">ROUND(E37*D37*F34/10000,0)</f>
        <v>124</v>
      </c>
      <c r="D37" s="222">
        <f ca="1">D19</f>
        <v>6192.7899999999991</v>
      </c>
      <c r="E37" s="254">
        <f>'数据-取费表'!B35</f>
        <v>200</v>
      </c>
      <c r="F37" s="264"/>
      <c r="G37" s="266" t="s">
        <v>1977</v>
      </c>
    </row>
    <row r="38" spans="1:10" ht="13.5" customHeight="1">
      <c r="A38" s="868" t="s">
        <v>618</v>
      </c>
      <c r="B38" s="220" t="s">
        <v>1978</v>
      </c>
      <c r="C38" s="225">
        <f ca="1">ROUND(C34*F38,0)</f>
        <v>42</v>
      </c>
      <c r="D38" s="225"/>
      <c r="E38" s="225"/>
      <c r="F38" s="264">
        <f>'数据-取费表'!B36</f>
        <v>1.4999999999999999E-2</v>
      </c>
      <c r="G38" s="224" t="s">
        <v>1973</v>
      </c>
    </row>
    <row r="39" spans="1:10" s="219" customFormat="1" ht="13.5" customHeight="1">
      <c r="A39" s="260" t="s">
        <v>1979</v>
      </c>
      <c r="B39" s="215" t="s">
        <v>1980</v>
      </c>
      <c r="C39" s="237">
        <f ca="1">ROUND(C33*F20,0)</f>
        <v>62</v>
      </c>
      <c r="D39" s="237"/>
      <c r="E39" s="237"/>
      <c r="F39" s="264">
        <f>F20</f>
        <v>0.02</v>
      </c>
      <c r="G39" s="239" t="s">
        <v>1981</v>
      </c>
    </row>
    <row r="40" spans="1:10" s="219" customFormat="1" ht="13.5" customHeight="1">
      <c r="A40" s="260" t="s">
        <v>1982</v>
      </c>
      <c r="B40" s="215" t="s">
        <v>1983</v>
      </c>
      <c r="C40" s="1447">
        <f>F21</f>
        <v>0.02</v>
      </c>
      <c r="D40" s="241" t="s">
        <v>1984</v>
      </c>
      <c r="E40" s="237"/>
      <c r="F40" s="264">
        <f>F21</f>
        <v>0.02</v>
      </c>
      <c r="G40" s="239" t="s">
        <v>1985</v>
      </c>
    </row>
    <row r="41" spans="1:10" s="219" customFormat="1" ht="13.5" customHeight="1">
      <c r="A41" s="260" t="s">
        <v>1986</v>
      </c>
      <c r="B41" s="215" t="s">
        <v>1987</v>
      </c>
      <c r="C41" s="237">
        <f ca="1">ROUND(SUM(C42:C43),0)</f>
        <v>150</v>
      </c>
      <c r="D41" s="240">
        <f ca="1">C44</f>
        <v>1E-3</v>
      </c>
      <c r="E41" s="241" t="s">
        <v>1984</v>
      </c>
      <c r="F41" s="264">
        <f ca="1">F22</f>
        <v>4.7500000000000001E-2</v>
      </c>
      <c r="G41" s="239" t="str">
        <f>IF('数据-取费表'!B22&lt;=1,"单利计息","复利计息")</f>
        <v>复利计息</v>
      </c>
    </row>
    <row r="42" spans="1:10" ht="13.5" customHeight="1">
      <c r="A42" s="868" t="s">
        <v>610</v>
      </c>
      <c r="B42" s="220" t="s">
        <v>1988</v>
      </c>
      <c r="C42" s="243">
        <f ca="1">ROUND(IF('数据-取费表'!B22&lt;=1,C33*F22*'数据-取费表'!B21/2,C33*(POWER((1+F22),'数据-取费表'!B21/2)-1)),0)</f>
        <v>147</v>
      </c>
      <c r="D42" s="243"/>
      <c r="E42" s="243"/>
      <c r="F42" s="244"/>
      <c r="G42" s="3521" t="s">
        <v>1989</v>
      </c>
    </row>
    <row r="43" spans="1:10" ht="13.5" customHeight="1">
      <c r="A43" s="868" t="s">
        <v>611</v>
      </c>
      <c r="B43" s="220" t="s">
        <v>1990</v>
      </c>
      <c r="C43" s="243">
        <f ca="1">ROUND(IF('数据-取费表'!B22&lt;=1,C39*F22*'数据-取费表'!B21/2,C39*(POWER((1+F22),'数据-取费表'!B21/2)-1)),0)</f>
        <v>3</v>
      </c>
      <c r="D43" s="243"/>
      <c r="E43" s="243"/>
      <c r="F43" s="244"/>
      <c r="G43" s="3522"/>
    </row>
    <row r="44" spans="1:10" ht="13.5" customHeight="1">
      <c r="A44" s="868" t="s">
        <v>612</v>
      </c>
      <c r="B44" s="220" t="s">
        <v>1991</v>
      </c>
      <c r="C44" s="243">
        <f ca="1">ROUND(IF('数据-取费表'!B22&lt;=1,C40*F22*'数据-取费表'!B21/2,C40*(POWER((1+F22),'数据-取费表'!B21/2)-1)),4)</f>
        <v>1E-3</v>
      </c>
      <c r="D44" s="243"/>
      <c r="E44" s="243"/>
      <c r="F44" s="269"/>
      <c r="G44" s="3523"/>
    </row>
    <row r="45" spans="1:10" s="219" customFormat="1" ht="13.5" customHeight="1">
      <c r="A45" s="260" t="s">
        <v>1992</v>
      </c>
      <c r="B45" s="249" t="s">
        <v>1958</v>
      </c>
      <c r="C45" s="250">
        <f ca="1">C46</f>
        <v>631</v>
      </c>
      <c r="D45" s="240">
        <f ca="1">C47</f>
        <v>4.0000000000000001E-3</v>
      </c>
      <c r="E45" s="241" t="s">
        <v>1984</v>
      </c>
      <c r="F45" s="269">
        <f ca="1">F27</f>
        <v>0.2</v>
      </c>
      <c r="G45" s="252" t="s">
        <v>1993</v>
      </c>
    </row>
    <row r="46" spans="1:10" s="219" customFormat="1" ht="13.5" customHeight="1">
      <c r="A46" s="868" t="s">
        <v>610</v>
      </c>
      <c r="B46" s="253" t="s">
        <v>1994</v>
      </c>
      <c r="C46" s="254">
        <f ca="1">ROUND((C33+C39)*F27,0)</f>
        <v>631</v>
      </c>
      <c r="D46" s="268"/>
      <c r="E46" s="241"/>
      <c r="F46" s="269"/>
      <c r="G46" s="252"/>
    </row>
    <row r="47" spans="1:10" s="219" customFormat="1" ht="13.5" customHeight="1">
      <c r="A47" s="868" t="s">
        <v>611</v>
      </c>
      <c r="B47" s="253" t="s">
        <v>1995</v>
      </c>
      <c r="C47" s="243">
        <f ca="1">ROUND(C40*F27,4)</f>
        <v>4.0000000000000001E-3</v>
      </c>
      <c r="D47" s="268"/>
      <c r="E47" s="241"/>
      <c r="F47" s="269"/>
      <c r="G47" s="252"/>
    </row>
    <row r="48" spans="1:10" s="219" customFormat="1" ht="13.5" customHeight="1">
      <c r="A48" s="260" t="s">
        <v>1957</v>
      </c>
      <c r="B48" s="215" t="s">
        <v>1996</v>
      </c>
      <c r="C48" s="1447">
        <f>ROUND(F30/(1+'数据-取费表'!C42),4)</f>
        <v>5.33E-2</v>
      </c>
      <c r="D48" s="241" t="s">
        <v>1984</v>
      </c>
      <c r="E48" s="237"/>
      <c r="F48" s="269">
        <f>F30</f>
        <v>5.6000000000000001E-2</v>
      </c>
      <c r="G48" s="239" t="s">
        <v>1997</v>
      </c>
      <c r="J48" s="219">
        <f ca="1">C49/'数据-汇总表'!F19</f>
        <v>0.68935003447557575</v>
      </c>
    </row>
    <row r="49" spans="1:7" ht="16.5" customHeight="1">
      <c r="A49" s="260" t="s">
        <v>1963</v>
      </c>
      <c r="B49" s="215" t="s">
        <v>1998</v>
      </c>
      <c r="C49" s="237">
        <f ca="1">ROUND((C33+C39+C41+C45)/(1-C40-D41-D45-C48),0)</f>
        <v>4269</v>
      </c>
      <c r="D49" s="237"/>
      <c r="E49" s="237"/>
      <c r="F49" s="269"/>
      <c r="G49" s="239" t="s">
        <v>1999</v>
      </c>
    </row>
    <row r="50" spans="1:7" s="263" customFormat="1" ht="24">
      <c r="A50" s="260" t="s">
        <v>2000</v>
      </c>
      <c r="B50" s="215" t="s">
        <v>2001</v>
      </c>
      <c r="C50" s="237"/>
      <c r="D50" s="237"/>
      <c r="E50" s="237"/>
      <c r="F50" s="269">
        <f>IF('数据-取费表'!B24=0,'数据-取费表'!N16,1)</f>
        <v>0.72499999999999998</v>
      </c>
      <c r="G50" s="252" t="s">
        <v>2002</v>
      </c>
    </row>
    <row r="51" spans="1:7" ht="16.5" customHeight="1">
      <c r="A51" s="260" t="s">
        <v>2003</v>
      </c>
      <c r="B51" s="215" t="s">
        <v>2004</v>
      </c>
      <c r="C51" s="237">
        <f ca="1">ROUND(C49*F50,0)</f>
        <v>3095</v>
      </c>
      <c r="D51" s="237"/>
      <c r="E51" s="237"/>
      <c r="F51" s="269"/>
      <c r="G51" s="239" t="s">
        <v>2005</v>
      </c>
    </row>
    <row r="52" spans="1:7" s="213" customFormat="1" ht="16.5" thickBot="1">
      <c r="A52" s="270" t="s">
        <v>2006</v>
      </c>
      <c r="B52" s="271"/>
      <c r="C52" s="272">
        <f ca="1">C31+C51</f>
        <v>24646</v>
      </c>
      <c r="D52" s="271"/>
      <c r="E52" s="271"/>
      <c r="F52" s="271"/>
      <c r="G52" s="273"/>
    </row>
    <row r="55" spans="1:7" ht="15">
      <c r="B55" s="275" t="s">
        <v>2007</v>
      </c>
      <c r="C55" s="276"/>
    </row>
    <row r="56" spans="1:7">
      <c r="B56" s="278" t="s">
        <v>1237</v>
      </c>
      <c r="C56" s="280">
        <f ca="1">1-C57</f>
        <v>0.874</v>
      </c>
    </row>
    <row r="57" spans="1:7">
      <c r="B57" s="278" t="s">
        <v>1238</v>
      </c>
      <c r="C57" s="279">
        <f ca="1">ROUND(C51/C52,3)</f>
        <v>0.126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332" t="str">
        <f>项目基本情况!B1</f>
        <v>北京市预评估</v>
      </c>
      <c r="C37" s="3332"/>
      <c r="D37" s="3332"/>
      <c r="E37" s="3332"/>
      <c r="F37" s="3332"/>
      <c r="G37" s="3332"/>
      <c r="H37" s="3332"/>
      <c r="I37" s="3332"/>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陈颖（注册号：1120060040)、（注册号：0)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3450</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5571</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1238558</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1238558</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1925</v>
      </c>
      <c r="C10" s="230">
        <f ca="1">ROUND(D10*E10,0)</f>
        <v>1238558</v>
      </c>
      <c r="D10" s="934">
        <f ca="1">IF(B1="",'数据-汇总表'!E6,IF(INDIRECT("'数据-取费表'!c"&amp;$G$1)="住宅",INDIRECT("'数据-取费表'!s"&amp;$G$1),INDIRECT("'数据-取费表'!k"&amp;$G$1)+INDIRECT("'数据-取费表'!s"&amp;$G$1)))</f>
        <v>6192.7899999999991</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1238558</v>
      </c>
      <c r="D19" s="938">
        <f ca="1">D9+D10</f>
        <v>6192.7899999999991</v>
      </c>
      <c r="E19" s="216">
        <f>'数据-取费表'!B31</f>
        <v>200</v>
      </c>
      <c r="F19" s="236"/>
      <c r="G19" s="1992"/>
    </row>
    <row r="20" spans="1:7" s="219" customFormat="1" ht="13.5" customHeight="1">
      <c r="A20" s="260" t="s">
        <v>2019</v>
      </c>
      <c r="B20" s="215" t="s">
        <v>2020</v>
      </c>
      <c r="C20" s="237">
        <f ca="1">ROUND((C5+C19)*F20,0)</f>
        <v>49542</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243269</v>
      </c>
      <c r="D22" s="240">
        <f ca="1">C26</f>
        <v>1E-3</v>
      </c>
      <c r="E22" s="241" t="s">
        <v>2024</v>
      </c>
      <c r="F22" s="242">
        <f ca="1">'数据-取费表'!B40</f>
        <v>4.7500000000000001E-2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120458</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120458</v>
      </c>
      <c r="D24" s="243"/>
      <c r="E24" s="243"/>
      <c r="F24" s="244"/>
      <c r="G24" s="245" t="s">
        <v>2031</v>
      </c>
    </row>
    <row r="25" spans="1:7" s="219" customFormat="1" ht="24">
      <c r="A25" s="868" t="s">
        <v>1921</v>
      </c>
      <c r="B25" s="220" t="s">
        <v>2032</v>
      </c>
      <c r="C25" s="1242">
        <f ca="1">ROUND(IF('数据-取费表'!B22&lt;=1,C20*F22*'数据-取费表'!B22/2,C20*(POWER((1+F22),'数据-取费表'!B22/2)-1)),0)</f>
        <v>2353</v>
      </c>
      <c r="D25" s="243"/>
      <c r="E25" s="246"/>
      <c r="F25" s="244"/>
      <c r="G25" s="247" t="s">
        <v>2033</v>
      </c>
    </row>
    <row r="26" spans="1:7" s="219" customFormat="1">
      <c r="A26" s="868" t="s">
        <v>614</v>
      </c>
      <c r="B26" s="220" t="s">
        <v>1956</v>
      </c>
      <c r="C26" s="243">
        <f ca="1">ROUND(IF('数据-取费表'!B22&lt;=1,F21*F22*'数据-取费表'!B22/2,F21*(POWER((1+F22),'数据-取费表'!B22/2)-1)),4)</f>
        <v>1E-3</v>
      </c>
      <c r="D26" s="243"/>
      <c r="E26" s="246"/>
      <c r="F26" s="244"/>
      <c r="G26" s="248"/>
    </row>
    <row r="27" spans="1:7" s="219" customFormat="1" ht="24.75">
      <c r="A27" s="260" t="s">
        <v>1957</v>
      </c>
      <c r="B27" s="249" t="s">
        <v>1958</v>
      </c>
      <c r="C27" s="250">
        <f ca="1">C28</f>
        <v>505332</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ROUND((C5+C19+C20)*F27,0)</f>
        <v>505332</v>
      </c>
      <c r="D28" s="240"/>
      <c r="E28" s="241"/>
      <c r="F28" s="251"/>
      <c r="G28" s="252"/>
    </row>
    <row r="29" spans="1:7" s="219" customFormat="1" ht="13.5" customHeight="1">
      <c r="A29" s="868" t="s">
        <v>611</v>
      </c>
      <c r="B29" s="253" t="s">
        <v>1962</v>
      </c>
      <c r="C29" s="243">
        <f ca="1">ROUND(C21*F27,4)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3553498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30917504</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27867555</v>
      </c>
      <c r="D34" s="222"/>
      <c r="E34" s="225"/>
      <c r="F34" s="262"/>
      <c r="G34" s="224"/>
    </row>
    <row r="35" spans="1:7" ht="13.5" customHeight="1">
      <c r="A35" s="868" t="s">
        <v>615</v>
      </c>
      <c r="B35" s="220" t="s">
        <v>1972</v>
      </c>
      <c r="C35" s="225">
        <f ca="1">ROUND(C34*F35,0)</f>
        <v>1393378</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1238558</v>
      </c>
      <c r="D37" s="222">
        <f ca="1">D19</f>
        <v>6192.7899999999991</v>
      </c>
      <c r="E37" s="254">
        <f>'数据-取费表'!B35</f>
        <v>200</v>
      </c>
      <c r="F37" s="264"/>
      <c r="G37" s="266"/>
    </row>
    <row r="38" spans="1:7" ht="13.5" customHeight="1">
      <c r="A38" s="868" t="s">
        <v>618</v>
      </c>
      <c r="B38" s="220" t="s">
        <v>1978</v>
      </c>
      <c r="C38" s="225">
        <f ca="1">ROUND(C34*F38,0)</f>
        <v>418013</v>
      </c>
      <c r="D38" s="225"/>
      <c r="E38" s="225"/>
      <c r="F38" s="264">
        <f>'数据-取费表'!B36</f>
        <v>1.4999999999999999E-2</v>
      </c>
      <c r="G38" s="224" t="s">
        <v>1973</v>
      </c>
    </row>
    <row r="39" spans="1:7" s="219" customFormat="1" ht="13.5" customHeight="1">
      <c r="A39" s="260" t="s">
        <v>1979</v>
      </c>
      <c r="B39" s="215" t="s">
        <v>1980</v>
      </c>
      <c r="C39" s="237">
        <f ca="1">ROUND(C33*F20,0)</f>
        <v>618350</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1497953</v>
      </c>
      <c r="D41" s="240">
        <f ca="1">C44</f>
        <v>1E-3</v>
      </c>
      <c r="E41" s="241" t="s">
        <v>1984</v>
      </c>
      <c r="F41" s="2486">
        <f ca="1">F22</f>
        <v>4.7500000000000001E-2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1468581</v>
      </c>
      <c r="D42" s="243"/>
      <c r="E42" s="243"/>
      <c r="F42" s="244"/>
      <c r="G42" s="3521" t="s">
        <v>2036</v>
      </c>
    </row>
    <row r="43" spans="1:7" ht="13.5" customHeight="1">
      <c r="A43" s="868" t="s">
        <v>611</v>
      </c>
      <c r="B43" s="220" t="s">
        <v>1990</v>
      </c>
      <c r="C43" s="243">
        <f ca="1">ROUND(IF('数据-取费表'!B22&lt;=1,C39*F22*'数据-取费表'!B20/2,C39*(POWER((1+F22),'数据-取费表'!B20/2)-1)),0)</f>
        <v>29372</v>
      </c>
      <c r="D43" s="243"/>
      <c r="E43" s="243"/>
      <c r="F43" s="244"/>
      <c r="G43" s="3522"/>
    </row>
    <row r="44" spans="1:7" ht="13.5" customHeight="1">
      <c r="A44" s="868" t="s">
        <v>612</v>
      </c>
      <c r="B44" s="220" t="s">
        <v>1991</v>
      </c>
      <c r="C44" s="243">
        <f ca="1">ROUND(IF('数据-取费表'!B22&lt;=1,C40*F22*'数据-取费表'!B20/2,C40*(POWER((1+F22),'数据-取费表'!B20/2)-1)),4)</f>
        <v>1E-3</v>
      </c>
      <c r="D44" s="243"/>
      <c r="E44" s="243"/>
      <c r="F44" s="244"/>
      <c r="G44" s="3523"/>
    </row>
    <row r="45" spans="1:7" s="219" customFormat="1" ht="13.5" customHeight="1">
      <c r="A45" s="260" t="s">
        <v>1992</v>
      </c>
      <c r="B45" s="249" t="s">
        <v>1958</v>
      </c>
      <c r="C45" s="250">
        <f ca="1">C46</f>
        <v>6307171</v>
      </c>
      <c r="D45" s="240">
        <f ca="1">C47</f>
        <v>4.0000000000000001E-3</v>
      </c>
      <c r="E45" s="241" t="s">
        <v>1984</v>
      </c>
      <c r="F45" s="2487">
        <f ca="1">F27</f>
        <v>0.2</v>
      </c>
      <c r="G45" s="252" t="s">
        <v>1993</v>
      </c>
    </row>
    <row r="46" spans="1:7" s="219" customFormat="1" ht="13.5" customHeight="1">
      <c r="A46" s="868" t="s">
        <v>610</v>
      </c>
      <c r="B46" s="253" t="s">
        <v>1994</v>
      </c>
      <c r="C46" s="254">
        <f ca="1">ROUND((C33+C39)*F27,0)</f>
        <v>6307171</v>
      </c>
      <c r="D46" s="268"/>
      <c r="E46" s="241"/>
      <c r="F46" s="251"/>
      <c r="G46" s="252"/>
    </row>
    <row r="47" spans="1:7" s="219" customFormat="1" ht="13.5" customHeight="1">
      <c r="A47" s="868" t="s">
        <v>611</v>
      </c>
      <c r="B47" s="253" t="s">
        <v>1995</v>
      </c>
      <c r="C47" s="243">
        <f ca="1">ROUND(C40*F27,4)</f>
        <v>4.0000000000000001E-3</v>
      </c>
      <c r="D47" s="268"/>
      <c r="E47" s="241"/>
      <c r="F47" s="251"/>
      <c r="G47" s="252"/>
    </row>
    <row r="48" spans="1:7" s="219" customFormat="1" ht="13.5" customHeight="1">
      <c r="A48" s="260" t="s">
        <v>1957</v>
      </c>
      <c r="B48" s="215" t="s">
        <v>1996</v>
      </c>
      <c r="C48" s="267">
        <f>ROUND(F30/(1+'数据-取费表'!C42),4)</f>
        <v>5.33E-2</v>
      </c>
      <c r="D48" s="241" t="s">
        <v>1984</v>
      </c>
      <c r="E48" s="237"/>
      <c r="F48" s="2486">
        <f>F30</f>
        <v>5.6000000000000001E-2</v>
      </c>
      <c r="G48" s="239" t="s">
        <v>1997</v>
      </c>
    </row>
    <row r="49" spans="1:7" ht="16.5" customHeight="1">
      <c r="A49" s="260" t="s">
        <v>1963</v>
      </c>
      <c r="B49" s="215" t="s">
        <v>2037</v>
      </c>
      <c r="C49" s="237">
        <f ca="1">ROUND((C33+C39+C41+C45)/(1-C40-D41-D45-C48),0)</f>
        <v>42683062</v>
      </c>
      <c r="D49" s="237"/>
      <c r="E49" s="237"/>
      <c r="F49" s="269"/>
      <c r="G49" s="239" t="s">
        <v>1999</v>
      </c>
    </row>
    <row r="50" spans="1:7" s="263" customFormat="1">
      <c r="A50" s="260" t="s">
        <v>2000</v>
      </c>
      <c r="B50" s="215" t="s">
        <v>2001</v>
      </c>
      <c r="C50" s="237"/>
      <c r="D50" s="237"/>
      <c r="E50" s="237"/>
      <c r="F50" s="269">
        <f>IF('数据-取费表'!B24=0,'数据-取费表'!N16,1)</f>
        <v>0.72499999999999998</v>
      </c>
      <c r="G50" s="252"/>
    </row>
    <row r="51" spans="1:7" ht="16.5" customHeight="1">
      <c r="A51" s="260" t="s">
        <v>2003</v>
      </c>
      <c r="B51" s="215" t="s">
        <v>2038</v>
      </c>
      <c r="C51" s="237">
        <f ca="1">ROUND(C49*F50,0)</f>
        <v>30945220</v>
      </c>
      <c r="D51" s="237"/>
      <c r="E51" s="237"/>
      <c r="F51" s="269"/>
      <c r="G51" s="239" t="s">
        <v>2005</v>
      </c>
    </row>
    <row r="52" spans="1:7" s="213" customFormat="1" ht="16.5" thickBot="1">
      <c r="A52" s="270" t="s">
        <v>2006</v>
      </c>
      <c r="B52" s="271"/>
      <c r="C52" s="272">
        <f ca="1">C31+C51</f>
        <v>34498718</v>
      </c>
      <c r="D52" s="271"/>
      <c r="E52" s="271"/>
      <c r="F52" s="271"/>
      <c r="G52" s="273"/>
    </row>
    <row r="55" spans="1:7" ht="15">
      <c r="B55" s="275" t="s">
        <v>2007</v>
      </c>
      <c r="C55" s="276"/>
    </row>
    <row r="56" spans="1:7">
      <c r="B56" s="278" t="s">
        <v>1237</v>
      </c>
      <c r="C56" s="280">
        <f ca="1">1-C57</f>
        <v>0.10299999999999998</v>
      </c>
    </row>
    <row r="57" spans="1:7">
      <c r="B57" s="278" t="s">
        <v>1238</v>
      </c>
      <c r="C57" s="279">
        <f ca="1">ROUND(C51/C52,3)</f>
        <v>0.89700000000000002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7</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6192.7899999999991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6192.7899999999991</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2075</v>
      </c>
      <c r="C20" s="24">
        <f ca="1">ROUND(D20*E20/10000,0)</f>
        <v>124</v>
      </c>
      <c r="D20" s="935">
        <f ca="1">IF(C1="",'数据-汇总表'!E6,IF(INDIRECT("'数据-取费表'!c"&amp;$K$1)="住宅",INDIRECT("'数据-取费表'!s"&amp;$K$1),INDIRECT("'数据-取费表'!k"&amp;$K$1)+INDIRECT("'数据-取费表'!s"&amp;$K$1)))</f>
        <v>6192.7899999999991</v>
      </c>
      <c r="E20" s="24">
        <f>'数据-取费表'!B28</f>
        <v>200</v>
      </c>
      <c r="F20" s="893"/>
      <c r="G20" s="15"/>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0.2</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0" zoomScaleNormal="70" zoomScaleSheetLayoutView="80"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27</v>
      </c>
      <c r="D1" s="1496" t="s">
        <v>70</v>
      </c>
      <c r="E1" s="1497" t="s">
        <v>1111</v>
      </c>
      <c r="F1" s="1173">
        <f ca="1">J53</f>
        <v>26.61</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21334</v>
      </c>
      <c r="C2" s="1521" t="s">
        <v>1240</v>
      </c>
      <c r="D2" s="1521"/>
      <c r="E2" s="1522"/>
      <c r="F2" s="1523"/>
      <c r="G2" s="2884"/>
      <c r="H2" s="2873"/>
      <c r="I2" s="2873"/>
      <c r="J2" s="2873"/>
      <c r="K2" s="2874"/>
      <c r="L2" s="2873"/>
      <c r="M2" s="2873"/>
    </row>
    <row r="3" spans="1:37" ht="18" customHeight="1" thickBot="1">
      <c r="A3" s="1524" t="s">
        <v>1241</v>
      </c>
      <c r="B3" s="1525">
        <f ca="1">IF(ISERROR(B2*10000/F43),0,ROUND(B2*10000/F43,0))</f>
        <v>34450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1247</v>
      </c>
      <c r="D5" s="1498" t="s">
        <v>1126</v>
      </c>
      <c r="E5" s="1183"/>
      <c r="F5" s="1184"/>
      <c r="G5" s="1518"/>
      <c r="H5" s="304">
        <v>1</v>
      </c>
      <c r="I5" s="305" t="s">
        <v>1125</v>
      </c>
      <c r="J5" s="1182">
        <f ca="1">J6+J10+J12</f>
        <v>0</v>
      </c>
      <c r="K5" s="1498" t="s">
        <v>1126</v>
      </c>
      <c r="L5" s="1183"/>
      <c r="M5" s="1184"/>
    </row>
    <row r="6" spans="1:37" ht="18" customHeight="1">
      <c r="A6" s="1181" t="s">
        <v>822</v>
      </c>
      <c r="B6" s="3526" t="s">
        <v>1127</v>
      </c>
      <c r="C6" s="1186">
        <f ca="1">ROUND(F6*F8*F7*(1-F9)/10000,0)</f>
        <v>1245</v>
      </c>
      <c r="D6" s="159" t="s">
        <v>2609</v>
      </c>
      <c r="E6" s="307" t="s">
        <v>1129</v>
      </c>
      <c r="F6" s="308">
        <f ca="1">INDIRECT("'数据-取费表'!u"&amp;$G$1)</f>
        <v>5.8</v>
      </c>
      <c r="G6" s="1518"/>
      <c r="H6" s="1181" t="s">
        <v>822</v>
      </c>
      <c r="I6" s="3526" t="s">
        <v>1127</v>
      </c>
      <c r="J6" s="306">
        <f ca="1">ROUND(M6*M8*M7*(1-M9)/10000,0)</f>
        <v>0</v>
      </c>
      <c r="K6" s="159" t="s">
        <v>2608</v>
      </c>
      <c r="L6" s="307" t="s">
        <v>1129</v>
      </c>
      <c r="M6" s="308">
        <f ca="1">INDIRECT("'数据-取费表'!z"&amp;$G$1)</f>
        <v>0</v>
      </c>
    </row>
    <row r="7" spans="1:37" ht="18" customHeight="1">
      <c r="A7" s="1185"/>
      <c r="B7" s="3527"/>
      <c r="C7" s="1187"/>
      <c r="D7" s="312"/>
      <c r="E7" s="1188" t="s">
        <v>1130</v>
      </c>
      <c r="F7" s="308">
        <f ca="1">IF(INDIRECT("'数据-取费表'!ah"&amp;$G$1)="",INDIRECT("'数据-取费表'!k"&amp;$G$1),INDIRECT("'数据-取费表'!ah"&amp;$G$1))</f>
        <v>6192.7899999999991</v>
      </c>
      <c r="G7" s="1518"/>
      <c r="H7" s="309"/>
      <c r="I7" s="3527"/>
      <c r="J7" s="311"/>
      <c r="K7" s="312"/>
      <c r="L7" s="307" t="s">
        <v>1130</v>
      </c>
      <c r="M7" s="308">
        <f ca="1">F7</f>
        <v>6192.7899999999991</v>
      </c>
    </row>
    <row r="8" spans="1:37" ht="18" customHeight="1">
      <c r="A8" s="309"/>
      <c r="B8" s="3527"/>
      <c r="C8" s="311"/>
      <c r="D8" s="312"/>
      <c r="E8" s="307" t="s">
        <v>1131</v>
      </c>
      <c r="F8" s="308">
        <f ca="1">INDIRECT("'数据-取费表'!ai"&amp;$G$1)</f>
        <v>365</v>
      </c>
      <c r="G8" s="1518"/>
      <c r="H8" s="309"/>
      <c r="I8" s="3527"/>
      <c r="J8" s="311"/>
      <c r="K8" s="312"/>
      <c r="L8" s="307" t="s">
        <v>1131</v>
      </c>
      <c r="M8" s="308">
        <f ca="1">INDIRECT("'数据-取费表'!ai"&amp;$G$1)</f>
        <v>365</v>
      </c>
    </row>
    <row r="9" spans="1:37" ht="18" customHeight="1">
      <c r="A9" s="309"/>
      <c r="B9" s="3528"/>
      <c r="C9" s="311"/>
      <c r="D9" s="312"/>
      <c r="E9" s="307" t="s">
        <v>1132</v>
      </c>
      <c r="F9" s="317">
        <f ca="1">INDIRECT("'数据-取费表'!w"&amp;$G$1)</f>
        <v>0.05</v>
      </c>
      <c r="G9" s="1518"/>
      <c r="H9" s="309"/>
      <c r="I9" s="3528"/>
      <c r="J9" s="311"/>
      <c r="K9" s="312"/>
      <c r="L9" s="318" t="s">
        <v>1132</v>
      </c>
      <c r="M9" s="319">
        <f ca="1">INDIRECT("'数据-取费表'!ab"&amp;$G$1)</f>
        <v>0</v>
      </c>
    </row>
    <row r="10" spans="1:37" ht="18" customHeight="1">
      <c r="A10" s="1181" t="s">
        <v>826</v>
      </c>
      <c r="B10" s="1499" t="s">
        <v>1133</v>
      </c>
      <c r="C10" s="321">
        <f ca="1">ROUND(IF(F10="押一",C6/12*F11,IF(F10="押二",C6/12*2*F11,IF(F10="押三",C6/12*3*F11,C11*F11))),0)</f>
        <v>2</v>
      </c>
      <c r="D10" s="1500" t="s">
        <v>2617</v>
      </c>
      <c r="E10" s="318" t="s">
        <v>1134</v>
      </c>
      <c r="F10" s="1228" t="s">
        <v>3204</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3095</v>
      </c>
      <c r="D13" s="1193" t="s">
        <v>1139</v>
      </c>
      <c r="E13" s="1193" t="s">
        <v>1140</v>
      </c>
      <c r="F13" s="1194">
        <f ca="1">INDIRECT("'数据-取费表'!y"&amp;$G$1)</f>
        <v>0.72500000000000009</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2787</v>
      </c>
      <c r="D14" s="1479" t="s">
        <v>1142</v>
      </c>
      <c r="E14" s="1476"/>
      <c r="F14" s="324"/>
      <c r="G14" s="1518"/>
      <c r="H14" s="1093" t="s">
        <v>822</v>
      </c>
      <c r="I14" s="307" t="s">
        <v>1143</v>
      </c>
      <c r="J14" s="24">
        <f ca="1">C29</f>
        <v>4269</v>
      </c>
      <c r="K14" s="15"/>
      <c r="L14" s="896"/>
      <c r="M14" s="897"/>
    </row>
    <row r="15" spans="1:37" s="1531" customFormat="1" ht="18" customHeight="1" thickBot="1">
      <c r="A15" s="1093" t="s">
        <v>823</v>
      </c>
      <c r="B15" s="307" t="s">
        <v>1144</v>
      </c>
      <c r="C15" s="24">
        <f ca="1">ROUND(C14*F15,0)</f>
        <v>139</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58</v>
      </c>
      <c r="K16" s="1199" t="s">
        <v>1149</v>
      </c>
      <c r="L16" s="1200"/>
      <c r="M16" s="1184"/>
    </row>
    <row r="17" spans="1:37" s="1531" customFormat="1" ht="18" customHeight="1">
      <c r="A17" s="1093" t="s">
        <v>1114</v>
      </c>
      <c r="B17" s="307" t="s">
        <v>1150</v>
      </c>
      <c r="C17" s="24">
        <f ca="1">ROUND(F17*(F43+INDIRECT("'数据-取费表'!S"&amp;$G$1))/10000,0)</f>
        <v>124</v>
      </c>
      <c r="D17" s="307" t="s">
        <v>1151</v>
      </c>
      <c r="E17" s="307" t="s">
        <v>1152</v>
      </c>
      <c r="F17" s="26">
        <f>'数据-取费表'!B35</f>
        <v>200</v>
      </c>
      <c r="G17" s="1530"/>
      <c r="H17" s="1093" t="s">
        <v>822</v>
      </c>
      <c r="I17" s="307" t="s">
        <v>1153</v>
      </c>
      <c r="J17" s="2484">
        <f ca="1">ROUND(IF(AND(项目基本情况!B11="自然人",项目基本情况!B10="北京市"),J6*M17/(1+'数据-取费表'!C42),J18+J19+J20),0)</f>
        <v>37</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42</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3092</v>
      </c>
      <c r="D19" s="135" t="s">
        <v>1160</v>
      </c>
      <c r="E19" s="1494"/>
      <c r="F19" s="26"/>
      <c r="G19" s="1518"/>
      <c r="H19" s="1093" t="s">
        <v>823</v>
      </c>
      <c r="I19" s="307" t="s">
        <v>1161</v>
      </c>
      <c r="J19" s="24">
        <f ca="1">IF(K19="按租金收入计税",ROUND(J6*M19/(1+'数据-取费表'!C42),2),ROUND(C29*M19*0.7,2))</f>
        <v>35.86</v>
      </c>
      <c r="K19" s="1504" t="s">
        <v>1162</v>
      </c>
      <c r="L19" s="307" t="s">
        <v>1146</v>
      </c>
      <c r="M19" s="327">
        <f>IF(K19="按租金收入计税",'数据-取费表'!B51,'数据-取费表'!B50)</f>
        <v>1.2E-2</v>
      </c>
    </row>
    <row r="20" spans="1:37" s="1531" customFormat="1" ht="18" customHeight="1">
      <c r="A20" s="1093" t="s">
        <v>826</v>
      </c>
      <c r="B20" s="307" t="s">
        <v>1163</v>
      </c>
      <c r="C20" s="24">
        <f ca="1">ROUND(C19*F20,0)</f>
        <v>62</v>
      </c>
      <c r="D20" s="328" t="s">
        <v>1164</v>
      </c>
      <c r="E20" s="307" t="s">
        <v>1146</v>
      </c>
      <c r="F20" s="327">
        <f>'数据-取费表'!B37</f>
        <v>0.02</v>
      </c>
      <c r="G20" s="1530"/>
      <c r="H20" s="1093" t="s">
        <v>1113</v>
      </c>
      <c r="I20" s="159" t="s">
        <v>1165</v>
      </c>
      <c r="J20" s="25">
        <f ca="1">ROUND(M20*M21/10000,2)</f>
        <v>0.96</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801.32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21.3</v>
      </c>
      <c r="K22" s="1478" t="s">
        <v>1174</v>
      </c>
      <c r="L22" s="307" t="s">
        <v>1146</v>
      </c>
      <c r="M22" s="333">
        <f ca="1">INDIRECT("'数据-取费表'!Ak"&amp;$G$1)</f>
        <v>5.0000000000000001E-3</v>
      </c>
    </row>
    <row r="23" spans="1:37" s="1531" customFormat="1" ht="18" customHeight="1">
      <c r="A23" s="1093" t="s">
        <v>821</v>
      </c>
      <c r="B23" s="307" t="s">
        <v>1175</v>
      </c>
      <c r="C23" s="24">
        <f ca="1">IF('数据-取费表'!B22&lt;=1,ROUND(C19*F24*F23/2,0)+ROUND(C20*F24*F23/2,0),ROUND(C19*(POWER((1+F24),F23/2)-1),0)+ROUND(C20*(POWER((1+F24),F23/2)-1),0))</f>
        <v>150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1478" t="s">
        <v>1178</v>
      </c>
      <c r="L23" s="307" t="s">
        <v>1179</v>
      </c>
      <c r="M23" s="335">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4.7500000000000001E-2</v>
      </c>
      <c r="G24" s="1530"/>
      <c r="H24" s="1201" t="s">
        <v>1117</v>
      </c>
      <c r="I24" s="1202" t="s">
        <v>1163</v>
      </c>
      <c r="J24" s="1203">
        <f ca="1">ROUND(J5*M24,1)</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-58</v>
      </c>
      <c r="K25" s="1207" t="s">
        <v>1188</v>
      </c>
      <c r="L25" s="1208"/>
      <c r="M25" s="1209"/>
    </row>
    <row r="26" spans="1:37">
      <c r="A26" s="1093" t="s">
        <v>821</v>
      </c>
      <c r="B26" s="307" t="s">
        <v>1189</v>
      </c>
      <c r="C26" s="24">
        <f ca="1">ROUND((C19+C20)*F26,0)</f>
        <v>631</v>
      </c>
      <c r="D26" s="328" t="s">
        <v>1190</v>
      </c>
      <c r="E26" s="318" t="s">
        <v>1191</v>
      </c>
      <c r="F26" s="317">
        <f ca="1">INDIRECT("'数据-取费表'!q"&amp;$G$1)</f>
        <v>0.2</v>
      </c>
      <c r="G26" s="1518"/>
      <c r="H26" s="304" t="s">
        <v>819</v>
      </c>
      <c r="I26" s="305" t="s">
        <v>1192</v>
      </c>
      <c r="J26" s="306">
        <f ca="1">IF(J5&lt;&gt;0,ROUND(J25*(1-((1+M28)/(1+M26))^M27)/(M26-M28),0),0)</f>
        <v>0</v>
      </c>
      <c r="K26" s="329" t="s">
        <v>1193</v>
      </c>
      <c r="L26" s="307" t="s">
        <v>1194</v>
      </c>
      <c r="M26" s="317">
        <f ca="1">INDIRECT("'数据-取费表'!I"&amp;$G$1)</f>
        <v>0.05</v>
      </c>
    </row>
    <row r="27" spans="1:37" ht="18" customHeight="1">
      <c r="A27" s="1093" t="s">
        <v>823</v>
      </c>
      <c r="B27" s="307" t="s">
        <v>1195</v>
      </c>
      <c r="C27" s="24">
        <f ca="1">ROUND(F21*F26,4)</f>
        <v>4.0000000000000001E-3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4269</v>
      </c>
      <c r="D29" s="1204"/>
      <c r="E29" s="1202"/>
      <c r="F29" s="1205"/>
      <c r="G29" s="1530"/>
      <c r="H29" s="339" t="s">
        <v>820</v>
      </c>
      <c r="I29" s="340" t="s">
        <v>1203</v>
      </c>
      <c r="J29" s="341">
        <f ca="1">ROUND(J26/(1+F40)^F41,0)</f>
        <v>0</v>
      </c>
      <c r="K29" s="342" t="s">
        <v>1204</v>
      </c>
      <c r="L29" s="343"/>
      <c r="M29" s="344">
        <f ca="1">INDIRECT("'数据-取费表'!k"&amp;$G$1)</f>
        <v>6192.7899999999991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241</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210</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3" t="s">
        <v>821</v>
      </c>
      <c r="B32" s="307" t="s">
        <v>1157</v>
      </c>
      <c r="C32" s="24">
        <f ca="1">IF(项目基本情况!B11="自然人","——",ROUND(C6*F32/(1+'数据-取费表'!C42),2))</f>
        <v>66.400000000000006</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142.29</v>
      </c>
      <c r="D33" s="1504" t="s">
        <v>3244</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0.96</v>
      </c>
      <c r="D34" s="329" t="s">
        <v>1166</v>
      </c>
      <c r="E34" s="307" t="s">
        <v>1167</v>
      </c>
      <c r="F34" s="330">
        <f>'数据-取费表'!B52</f>
        <v>12</v>
      </c>
      <c r="G34" s="1518"/>
      <c r="H34" s="2875"/>
      <c r="I34" s="1532"/>
      <c r="J34" s="1533"/>
      <c r="K34" s="2880"/>
      <c r="L34" s="2881"/>
      <c r="M34" s="2881"/>
    </row>
    <row r="35" spans="1:18" ht="18" customHeight="1">
      <c r="A35" s="1215"/>
      <c r="B35" s="1213"/>
      <c r="C35" s="29"/>
      <c r="D35" s="332"/>
      <c r="E35" s="307" t="s">
        <v>1171</v>
      </c>
      <c r="F35" s="308">
        <f ca="1">INDIRECT("'数据-取费表'!r"&amp;$G$1)</f>
        <v>801.32</v>
      </c>
      <c r="G35" s="1518"/>
      <c r="H35" s="2875"/>
      <c r="I35" s="1532"/>
      <c r="J35" s="1533"/>
      <c r="K35" s="2879"/>
      <c r="L35" s="2878"/>
      <c r="M35" s="2878"/>
    </row>
    <row r="36" spans="1:18" ht="18" customHeight="1">
      <c r="A36" s="1214" t="s">
        <v>826</v>
      </c>
      <c r="B36" s="307" t="s">
        <v>1173</v>
      </c>
      <c r="C36" s="24">
        <f ca="1">ROUND(C29*F36,1)</f>
        <v>21.3</v>
      </c>
      <c r="D36" s="1478" t="s">
        <v>1206</v>
      </c>
      <c r="E36" s="307" t="s">
        <v>1146</v>
      </c>
      <c r="F36" s="333">
        <f ca="1">INDIRECT("'数据-取费表'!Ak"&amp;$G$1)</f>
        <v>5.0000000000000001E-3</v>
      </c>
      <c r="G36" s="1518"/>
      <c r="H36" s="2878"/>
      <c r="I36" s="1532"/>
      <c r="J36" s="1533"/>
      <c r="K36" s="2719"/>
      <c r="L36" s="2878"/>
      <c r="M36" s="2878"/>
    </row>
    <row r="37" spans="1:18" ht="18" customHeight="1">
      <c r="A37" s="1093" t="s">
        <v>862</v>
      </c>
      <c r="B37" s="307" t="s">
        <v>1177</v>
      </c>
      <c r="C37" s="24">
        <f ca="1">ROUND(C13*F37,1)</f>
        <v>3.1</v>
      </c>
      <c r="D37" s="1478" t="s">
        <v>1178</v>
      </c>
      <c r="E37" s="307" t="s">
        <v>1179</v>
      </c>
      <c r="F37" s="335">
        <f ca="1">INDIRECT("'数据-取费表'!Al"&amp;$G$1)</f>
        <v>1E-3</v>
      </c>
      <c r="G37" s="1518"/>
      <c r="H37" s="2878"/>
      <c r="I37" s="1532"/>
      <c r="J37" s="1533"/>
      <c r="K37" s="2719"/>
      <c r="L37" s="2878"/>
      <c r="M37" s="2878"/>
    </row>
    <row r="38" spans="1:18" ht="18" customHeight="1" thickBot="1">
      <c r="A38" s="1201" t="s">
        <v>1117</v>
      </c>
      <c r="B38" s="1202" t="s">
        <v>1163</v>
      </c>
      <c r="C38" s="1203">
        <f ca="1">ROUND(C5*F38,1)</f>
        <v>6.2</v>
      </c>
      <c r="D38" s="1204" t="s">
        <v>1183</v>
      </c>
      <c r="E38" s="1202" t="s">
        <v>1179</v>
      </c>
      <c r="F38" s="1198">
        <f ca="1">INDIRECT("'数据-取费表'!Am"&amp;$G$1)</f>
        <v>5.0000000000000001E-3</v>
      </c>
      <c r="G38" s="1518"/>
      <c r="H38" s="2878"/>
      <c r="I38" s="1532"/>
      <c r="J38" s="1533"/>
      <c r="K38" s="2882"/>
      <c r="L38" s="2878"/>
      <c r="M38" s="2878"/>
    </row>
    <row r="39" spans="1:18" ht="24.6" customHeight="1" thickTop="1">
      <c r="A39" s="1191" t="s">
        <v>818</v>
      </c>
      <c r="B39" s="1206" t="s">
        <v>1207</v>
      </c>
      <c r="C39" s="315">
        <f ca="1">C5-C30</f>
        <v>1006</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21334</v>
      </c>
      <c r="D40" s="329" t="s">
        <v>1193</v>
      </c>
      <c r="E40" s="307" t="s">
        <v>1194</v>
      </c>
      <c r="F40" s="317">
        <f ca="1">INDIRECT("'数据-取费表'!I"&amp;$G$1)</f>
        <v>0.05</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26.61</v>
      </c>
      <c r="G41" s="1518"/>
      <c r="H41" s="1305"/>
      <c r="I41" s="1532"/>
      <c r="J41" s="1533"/>
      <c r="K41" s="2719"/>
      <c r="L41" s="1305"/>
      <c r="M41" s="1305"/>
    </row>
    <row r="42" spans="1:18" ht="18" customHeight="1">
      <c r="A42" s="313"/>
      <c r="B42" s="314"/>
      <c r="C42" s="315"/>
      <c r="D42" s="332"/>
      <c r="E42" s="307" t="s">
        <v>1201</v>
      </c>
      <c r="F42" s="317">
        <f ca="1">INDIRECT("'数据-取费表'!v"&amp;$G$1)</f>
        <v>3.5000000000000003E-2</v>
      </c>
      <c r="G42" s="1518"/>
      <c r="H42" s="1305"/>
      <c r="I42" s="1532"/>
      <c r="J42" s="1533"/>
      <c r="K42" s="2719"/>
      <c r="L42" s="1305"/>
      <c r="M42" s="1305"/>
    </row>
    <row r="43" spans="1:18" ht="18" customHeight="1" thickBot="1">
      <c r="A43" s="339" t="s">
        <v>820</v>
      </c>
      <c r="B43" s="340" t="s">
        <v>1211</v>
      </c>
      <c r="C43" s="341">
        <f ca="1">ROUND(C40*10000/F43,0)</f>
        <v>34450</v>
      </c>
      <c r="D43" s="342" t="s">
        <v>1212</v>
      </c>
      <c r="E43" s="343" t="s">
        <v>1213</v>
      </c>
      <c r="F43" s="344">
        <f ca="1">INDIRECT("'数据-取费表'!k"&amp;$G$1)</f>
        <v>6192.7899999999991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-26917</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3205</v>
      </c>
      <c r="K47" s="1550" t="s">
        <v>1251</v>
      </c>
      <c r="L47" s="1551">
        <f ca="1">INDIRECT("'数据-取费表'!d"&amp;$G$1)</f>
        <v>50</v>
      </c>
      <c r="M47" s="1514" t="str">
        <f>IF(ISNUMBER(FIND("住宅",C1)),"住宅","非住宅")</f>
        <v>非住宅</v>
      </c>
      <c r="O47" s="1552" t="s">
        <v>827</v>
      </c>
      <c r="P47" s="1553" t="s">
        <v>1252</v>
      </c>
      <c r="Q47" s="1554">
        <f ca="1">C40+J29</f>
        <v>21334</v>
      </c>
      <c r="R47" s="1554" t="s">
        <v>1253</v>
      </c>
    </row>
    <row r="48" spans="1:18" s="1518" customFormat="1" ht="28.5" thickBot="1">
      <c r="A48" s="1222" t="s">
        <v>863</v>
      </c>
      <c r="B48" s="305" t="s">
        <v>1125</v>
      </c>
      <c r="C48" s="1493">
        <f ca="1">C49+C53+C55</f>
        <v>0</v>
      </c>
      <c r="D48" s="1224"/>
      <c r="E48" s="1225"/>
      <c r="F48" s="1073"/>
      <c r="G48" s="730"/>
      <c r="H48" s="731"/>
      <c r="I48" s="1555" t="s">
        <v>1254</v>
      </c>
      <c r="J48" s="1556" t="s">
        <v>3206</v>
      </c>
      <c r="K48" s="1557" t="s">
        <v>1255</v>
      </c>
      <c r="L48" s="1558">
        <f ca="1">INDIRECT("'数据-取费表'!f"&amp;$G$1)</f>
        <v>26.61</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2001</v>
      </c>
      <c r="K49" s="1557" t="s">
        <v>1259</v>
      </c>
      <c r="L49" s="1561"/>
      <c r="O49" s="1562" t="s">
        <v>829</v>
      </c>
      <c r="P49" s="1553" t="s">
        <v>1260</v>
      </c>
      <c r="Q49" s="1554">
        <f ca="1">C29</f>
        <v>4269</v>
      </c>
      <c r="R49" s="1554" t="s">
        <v>1253</v>
      </c>
    </row>
    <row r="50" spans="1:18" s="1518" customFormat="1" ht="13.5" thickBot="1">
      <c r="A50" s="1087"/>
      <c r="B50" s="1090"/>
      <c r="C50" s="1230"/>
      <c r="D50" s="1064"/>
      <c r="E50" s="1167" t="s">
        <v>1130</v>
      </c>
      <c r="F50" s="1168">
        <f ca="1">F7</f>
        <v>6192.7899999999991</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39</v>
      </c>
      <c r="K51" s="1568" t="s">
        <v>1265</v>
      </c>
      <c r="L51" s="1569">
        <f ca="1">ROUND(-PV(INDIRECT("'数据-取费表'!h"&amp;$G$1),J51,(C39-C13*C76),0),0)</f>
        <v>14954</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26.61</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26.61</v>
      </c>
      <c r="K53" s="3524" t="s">
        <v>1272</v>
      </c>
      <c r="L53" s="3525"/>
      <c r="O53" s="1552" t="s">
        <v>833</v>
      </c>
      <c r="P53" s="1553" t="s">
        <v>1273</v>
      </c>
      <c r="Q53" s="1554">
        <f ca="1">Q47+Q48</f>
        <v>21334</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3095</v>
      </c>
      <c r="D56" s="1581"/>
      <c r="E56" s="1582"/>
      <c r="F56" s="1574"/>
      <c r="I56" s="1583" t="s">
        <v>1278</v>
      </c>
      <c r="J56" s="1584" t="s">
        <v>3178</v>
      </c>
      <c r="K56" s="1555" t="s">
        <v>1279</v>
      </c>
      <c r="L56" s="1558" t="str">
        <f ca="1">IF(L48&lt;J51,"——",L48-J53)</f>
        <v>——</v>
      </c>
      <c r="O56" s="1552" t="s">
        <v>827</v>
      </c>
      <c r="P56" s="1553" t="s">
        <v>1252</v>
      </c>
      <c r="Q56" s="1554">
        <f ca="1">C40+J29</f>
        <v>21334</v>
      </c>
      <c r="R56" s="1554" t="s">
        <v>1253</v>
      </c>
    </row>
    <row r="57" spans="1:18" s="1518" customFormat="1" ht="24.75" thickBot="1">
      <c r="A57" s="1585"/>
      <c r="B57" s="1061" t="s">
        <v>1202</v>
      </c>
      <c r="C57" s="243">
        <f ca="1">C29</f>
        <v>4269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384</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360</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358.6</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0.96</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21334</v>
      </c>
      <c r="R62" s="1554" t="s">
        <v>834</v>
      </c>
    </row>
    <row r="63" spans="1:18" s="1518" customFormat="1" ht="13.5" thickBot="1">
      <c r="A63" s="331"/>
      <c r="B63" s="1067"/>
      <c r="C63" s="29"/>
      <c r="D63" s="1077"/>
      <c r="E63" s="1061" t="s">
        <v>1223</v>
      </c>
      <c r="F63" s="308">
        <f t="shared" ca="1" si="0"/>
        <v>801.32</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21.3</v>
      </c>
      <c r="D64" s="1075" t="s">
        <v>1226</v>
      </c>
      <c r="E64" s="1061" t="s">
        <v>1218</v>
      </c>
      <c r="F64" s="333">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3.1</v>
      </c>
      <c r="D65" s="1075" t="s">
        <v>1178</v>
      </c>
      <c r="E65" s="1061" t="s">
        <v>1179</v>
      </c>
      <c r="F65" s="335">
        <f t="shared" ca="1" si="0"/>
        <v>1E-3</v>
      </c>
      <c r="I65" s="1596" t="s">
        <v>1303</v>
      </c>
      <c r="J65" s="1597">
        <v>40</v>
      </c>
      <c r="K65" s="1597">
        <v>30</v>
      </c>
      <c r="L65" s="1597">
        <v>50</v>
      </c>
      <c r="M65" s="1599">
        <v>0.02</v>
      </c>
      <c r="O65" s="1552" t="s">
        <v>827</v>
      </c>
      <c r="P65" s="1553" t="s">
        <v>1304</v>
      </c>
      <c r="Q65" s="1554">
        <f ca="1">C40+J29</f>
        <v>21334</v>
      </c>
      <c r="R65" s="1554" t="s">
        <v>1253</v>
      </c>
    </row>
    <row r="66" spans="1:18" s="1518" customFormat="1" ht="16.5" thickBot="1">
      <c r="A66" s="1093" t="s">
        <v>1228</v>
      </c>
      <c r="B66" s="1061" t="s">
        <v>1163</v>
      </c>
      <c r="C66" s="24">
        <f ca="1">ROUND(C48*F66,1)</f>
        <v>0</v>
      </c>
      <c r="D66" s="1075" t="s">
        <v>1229</v>
      </c>
      <c r="E66" s="1061" t="s">
        <v>1146</v>
      </c>
      <c r="F66" s="317">
        <f t="shared" ca="1" si="0"/>
        <v>5.0000000000000001E-3</v>
      </c>
      <c r="O66" s="1552" t="s">
        <v>828</v>
      </c>
      <c r="P66" s="1553" t="s">
        <v>1282</v>
      </c>
      <c r="Q66" s="1554">
        <f ca="1">L60</f>
        <v>0</v>
      </c>
      <c r="R66" s="1554" t="s">
        <v>1305</v>
      </c>
    </row>
    <row r="67" spans="1:18" s="1518" customFormat="1" ht="16.5" thickBot="1">
      <c r="A67" s="1068" t="s">
        <v>818</v>
      </c>
      <c r="B67" s="1078" t="s">
        <v>1187</v>
      </c>
      <c r="C67" s="321">
        <f ca="1">C48-C58</f>
        <v>-384</v>
      </c>
      <c r="D67" s="1074" t="s">
        <v>1188</v>
      </c>
      <c r="E67" s="1079"/>
      <c r="F67" s="1080"/>
      <c r="O67" s="1562" t="s">
        <v>829</v>
      </c>
      <c r="P67" s="1553" t="s">
        <v>1286</v>
      </c>
      <c r="Q67" s="1600">
        <f ca="1">L51</f>
        <v>14954</v>
      </c>
      <c r="R67" s="1554" t="s">
        <v>1306</v>
      </c>
    </row>
    <row r="68" spans="1:18" s="1518" customFormat="1" ht="16.5" thickBot="1">
      <c r="A68" s="1058" t="s">
        <v>819</v>
      </c>
      <c r="B68" s="1059" t="s">
        <v>1209</v>
      </c>
      <c r="C68" s="306">
        <f ca="1">ROUND(C67*(1-((1+F70)/(1+F68))^F69)/(F68-F70),0)</f>
        <v>-5583</v>
      </c>
      <c r="D68" s="1076" t="s">
        <v>1193</v>
      </c>
      <c r="E68" s="1061" t="s">
        <v>1194</v>
      </c>
      <c r="F68" s="317">
        <f ca="1">F40</f>
        <v>0.05</v>
      </c>
      <c r="O68" s="1562" t="s">
        <v>830</v>
      </c>
      <c r="P68" s="1601" t="s">
        <v>1307</v>
      </c>
      <c r="Q68" s="1554">
        <f ca="1">ROUND(Q69-Q70*Q71,0)</f>
        <v>820</v>
      </c>
      <c r="R68" s="1554" t="s">
        <v>838</v>
      </c>
    </row>
    <row r="69" spans="1:18" s="1518" customFormat="1" ht="13.5" thickBot="1">
      <c r="A69" s="1062"/>
      <c r="B69" s="1063"/>
      <c r="C69" s="311"/>
      <c r="D69" s="1081" t="s">
        <v>1197</v>
      </c>
      <c r="E69" s="1061" t="s">
        <v>1198</v>
      </c>
      <c r="F69" s="338">
        <f ca="1">F41</f>
        <v>26.61</v>
      </c>
      <c r="O69" s="1562" t="s">
        <v>835</v>
      </c>
      <c r="P69" s="1601" t="s">
        <v>1308</v>
      </c>
      <c r="Q69" s="1554">
        <f ca="1">C39</f>
        <v>1006</v>
      </c>
      <c r="R69" s="1554" t="s">
        <v>1253</v>
      </c>
    </row>
    <row r="70" spans="1:18" s="1518" customFormat="1" ht="13.5" thickBot="1">
      <c r="A70" s="1065"/>
      <c r="B70" s="1066"/>
      <c r="C70" s="315"/>
      <c r="D70" s="1077"/>
      <c r="E70" s="1061" t="s">
        <v>1201</v>
      </c>
      <c r="F70" s="1165"/>
      <c r="O70" s="1562" t="s">
        <v>836</v>
      </c>
      <c r="P70" s="1601" t="s">
        <v>1309</v>
      </c>
      <c r="Q70" s="1554">
        <f ca="1">C13</f>
        <v>3095</v>
      </c>
      <c r="R70" s="1554" t="s">
        <v>1253</v>
      </c>
    </row>
    <row r="71" spans="1:18" s="1518" customFormat="1" ht="13.5" thickBot="1">
      <c r="A71" s="1082" t="s">
        <v>820</v>
      </c>
      <c r="B71" s="1083" t="s">
        <v>1211</v>
      </c>
      <c r="C71" s="341">
        <f ca="1">ROUND(C68*10000/F71,0)</f>
        <v>-9015</v>
      </c>
      <c r="D71" s="1084" t="s">
        <v>1212</v>
      </c>
      <c r="E71" s="1085" t="s">
        <v>1213</v>
      </c>
      <c r="F71" s="344">
        <f ca="1">F43</f>
        <v>6192.7899999999991</v>
      </c>
      <c r="O71" s="1562" t="s">
        <v>837</v>
      </c>
      <c r="P71" s="1601" t="s">
        <v>1310</v>
      </c>
      <c r="Q71" s="1565">
        <f ca="1">C76</f>
        <v>0.06</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186</v>
      </c>
      <c r="D75" s="1518"/>
      <c r="E75" s="1518"/>
      <c r="F75" s="1518"/>
      <c r="K75" s="1536"/>
      <c r="L75" s="1518"/>
      <c r="O75" s="1552" t="s">
        <v>833</v>
      </c>
      <c r="P75" s="1553" t="s">
        <v>1273</v>
      </c>
      <c r="Q75" s="1554">
        <f ca="1">Q65+Q66</f>
        <v>21334</v>
      </c>
      <c r="R75" s="1554" t="s">
        <v>834</v>
      </c>
    </row>
    <row r="76" spans="1:18">
      <c r="B76" s="347" t="s">
        <v>1231</v>
      </c>
      <c r="C76" s="348">
        <f ca="1">INDIRECT("'数据-取费表'!j"&amp;$G$1)</f>
        <v>0.06</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0.81499999999999995</v>
      </c>
    </row>
    <row r="80" spans="1:18">
      <c r="B80" s="345" t="s">
        <v>1235</v>
      </c>
      <c r="C80" s="279">
        <f ca="1">ROUND(C75/C39,3)</f>
        <v>0.185</v>
      </c>
    </row>
    <row r="81" spans="2:3">
      <c r="B81" s="275" t="s">
        <v>1236</v>
      </c>
      <c r="C81" s="243"/>
    </row>
    <row r="82" spans="2:3">
      <c r="B82" s="278" t="s">
        <v>1237</v>
      </c>
      <c r="C82" s="280">
        <f ca="1">1-C83</f>
        <v>0.85499999999999998</v>
      </c>
    </row>
    <row r="83" spans="2:3">
      <c r="B83" s="278" t="s">
        <v>1238</v>
      </c>
      <c r="C83" s="279">
        <f ca="1">ROUND(C13/C40,3)</f>
        <v>0.14499999999999999</v>
      </c>
    </row>
  </sheetData>
  <sheetProtection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526" t="s">
        <v>1127</v>
      </c>
      <c r="C6" s="1186">
        <f ca="1">ROUND(F6*F8*F7*(1-F9),0)</f>
        <v>0</v>
      </c>
      <c r="D6" s="159" t="s">
        <v>2606</v>
      </c>
      <c r="E6" s="307" t="s">
        <v>1129</v>
      </c>
      <c r="F6" s="308">
        <f ca="1">INDIRECT("'数据-取费表'!u"&amp;$G$1)</f>
        <v>0</v>
      </c>
      <c r="G6" s="1518"/>
      <c r="H6" s="1181" t="s">
        <v>822</v>
      </c>
      <c r="I6" s="3526" t="s">
        <v>1127</v>
      </c>
      <c r="J6" s="306">
        <f ca="1">ROUND(M6*M8*M7*(1-M9),0)</f>
        <v>0</v>
      </c>
      <c r="K6" s="1510" t="s">
        <v>2607</v>
      </c>
      <c r="L6" s="307" t="s">
        <v>1129</v>
      </c>
      <c r="M6" s="308">
        <f ca="1">INDIRECT("'数据-取费表'!z"&amp;$G$1)</f>
        <v>0</v>
      </c>
    </row>
    <row r="7" spans="1:37" ht="18" customHeight="1">
      <c r="A7" s="1185"/>
      <c r="B7" s="3527"/>
      <c r="C7" s="1187"/>
      <c r="D7" s="312"/>
      <c r="E7" s="1188" t="s">
        <v>1130</v>
      </c>
      <c r="F7" s="308">
        <f ca="1">IF(INDIRECT("'数据-取费表'!ah"&amp;$G$1)="",INDIRECT("'数据-取费表'!k"&amp;$G$1),INDIRECT("'数据-取费表'!ah"&amp;$G$1))</f>
        <v>0</v>
      </c>
      <c r="G7" s="1518"/>
      <c r="H7" s="309"/>
      <c r="I7" s="3527"/>
      <c r="J7" s="311"/>
      <c r="K7" s="312"/>
      <c r="L7" s="307" t="s">
        <v>1130</v>
      </c>
      <c r="M7" s="308">
        <f ca="1">F7</f>
        <v>0</v>
      </c>
    </row>
    <row r="8" spans="1:37" ht="18" customHeight="1">
      <c r="A8" s="309"/>
      <c r="B8" s="3527"/>
      <c r="C8" s="311"/>
      <c r="D8" s="312"/>
      <c r="E8" s="307" t="s">
        <v>1131</v>
      </c>
      <c r="F8" s="308">
        <f ca="1">INDIRECT("'数据-取费表'!ai"&amp;$G$1)</f>
        <v>0</v>
      </c>
      <c r="G8" s="1518"/>
      <c r="H8" s="309"/>
      <c r="I8" s="3527"/>
      <c r="J8" s="311"/>
      <c r="K8" s="312"/>
      <c r="L8" s="307" t="s">
        <v>1131</v>
      </c>
      <c r="M8" s="308">
        <f ca="1">INDIRECT("'数据-取费表'!ai"&amp;$G$1)</f>
        <v>0</v>
      </c>
    </row>
    <row r="9" spans="1:37" ht="18" customHeight="1">
      <c r="A9" s="309"/>
      <c r="B9" s="3528"/>
      <c r="C9" s="311"/>
      <c r="D9" s="312"/>
      <c r="E9" s="307" t="s">
        <v>1132</v>
      </c>
      <c r="F9" s="317">
        <f ca="1">INDIRECT("'数据-取费表'!w"&amp;$G$1)</f>
        <v>0</v>
      </c>
      <c r="G9" s="1518"/>
      <c r="H9" s="309"/>
      <c r="I9" s="3528"/>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4.7500000000000001E-2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2810</v>
      </c>
      <c r="I31" s="1532"/>
      <c r="J31" s="1533"/>
      <c r="K31" s="2650"/>
      <c r="L31" s="2876"/>
      <c r="M31" s="2877"/>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5">
        <f ca="1">IF(项目基本情况!B11="自然人","——",ROUND(F34*F35,))</f>
        <v>0</v>
      </c>
      <c r="D34" s="329" t="s">
        <v>1166</v>
      </c>
      <c r="E34" s="307" t="s">
        <v>1167</v>
      </c>
      <c r="F34" s="330">
        <f>'数据-取费表'!B52</f>
        <v>12</v>
      </c>
      <c r="G34" s="1518"/>
      <c r="H34" s="2875"/>
      <c r="I34" s="1532"/>
      <c r="J34" s="1533"/>
      <c r="K34" s="2880"/>
      <c r="L34" s="2881"/>
      <c r="M34" s="2881"/>
    </row>
    <row r="35" spans="1:18" ht="18" customHeight="1">
      <c r="A35" s="1215"/>
      <c r="B35" s="1213"/>
      <c r="C35" s="29"/>
      <c r="D35" s="332"/>
      <c r="E35" s="307" t="s">
        <v>1171</v>
      </c>
      <c r="F35" s="308">
        <f ca="1">INDIRECT("'数据-取费表'!r"&amp;$G$1)</f>
        <v>0</v>
      </c>
      <c r="G35" s="1518"/>
      <c r="H35" s="2875"/>
      <c r="I35" s="1532"/>
      <c r="J35" s="1533"/>
      <c r="K35" s="2879"/>
      <c r="L35" s="2878"/>
      <c r="M35" s="2878"/>
    </row>
    <row r="36" spans="1:18" ht="18" customHeight="1">
      <c r="A36" s="1214" t="s">
        <v>826</v>
      </c>
      <c r="B36" s="307" t="s">
        <v>1173</v>
      </c>
      <c r="C36" s="24">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4">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524" t="s">
        <v>1272</v>
      </c>
      <c r="L53" s="3525"/>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2938</v>
      </c>
      <c r="B1" s="3012"/>
      <c r="C1" s="3024"/>
      <c r="D1" s="3024"/>
      <c r="E1" s="3013"/>
      <c r="F1" s="3014"/>
      <c r="G1" s="3015"/>
      <c r="J1" s="3018" t="s">
        <v>2817</v>
      </c>
      <c r="K1" s="3019"/>
      <c r="L1" s="3019"/>
      <c r="M1" s="3019"/>
      <c r="N1" s="3019"/>
      <c r="O1" s="3019"/>
      <c r="P1" s="3019"/>
      <c r="Q1" s="3019"/>
      <c r="R1" s="3020"/>
      <c r="S1" s="3021"/>
      <c r="T1" s="3021"/>
      <c r="U1" s="3021"/>
    </row>
    <row r="2" spans="1:22" s="3033" customFormat="1" ht="13.15" customHeight="1">
      <c r="A2" s="1519" t="s">
        <v>2818</v>
      </c>
      <c r="B2" s="3023" t="e">
        <f>C40</f>
        <v>#DIV/0!</v>
      </c>
      <c r="C2" s="3024" t="s">
        <v>2819</v>
      </c>
      <c r="D2" s="3024"/>
      <c r="E2" s="3025"/>
      <c r="F2" s="3026"/>
      <c r="G2" s="3027"/>
      <c r="H2" s="3028"/>
      <c r="I2" s="3029"/>
      <c r="J2" s="3535" t="s">
        <v>2820</v>
      </c>
      <c r="K2" s="3536"/>
      <c r="L2" s="3030" t="s">
        <v>2821</v>
      </c>
      <c r="M2" s="3030" t="s">
        <v>2822</v>
      </c>
      <c r="N2" s="3030" t="s">
        <v>2823</v>
      </c>
      <c r="O2" s="3030" t="s">
        <v>2824</v>
      </c>
      <c r="P2" s="3030" t="s">
        <v>2825</v>
      </c>
      <c r="Q2" s="3031" t="s">
        <v>2826</v>
      </c>
      <c r="R2" s="3032" t="s">
        <v>2827</v>
      </c>
      <c r="S2" s="3021"/>
      <c r="T2" s="3021"/>
      <c r="U2" s="3021"/>
      <c r="V2" s="3029"/>
    </row>
    <row r="3" spans="1:22" s="3033" customFormat="1" ht="13.15" customHeight="1">
      <c r="A3" s="3034" t="s">
        <v>2828</v>
      </c>
      <c r="B3" s="3035" t="e">
        <f>ROUND(B2*10000/B4,0)</f>
        <v>#DIV/0!</v>
      </c>
      <c r="C3" s="3024" t="s">
        <v>2829</v>
      </c>
      <c r="D3" s="3024"/>
      <c r="E3" s="3025"/>
      <c r="F3" s="3026"/>
      <c r="G3" s="3027"/>
      <c r="H3" s="3028"/>
      <c r="I3" s="3029"/>
      <c r="J3" s="3537" t="s">
        <v>2830</v>
      </c>
      <c r="K3" s="3538"/>
      <c r="L3" s="3036"/>
      <c r="M3" s="3036"/>
      <c r="N3" s="3036"/>
      <c r="O3" s="3036"/>
      <c r="P3" s="3036"/>
      <c r="Q3" s="3037"/>
      <c r="R3" s="3038">
        <f>SUM(L3:Q3)</f>
        <v>0</v>
      </c>
      <c r="S3" s="3021"/>
      <c r="T3" s="3021"/>
      <c r="U3" s="3021"/>
      <c r="V3" s="3029"/>
    </row>
    <row r="4" spans="1:22" s="3033" customFormat="1" ht="13.15" customHeight="1">
      <c r="A4" s="3039" t="s">
        <v>2831</v>
      </c>
      <c r="B4" s="3040"/>
      <c r="C4" s="3024"/>
      <c r="D4" s="3024"/>
      <c r="E4" s="3025"/>
      <c r="F4" s="3026"/>
      <c r="G4" s="3027"/>
      <c r="H4" s="3028"/>
      <c r="I4" s="3029"/>
      <c r="J4" s="3537" t="s">
        <v>2832</v>
      </c>
      <c r="K4" s="3538"/>
      <c r="L4" s="3041"/>
      <c r="M4" s="3041"/>
      <c r="N4" s="3041"/>
      <c r="O4" s="3041"/>
      <c r="P4" s="3041"/>
      <c r="Q4" s="3042"/>
      <c r="R4" s="3043">
        <f>SUM(L4:Q4)</f>
        <v>0</v>
      </c>
      <c r="S4" s="3021"/>
      <c r="T4" s="3021"/>
      <c r="U4" s="3021"/>
      <c r="V4" s="3029"/>
    </row>
    <row r="5" spans="1:22" s="3033" customFormat="1" ht="13.15" customHeight="1" thickBot="1">
      <c r="A5" s="3044" t="s">
        <v>2833</v>
      </c>
      <c r="B5" s="3045"/>
      <c r="C5" s="3024"/>
      <c r="D5" s="3046"/>
      <c r="E5" s="3026"/>
      <c r="F5" s="3026"/>
      <c r="G5" s="3027"/>
      <c r="H5" s="3028"/>
      <c r="I5" s="3029"/>
      <c r="J5" s="3047" t="s">
        <v>2834</v>
      </c>
      <c r="K5" s="3048"/>
      <c r="L5" s="3048"/>
      <c r="M5" s="3049"/>
      <c r="N5" s="3049"/>
      <c r="O5" s="3049"/>
      <c r="P5" s="3049"/>
      <c r="Q5" s="3049"/>
      <c r="R5" s="3032">
        <f>SUM(R14,R19,R24,R25,R27,R28)</f>
        <v>0</v>
      </c>
      <c r="S5" s="3021"/>
      <c r="T5" s="3021" t="s">
        <v>2835</v>
      </c>
      <c r="U5" s="3021" t="e">
        <f>ROUND(R5*10000/365/R3,1)</f>
        <v>#DIV/0!</v>
      </c>
      <c r="V5" s="3029"/>
    </row>
    <row r="6" spans="1:22" s="3033" customFormat="1" ht="13.15" customHeight="1" thickBot="1">
      <c r="A6" s="3543" t="s">
        <v>2836</v>
      </c>
      <c r="B6" s="3544"/>
      <c r="C6" s="3545"/>
      <c r="D6" s="3050"/>
      <c r="E6" s="3051"/>
      <c r="F6" s="3052"/>
      <c r="G6" s="3053"/>
      <c r="H6" s="3028"/>
      <c r="I6" s="3029"/>
      <c r="J6" s="3529">
        <v>1</v>
      </c>
      <c r="K6" s="3530" t="s">
        <v>2837</v>
      </c>
      <c r="L6" s="3054" t="s">
        <v>2838</v>
      </c>
      <c r="M6" s="3055" t="s">
        <v>2839</v>
      </c>
      <c r="N6" s="3055" t="s">
        <v>2840</v>
      </c>
      <c r="O6" s="3055" t="s">
        <v>2841</v>
      </c>
      <c r="P6" s="3055" t="s">
        <v>2842</v>
      </c>
      <c r="Q6" s="3055" t="s">
        <v>2843</v>
      </c>
      <c r="R6" s="3038" t="s">
        <v>2844</v>
      </c>
      <c r="S6" s="3021"/>
      <c r="T6" s="3021" t="s">
        <v>2845</v>
      </c>
      <c r="U6" s="3021"/>
      <c r="V6" s="3029"/>
    </row>
    <row r="7" spans="1:22" s="3033" customFormat="1" ht="13.15" customHeight="1">
      <c r="A7" s="3056" t="s">
        <v>2846</v>
      </c>
      <c r="B7" s="3057"/>
      <c r="C7" s="3058"/>
      <c r="D7" s="3059">
        <f>SUM(D9,D10,D11,D17,0)</f>
        <v>0</v>
      </c>
      <c r="E7" s="3060" t="e">
        <f>E9+E10+E11+E17</f>
        <v>#DIV/0!</v>
      </c>
      <c r="F7" s="3061"/>
      <c r="G7" s="3062"/>
      <c r="H7" s="3028"/>
      <c r="I7" s="3029"/>
      <c r="J7" s="3529"/>
      <c r="K7" s="3531"/>
      <c r="L7" s="3063" t="s">
        <v>2847</v>
      </c>
      <c r="M7" s="3064"/>
      <c r="N7" s="3040"/>
      <c r="O7" s="3065"/>
      <c r="P7" s="3065"/>
      <c r="Q7" s="3066">
        <v>365</v>
      </c>
      <c r="R7" s="3067">
        <f>ROUND(M7*N7*O7*P7*Q7/10000,0)</f>
        <v>0</v>
      </c>
      <c r="S7" s="3021"/>
      <c r="T7" s="3021" t="s">
        <v>2848</v>
      </c>
      <c r="U7" s="3021"/>
      <c r="V7" s="3029"/>
    </row>
    <row r="8" spans="1:22" s="3033" customFormat="1" ht="13.15" customHeight="1">
      <c r="A8" s="3068" t="s">
        <v>2849</v>
      </c>
      <c r="B8" s="3546" t="s">
        <v>2850</v>
      </c>
      <c r="C8" s="3547"/>
      <c r="D8" s="3069" t="s">
        <v>2851</v>
      </c>
      <c r="E8" s="3070" t="s">
        <v>2852</v>
      </c>
      <c r="F8" s="3071" t="s">
        <v>2853</v>
      </c>
      <c r="G8" s="3072"/>
      <c r="H8" s="3028"/>
      <c r="I8" s="3029"/>
      <c r="J8" s="3529"/>
      <c r="K8" s="3531"/>
      <c r="L8" s="3063" t="s">
        <v>2854</v>
      </c>
      <c r="M8" s="3064"/>
      <c r="N8" s="3040"/>
      <c r="O8" s="3065"/>
      <c r="P8" s="3065"/>
      <c r="Q8" s="3066">
        <v>365</v>
      </c>
      <c r="R8" s="3067">
        <f t="shared" ref="R8:R13" si="0">ROUND(M8*N8*O8*P8*Q8/10000,0)</f>
        <v>0</v>
      </c>
      <c r="S8" s="3021"/>
      <c r="T8" s="3021" t="s">
        <v>2855</v>
      </c>
      <c r="U8" s="3021"/>
      <c r="V8" s="3029"/>
    </row>
    <row r="9" spans="1:22" s="3033" customFormat="1" ht="13.15" customHeight="1">
      <c r="A9" s="3068">
        <v>1</v>
      </c>
      <c r="B9" s="3546" t="s">
        <v>2856</v>
      </c>
      <c r="C9" s="3547"/>
      <c r="D9" s="3069">
        <f>ROUND(D6*E9,0)</f>
        <v>0</v>
      </c>
      <c r="E9" s="3073"/>
      <c r="F9" s="3074" t="s">
        <v>2857</v>
      </c>
      <c r="G9" s="3053"/>
      <c r="H9" s="3028"/>
      <c r="I9" s="3029"/>
      <c r="J9" s="3529"/>
      <c r="K9" s="3531"/>
      <c r="L9" s="3063" t="s">
        <v>2858</v>
      </c>
      <c r="M9" s="3064"/>
      <c r="N9" s="3040"/>
      <c r="O9" s="3065"/>
      <c r="P9" s="3065"/>
      <c r="Q9" s="3066">
        <v>365</v>
      </c>
      <c r="R9" s="3067">
        <f t="shared" si="0"/>
        <v>0</v>
      </c>
      <c r="S9" s="3021"/>
      <c r="T9" s="3021"/>
      <c r="U9" s="3021"/>
      <c r="V9" s="3029"/>
    </row>
    <row r="10" spans="1:22" s="3033" customFormat="1" ht="13.15" customHeight="1">
      <c r="A10" s="3068">
        <v>2</v>
      </c>
      <c r="B10" s="3546" t="s">
        <v>2859</v>
      </c>
      <c r="C10" s="3547"/>
      <c r="D10" s="3069">
        <f>ROUND(D6*E10,0)</f>
        <v>0</v>
      </c>
      <c r="E10" s="3073"/>
      <c r="F10" s="3074" t="s">
        <v>2860</v>
      </c>
      <c r="G10" s="3053"/>
      <c r="H10" s="3028"/>
      <c r="I10" s="3029"/>
      <c r="J10" s="3529"/>
      <c r="K10" s="3531"/>
      <c r="L10" s="3063" t="s">
        <v>2861</v>
      </c>
      <c r="M10" s="3064"/>
      <c r="N10" s="3040"/>
      <c r="O10" s="3065"/>
      <c r="P10" s="3065"/>
      <c r="Q10" s="3066">
        <v>365</v>
      </c>
      <c r="R10" s="3067">
        <f t="shared" si="0"/>
        <v>0</v>
      </c>
      <c r="S10" s="3021"/>
      <c r="T10" s="3021"/>
      <c r="U10" s="3021"/>
      <c r="V10" s="3029"/>
    </row>
    <row r="11" spans="1:22" s="3033" customFormat="1" ht="13.15" customHeight="1">
      <c r="A11" s="3068">
        <v>3</v>
      </c>
      <c r="B11" s="3546" t="s">
        <v>2862</v>
      </c>
      <c r="C11" s="3547"/>
      <c r="D11" s="3069">
        <f>D12+D14+D15+D16</f>
        <v>0</v>
      </c>
      <c r="E11" s="3075" t="e">
        <f>D11/D6</f>
        <v>#DIV/0!</v>
      </c>
      <c r="F11" s="3071"/>
      <c r="G11" s="3072"/>
      <c r="H11" s="3028"/>
      <c r="I11" s="3029"/>
      <c r="J11" s="3529"/>
      <c r="K11" s="3531"/>
      <c r="L11" s="3063" t="s">
        <v>2863</v>
      </c>
      <c r="M11" s="3064"/>
      <c r="N11" s="3040"/>
      <c r="O11" s="3065"/>
      <c r="P11" s="3065"/>
      <c r="Q11" s="3066">
        <v>365</v>
      </c>
      <c r="R11" s="3067">
        <f t="shared" si="0"/>
        <v>0</v>
      </c>
      <c r="S11" s="3021"/>
      <c r="T11" s="3021"/>
      <c r="U11" s="3021"/>
      <c r="V11" s="3029"/>
    </row>
    <row r="12" spans="1:22" s="3033" customFormat="1" ht="13.15" customHeight="1">
      <c r="A12" s="3076" t="s">
        <v>2864</v>
      </c>
      <c r="B12" s="3539" t="s">
        <v>2865</v>
      </c>
      <c r="C12" s="3540"/>
      <c r="D12" s="3077">
        <f>ROUND(D13*1.2%*(1-30%),0)</f>
        <v>0</v>
      </c>
      <c r="E12" s="3078">
        <v>1.2E-2</v>
      </c>
      <c r="F12" s="3071" t="s">
        <v>2866</v>
      </c>
      <c r="G12" s="3072"/>
      <c r="H12" s="3028"/>
      <c r="I12" s="3029"/>
      <c r="J12" s="3529"/>
      <c r="K12" s="3531"/>
      <c r="L12" s="3063" t="s">
        <v>2867</v>
      </c>
      <c r="M12" s="3064"/>
      <c r="N12" s="3040"/>
      <c r="O12" s="3065"/>
      <c r="P12" s="3065"/>
      <c r="Q12" s="3066">
        <v>365</v>
      </c>
      <c r="R12" s="3067">
        <f t="shared" si="0"/>
        <v>0</v>
      </c>
      <c r="S12" s="3021"/>
      <c r="T12" s="3021"/>
      <c r="U12" s="3021"/>
      <c r="V12" s="3029"/>
    </row>
    <row r="13" spans="1:22" s="3033" customFormat="1" ht="13.15" customHeight="1">
      <c r="A13" s="3076"/>
      <c r="B13" s="3079"/>
      <c r="C13" s="3080" t="s">
        <v>2868</v>
      </c>
      <c r="D13" s="3081"/>
      <c r="E13" s="3082"/>
      <c r="F13" s="3071"/>
      <c r="G13" s="3072"/>
      <c r="H13" s="3028"/>
      <c r="I13" s="3029"/>
      <c r="J13" s="3529"/>
      <c r="K13" s="3531"/>
      <c r="L13" s="3063" t="s">
        <v>2869</v>
      </c>
      <c r="M13" s="3064"/>
      <c r="N13" s="3040"/>
      <c r="O13" s="3065"/>
      <c r="P13" s="3065"/>
      <c r="Q13" s="3066">
        <v>365</v>
      </c>
      <c r="R13" s="3067">
        <f t="shared" si="0"/>
        <v>0</v>
      </c>
      <c r="S13" s="3021"/>
      <c r="T13" s="3021"/>
      <c r="U13" s="3021"/>
      <c r="V13" s="3029"/>
    </row>
    <row r="14" spans="1:22" s="3033" customFormat="1" ht="13.15" customHeight="1">
      <c r="A14" s="3076" t="s">
        <v>2870</v>
      </c>
      <c r="B14" s="3539" t="s">
        <v>2871</v>
      </c>
      <c r="C14" s="3540"/>
      <c r="D14" s="3077">
        <f>ROUND(E14*B5/10000,0)</f>
        <v>0</v>
      </c>
      <c r="E14" s="3066"/>
      <c r="F14" s="3071" t="s">
        <v>2872</v>
      </c>
      <c r="G14" s="3072"/>
      <c r="H14" s="3028"/>
      <c r="I14" s="3029"/>
      <c r="J14" s="3529"/>
      <c r="K14" s="3532"/>
      <c r="L14" s="3083" t="s">
        <v>2873</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2874</v>
      </c>
      <c r="B15" s="3539" t="s">
        <v>2875</v>
      </c>
      <c r="C15" s="3540"/>
      <c r="D15" s="3077">
        <f>ROUND(D6*E15,0)</f>
        <v>0</v>
      </c>
      <c r="E15" s="3078">
        <v>5.5E-2</v>
      </c>
      <c r="F15" s="3071" t="s">
        <v>2876</v>
      </c>
      <c r="G15" s="3053"/>
      <c r="H15" s="3028"/>
      <c r="I15" s="3029"/>
      <c r="J15" s="3529">
        <v>2</v>
      </c>
      <c r="K15" s="3530" t="s">
        <v>2877</v>
      </c>
      <c r="L15" s="3063" t="s">
        <v>2878</v>
      </c>
      <c r="M15" s="3064" t="s">
        <v>2879</v>
      </c>
      <c r="N15" s="3064" t="s">
        <v>2880</v>
      </c>
      <c r="O15" s="3065" t="s">
        <v>2881</v>
      </c>
      <c r="P15" s="3065" t="s">
        <v>2843</v>
      </c>
      <c r="Q15" s="3040" t="s">
        <v>2882</v>
      </c>
      <c r="R15" s="3087" t="s">
        <v>2844</v>
      </c>
      <c r="S15" s="3021"/>
      <c r="T15" s="3021"/>
      <c r="U15" s="3021"/>
      <c r="V15" s="3029"/>
    </row>
    <row r="16" spans="1:22" s="3033" customFormat="1" ht="13.15" customHeight="1">
      <c r="A16" s="3076" t="s">
        <v>2883</v>
      </c>
      <c r="B16" s="3539" t="s">
        <v>2884</v>
      </c>
      <c r="C16" s="3540"/>
      <c r="D16" s="3088">
        <f>D6*E16</f>
        <v>0</v>
      </c>
      <c r="E16" s="3089"/>
      <c r="F16" s="3074" t="s">
        <v>2885</v>
      </c>
      <c r="G16" s="3053"/>
      <c r="H16" s="3028"/>
      <c r="I16" s="3029"/>
      <c r="J16" s="3529"/>
      <c r="K16" s="3531"/>
      <c r="L16" s="3063" t="s">
        <v>2886</v>
      </c>
      <c r="M16" s="3064"/>
      <c r="N16" s="3064"/>
      <c r="O16" s="3065"/>
      <c r="P16" s="3066">
        <v>365</v>
      </c>
      <c r="Q16" s="3040"/>
      <c r="R16" s="3087">
        <f>ROUND(M16*N16*O16*P16/10000,0)</f>
        <v>0</v>
      </c>
      <c r="S16" s="3021"/>
      <c r="T16" s="3021"/>
      <c r="U16" s="3021"/>
      <c r="V16" s="3029"/>
    </row>
    <row r="17" spans="1:22" s="3033" customFormat="1" ht="13.15" customHeight="1" thickBot="1">
      <c r="A17" s="3090">
        <v>4</v>
      </c>
      <c r="B17" s="3541" t="s">
        <v>2887</v>
      </c>
      <c r="C17" s="3542"/>
      <c r="D17" s="3091">
        <f>ROUND(D6*E17,0)</f>
        <v>0</v>
      </c>
      <c r="E17" s="3092"/>
      <c r="F17" s="3093" t="s">
        <v>2888</v>
      </c>
      <c r="G17" s="3053"/>
      <c r="H17" s="3028"/>
      <c r="I17" s="3029"/>
      <c r="J17" s="3529"/>
      <c r="K17" s="3531"/>
      <c r="L17" s="3063" t="s">
        <v>2889</v>
      </c>
      <c r="M17" s="3064"/>
      <c r="N17" s="3064"/>
      <c r="O17" s="3065"/>
      <c r="P17" s="3066">
        <v>365</v>
      </c>
      <c r="Q17" s="3040"/>
      <c r="R17" s="3087">
        <f>ROUND(M17*N17*O17*P17/10000,0)</f>
        <v>0</v>
      </c>
      <c r="S17" s="3021"/>
      <c r="T17" s="3021"/>
      <c r="U17" s="3021"/>
      <c r="V17" s="3029"/>
    </row>
    <row r="18" spans="1:22" s="3033" customFormat="1" ht="13.15" customHeight="1" thickBot="1">
      <c r="A18" s="3056" t="s">
        <v>2890</v>
      </c>
      <c r="B18" s="3057"/>
      <c r="C18" s="3057"/>
      <c r="D18" s="3094">
        <f>ROUND(D6*E18,0)</f>
        <v>0</v>
      </c>
      <c r="E18" s="3095"/>
      <c r="F18" s="3096" t="s">
        <v>2891</v>
      </c>
      <c r="G18" s="3053"/>
      <c r="H18" s="3028"/>
      <c r="I18" s="3029"/>
      <c r="J18" s="3529"/>
      <c r="K18" s="3531"/>
      <c r="L18" s="3063" t="s">
        <v>2892</v>
      </c>
      <c r="M18" s="3064"/>
      <c r="N18" s="3064"/>
      <c r="O18" s="3065"/>
      <c r="P18" s="3066">
        <v>365</v>
      </c>
      <c r="Q18" s="3040"/>
      <c r="R18" s="3087">
        <f>ROUND(M18*N18*O18*P18/10000,0)</f>
        <v>0</v>
      </c>
      <c r="S18" s="3021"/>
      <c r="T18" s="3021"/>
      <c r="U18" s="3021"/>
      <c r="V18" s="3029"/>
    </row>
    <row r="19" spans="1:22" s="3033" customFormat="1" ht="13.15" customHeight="1" thickBot="1">
      <c r="A19" s="3097" t="s">
        <v>2893</v>
      </c>
      <c r="B19" s="3051"/>
      <c r="C19" s="3051"/>
      <c r="D19" s="3051"/>
      <c r="E19" s="3051"/>
      <c r="F19" s="3052"/>
      <c r="G19" s="3072"/>
      <c r="H19" s="3028"/>
      <c r="I19" s="3029"/>
      <c r="J19" s="3529"/>
      <c r="K19" s="3532"/>
      <c r="L19" s="3083" t="s">
        <v>2873</v>
      </c>
      <c r="M19" s="3084"/>
      <c r="N19" s="3084">
        <f>SUM(N16:N18)</f>
        <v>0</v>
      </c>
      <c r="O19" s="3085"/>
      <c r="P19" s="3098" t="s">
        <v>2937</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29">
        <v>3</v>
      </c>
      <c r="K20" s="3530" t="s">
        <v>2894</v>
      </c>
      <c r="L20" s="3063" t="s">
        <v>2895</v>
      </c>
      <c r="M20" s="3064" t="s">
        <v>2896</v>
      </c>
      <c r="N20" s="3101" t="s">
        <v>2897</v>
      </c>
      <c r="O20" s="3065" t="s">
        <v>2898</v>
      </c>
      <c r="P20" s="3066" t="s">
        <v>2899</v>
      </c>
      <c r="Q20" s="3040" t="s">
        <v>2900</v>
      </c>
      <c r="R20" s="3087" t="s">
        <v>2901</v>
      </c>
      <c r="S20" s="3102"/>
      <c r="T20" s="3102"/>
      <c r="U20" s="3102"/>
      <c r="V20" s="3029"/>
    </row>
    <row r="21" spans="1:22" s="3033" customFormat="1" ht="13.15" customHeight="1">
      <c r="A21" s="3056"/>
      <c r="B21" s="3057"/>
      <c r="C21" s="3103" t="s">
        <v>2902</v>
      </c>
      <c r="D21" s="3104" t="s">
        <v>2903</v>
      </c>
      <c r="E21" s="3105" t="s">
        <v>2904</v>
      </c>
      <c r="F21" s="3100"/>
      <c r="G21" s="3072"/>
      <c r="H21" s="3028"/>
      <c r="I21" s="3029"/>
      <c r="J21" s="3529"/>
      <c r="K21" s="3531"/>
      <c r="L21" s="3063" t="s">
        <v>2905</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2906</v>
      </c>
      <c r="D22" s="3108" t="s">
        <v>2907</v>
      </c>
      <c r="E22" s="3109" t="s">
        <v>2908</v>
      </c>
      <c r="F22" s="3100"/>
      <c r="G22" s="3110"/>
      <c r="H22" s="3028"/>
      <c r="I22" s="3029"/>
      <c r="J22" s="3529"/>
      <c r="K22" s="3531"/>
      <c r="L22" s="3063" t="s">
        <v>2909</v>
      </c>
      <c r="M22" s="3064"/>
      <c r="N22" s="3064"/>
      <c r="O22" s="3065"/>
      <c r="P22" s="3066">
        <v>365</v>
      </c>
      <c r="Q22" s="3040"/>
      <c r="R22" s="3106">
        <f>ROUND(M22*N22*O22*P22/10000,0)</f>
        <v>0</v>
      </c>
      <c r="S22" s="3102"/>
      <c r="T22" s="3102"/>
      <c r="U22" s="3102"/>
      <c r="V22" s="3029"/>
    </row>
    <row r="23" spans="1:22" s="3033" customFormat="1" ht="13.15" customHeight="1">
      <c r="A23" s="3111">
        <v>1</v>
      </c>
      <c r="B23" s="3112" t="s">
        <v>2910</v>
      </c>
      <c r="C23" s="3113">
        <f>D6</f>
        <v>0</v>
      </c>
      <c r="D23" s="3114">
        <f>C23*(1+D24)</f>
        <v>0</v>
      </c>
      <c r="E23" s="3115">
        <f>D23*(1+E24)</f>
        <v>0</v>
      </c>
      <c r="F23" s="3116"/>
      <c r="G23" s="3117"/>
      <c r="H23" s="3028"/>
      <c r="I23" s="3029"/>
      <c r="J23" s="3529"/>
      <c r="K23" s="3531"/>
      <c r="L23" s="3063" t="s">
        <v>2911</v>
      </c>
      <c r="M23" s="3064"/>
      <c r="N23" s="3064"/>
      <c r="O23" s="3065"/>
      <c r="P23" s="3066">
        <v>365</v>
      </c>
      <c r="Q23" s="3040"/>
      <c r="R23" s="3106">
        <f>ROUND(M23*N23*O23*P23/10000,0)</f>
        <v>0</v>
      </c>
      <c r="S23" s="3021"/>
      <c r="T23" s="3021"/>
      <c r="U23" s="3021"/>
      <c r="V23" s="3029"/>
    </row>
    <row r="24" spans="1:22" s="3033" customFormat="1" ht="13.15" customHeight="1">
      <c r="A24" s="3118"/>
      <c r="B24" s="3119" t="s">
        <v>2912</v>
      </c>
      <c r="C24" s="3120"/>
      <c r="D24" s="3121"/>
      <c r="E24" s="3122"/>
      <c r="F24" s="3123"/>
      <c r="G24" s="3117"/>
      <c r="H24" s="3028"/>
      <c r="I24" s="3029"/>
      <c r="J24" s="3529"/>
      <c r="K24" s="3532"/>
      <c r="L24" s="3083" t="s">
        <v>2873</v>
      </c>
      <c r="M24" s="3084">
        <f>SUM(M21:M23)</f>
        <v>0</v>
      </c>
      <c r="N24" s="3084"/>
      <c r="O24" s="3085"/>
      <c r="P24" s="3098" t="s">
        <v>2937</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2913</v>
      </c>
      <c r="L25" s="3126"/>
      <c r="M25" s="3126"/>
      <c r="N25" s="3126"/>
      <c r="O25" s="3126"/>
      <c r="P25" s="3127"/>
      <c r="Q25" s="3128">
        <v>0</v>
      </c>
      <c r="R25" s="3099">
        <f>ROUND(R14*Q25,0)</f>
        <v>0</v>
      </c>
      <c r="S25" s="3021"/>
      <c r="T25" s="3021"/>
      <c r="U25" s="3021"/>
      <c r="V25" s="3129"/>
    </row>
    <row r="26" spans="1:22" s="3130" customFormat="1" ht="13.15" customHeight="1">
      <c r="A26" s="3111">
        <v>2</v>
      </c>
      <c r="B26" s="3112" t="s">
        <v>2914</v>
      </c>
      <c r="C26" s="3113">
        <f>D7</f>
        <v>0</v>
      </c>
      <c r="D26" s="3114">
        <f>D23*D27</f>
        <v>0</v>
      </c>
      <c r="E26" s="3115">
        <f>E23*E27</f>
        <v>0</v>
      </c>
      <c r="F26" s="3116"/>
      <c r="G26" s="3117"/>
      <c r="H26" s="3028"/>
      <c r="I26" s="3029"/>
      <c r="J26" s="3533">
        <v>5</v>
      </c>
      <c r="K26" s="3131" t="s">
        <v>2915</v>
      </c>
      <c r="L26" s="3132"/>
      <c r="M26" s="3133"/>
      <c r="N26" s="3134" t="s">
        <v>2916</v>
      </c>
      <c r="O26" s="3134" t="s">
        <v>2917</v>
      </c>
      <c r="P26" s="3135" t="s">
        <v>2918</v>
      </c>
      <c r="Q26" s="3135" t="s">
        <v>2919</v>
      </c>
      <c r="R26" s="3038" t="s">
        <v>2844</v>
      </c>
      <c r="S26" s="3136"/>
      <c r="T26" s="3136"/>
      <c r="U26" s="3136"/>
      <c r="V26" s="3129"/>
    </row>
    <row r="27" spans="1:22" s="3033" customFormat="1" ht="13.15" customHeight="1">
      <c r="A27" s="3118"/>
      <c r="B27" s="3119" t="s">
        <v>2920</v>
      </c>
      <c r="C27" s="3137" t="e">
        <f>E7</f>
        <v>#DIV/0!</v>
      </c>
      <c r="D27" s="3121"/>
      <c r="E27" s="3122"/>
      <c r="F27" s="3123"/>
      <c r="G27" s="3117"/>
      <c r="H27" s="3138"/>
      <c r="I27" s="3129"/>
      <c r="J27" s="3534"/>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2921</v>
      </c>
      <c r="F28" s="3123"/>
      <c r="G28" s="3110"/>
      <c r="H28" s="3138"/>
      <c r="I28" s="3129"/>
      <c r="J28" s="3144">
        <v>6</v>
      </c>
      <c r="K28" s="3145" t="s">
        <v>2922</v>
      </c>
      <c r="L28" s="3146" t="s">
        <v>2923</v>
      </c>
      <c r="M28" s="3147"/>
      <c r="N28" s="3146" t="s">
        <v>2924</v>
      </c>
      <c r="O28" s="3148"/>
      <c r="P28" s="3146" t="s">
        <v>2925</v>
      </c>
      <c r="Q28" s="3149">
        <v>1.4999999999999999E-2</v>
      </c>
      <c r="R28" s="3150"/>
      <c r="S28" s="3102"/>
      <c r="T28" s="3102"/>
      <c r="U28" s="3102"/>
      <c r="V28" s="3129"/>
    </row>
    <row r="29" spans="1:22" s="3130" customFormat="1" ht="13.15" customHeight="1">
      <c r="A29" s="3111">
        <v>3</v>
      </c>
      <c r="B29" s="3112" t="s">
        <v>2926</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2920</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2927</v>
      </c>
      <c r="K31" s="3019"/>
      <c r="L31" s="3019"/>
      <c r="M31" s="3019"/>
      <c r="N31" s="3019"/>
      <c r="O31" s="3019"/>
      <c r="P31" s="3019"/>
      <c r="Q31" s="3019"/>
      <c r="R31" s="3020"/>
      <c r="S31" s="3102"/>
      <c r="T31" s="3021"/>
      <c r="U31" s="3021"/>
      <c r="V31" s="3129"/>
    </row>
    <row r="32" spans="1:22" s="3130" customFormat="1" ht="13.15" customHeight="1">
      <c r="A32" s="3111">
        <v>4</v>
      </c>
      <c r="B32" s="3112" t="s">
        <v>2928</v>
      </c>
      <c r="C32" s="3113">
        <f>C23-C26-C29</f>
        <v>0</v>
      </c>
      <c r="D32" s="3114">
        <f>D23-D26-D29</f>
        <v>0</v>
      </c>
      <c r="E32" s="3115">
        <f>E23-E26-E29</f>
        <v>0</v>
      </c>
      <c r="F32" s="3116"/>
      <c r="G32" s="3110"/>
      <c r="H32" s="3028"/>
      <c r="I32" s="3029"/>
      <c r="J32" s="3535" t="s">
        <v>2820</v>
      </c>
      <c r="K32" s="3536"/>
      <c r="L32" s="3030" t="s">
        <v>2821</v>
      </c>
      <c r="M32" s="3030" t="s">
        <v>2822</v>
      </c>
      <c r="N32" s="3030" t="s">
        <v>2823</v>
      </c>
      <c r="O32" s="3030" t="s">
        <v>2824</v>
      </c>
      <c r="P32" s="3030" t="s">
        <v>2825</v>
      </c>
      <c r="Q32" s="3031" t="s">
        <v>2826</v>
      </c>
      <c r="R32" s="3153" t="s">
        <v>2827</v>
      </c>
      <c r="S32" s="3102"/>
      <c r="T32" s="3021"/>
      <c r="U32" s="3021"/>
      <c r="V32" s="3129"/>
    </row>
    <row r="33" spans="1:23" s="3033" customFormat="1" ht="13.15" customHeight="1">
      <c r="A33" s="3111"/>
      <c r="B33" s="3112"/>
      <c r="C33" s="3113"/>
      <c r="D33" s="3154"/>
      <c r="E33" s="3155"/>
      <c r="F33" s="3116"/>
      <c r="G33" s="3110"/>
      <c r="H33" s="3138"/>
      <c r="I33" s="3129"/>
      <c r="J33" s="3537" t="s">
        <v>2830</v>
      </c>
      <c r="K33" s="3538"/>
      <c r="L33" s="3036"/>
      <c r="M33" s="3036"/>
      <c r="N33" s="3036"/>
      <c r="O33" s="3036"/>
      <c r="P33" s="3036"/>
      <c r="Q33" s="3037"/>
      <c r="R33" s="3156">
        <f>SUM(L33:Q33)</f>
        <v>0</v>
      </c>
      <c r="S33" s="3102"/>
      <c r="T33" s="3021"/>
      <c r="U33" s="3021"/>
      <c r="V33" s="3029"/>
    </row>
    <row r="34" spans="1:23" s="3033" customFormat="1" ht="13.15" customHeight="1">
      <c r="A34" s="3111">
        <v>5</v>
      </c>
      <c r="B34" s="3112" t="s">
        <v>2929</v>
      </c>
      <c r="C34" s="3157"/>
      <c r="D34" s="3158"/>
      <c r="E34" s="3159"/>
      <c r="F34" s="3116"/>
      <c r="G34" s="3110"/>
      <c r="H34" s="3138"/>
      <c r="I34" s="3129"/>
      <c r="J34" s="3537" t="s">
        <v>2832</v>
      </c>
      <c r="K34" s="3538"/>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2930</v>
      </c>
      <c r="C35" s="3161"/>
      <c r="D35" s="3162"/>
      <c r="E35" s="3163"/>
      <c r="F35" s="3116"/>
      <c r="G35" s="3164"/>
      <c r="H35" s="3028"/>
      <c r="I35" s="3129"/>
      <c r="J35" s="3047" t="s">
        <v>2834</v>
      </c>
      <c r="K35" s="3048"/>
      <c r="L35" s="3048"/>
      <c r="M35" s="3049"/>
      <c r="N35" s="3049"/>
      <c r="O35" s="3049"/>
      <c r="P35" s="3049"/>
      <c r="Q35" s="3049"/>
      <c r="R35" s="3165">
        <f>R40+R41+R43</f>
        <v>0</v>
      </c>
      <c r="S35" s="3102"/>
      <c r="T35" s="3021" t="s">
        <v>2835</v>
      </c>
      <c r="U35" s="3021"/>
      <c r="V35" s="3029"/>
    </row>
    <row r="36" spans="1:23" s="3033" customFormat="1" ht="13.15" customHeight="1" thickBot="1">
      <c r="A36" s="3111">
        <v>7</v>
      </c>
      <c r="B36" s="3166" t="s">
        <v>2931</v>
      </c>
      <c r="C36" s="3167"/>
      <c r="D36" s="3168"/>
      <c r="E36" s="3169"/>
      <c r="F36" s="3170">
        <f>C36+D36+E36</f>
        <v>0</v>
      </c>
      <c r="G36" s="3110"/>
      <c r="H36" s="3028"/>
      <c r="I36" s="3029"/>
      <c r="J36" s="3529">
        <v>1</v>
      </c>
      <c r="K36" s="3530" t="s">
        <v>2932</v>
      </c>
      <c r="L36" s="3054"/>
      <c r="M36" s="3055"/>
      <c r="N36" s="3055"/>
      <c r="O36" s="3055"/>
      <c r="P36" s="3055"/>
      <c r="Q36" s="3055"/>
      <c r="R36" s="3038" t="s">
        <v>2844</v>
      </c>
      <c r="S36" s="3102"/>
      <c r="T36" s="3021" t="s">
        <v>2845</v>
      </c>
      <c r="U36" s="3021"/>
      <c r="V36" s="3029"/>
    </row>
    <row r="37" spans="1:23" s="3033" customFormat="1" ht="13.15" customHeight="1">
      <c r="A37" s="3111"/>
      <c r="B37" s="3112"/>
      <c r="C37" s="3112"/>
      <c r="D37" s="3112"/>
      <c r="E37" s="3112"/>
      <c r="F37" s="3116"/>
      <c r="G37" s="3110"/>
      <c r="H37" s="3028"/>
      <c r="I37" s="3029"/>
      <c r="J37" s="3529"/>
      <c r="K37" s="3531"/>
      <c r="L37" s="3063"/>
      <c r="M37" s="3064"/>
      <c r="N37" s="3040"/>
      <c r="O37" s="3065"/>
      <c r="P37" s="3065"/>
      <c r="Q37" s="3066"/>
      <c r="R37" s="3067"/>
      <c r="S37" s="3102"/>
      <c r="T37" s="3021" t="s">
        <v>2848</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529"/>
      <c r="K38" s="3531"/>
      <c r="L38" s="3063"/>
      <c r="M38" s="3064"/>
      <c r="N38" s="3040"/>
      <c r="O38" s="3065"/>
      <c r="P38" s="3065"/>
      <c r="Q38" s="3066"/>
      <c r="R38" s="3067"/>
      <c r="S38" s="3102"/>
      <c r="T38" s="3021" t="s">
        <v>2855</v>
      </c>
      <c r="U38" s="3021"/>
      <c r="V38" s="3029"/>
    </row>
    <row r="39" spans="1:23" s="3033" customFormat="1" ht="13.15" customHeight="1">
      <c r="A39" s="3111">
        <v>9</v>
      </c>
      <c r="B39" s="3112" t="s">
        <v>2933</v>
      </c>
      <c r="C39" s="3077" t="e">
        <f>C38</f>
        <v>#DIV/0!</v>
      </c>
      <c r="D39" s="3112">
        <f>D38/(1+D34)^C36</f>
        <v>0</v>
      </c>
      <c r="E39" s="3112">
        <f>E38/(1+E34)^(C36+D36)</f>
        <v>0</v>
      </c>
      <c r="F39" s="3116"/>
      <c r="G39" s="3171"/>
      <c r="H39" s="3028"/>
      <c r="I39" s="3029"/>
      <c r="J39" s="3529"/>
      <c r="K39" s="3531"/>
      <c r="L39" s="3063"/>
      <c r="M39" s="3064"/>
      <c r="N39" s="3040"/>
      <c r="O39" s="3065"/>
      <c r="P39" s="3065"/>
      <c r="Q39" s="3066"/>
      <c r="R39" s="3067"/>
      <c r="S39" s="3102"/>
      <c r="T39" s="3021"/>
      <c r="U39" s="3021"/>
      <c r="V39" s="3029"/>
    </row>
    <row r="40" spans="1:23" s="3033" customFormat="1" ht="13.15" customHeight="1">
      <c r="A40" s="3172">
        <v>10</v>
      </c>
      <c r="B40" s="3112" t="s">
        <v>2934</v>
      </c>
      <c r="C40" s="3173" t="e">
        <f>C39+D39+E39</f>
        <v>#DIV/0!</v>
      </c>
      <c r="D40" s="3174"/>
      <c r="E40" s="3174"/>
      <c r="F40" s="3175"/>
      <c r="G40" s="3110"/>
      <c r="H40" s="3028"/>
      <c r="I40" s="3029"/>
      <c r="J40" s="3529"/>
      <c r="K40" s="3532"/>
      <c r="L40" s="3083" t="s">
        <v>2873</v>
      </c>
      <c r="M40" s="3084"/>
      <c r="N40" s="3084"/>
      <c r="O40" s="3085"/>
      <c r="P40" s="3085"/>
      <c r="Q40" s="3086"/>
      <c r="R40" s="3032">
        <f>SUM(R37:R39)</f>
        <v>0</v>
      </c>
      <c r="S40" s="3102"/>
      <c r="T40" s="3021"/>
      <c r="U40" s="3021"/>
      <c r="V40" s="3029"/>
    </row>
    <row r="41" spans="1:23" s="3033" customFormat="1" ht="13.15" customHeight="1" thickBot="1">
      <c r="A41" s="3176">
        <v>11</v>
      </c>
      <c r="B41" s="3177" t="s">
        <v>2935</v>
      </c>
      <c r="C41" s="3177" t="e">
        <f>ROUND(C40*10000/B4,0)</f>
        <v>#DIV/0!</v>
      </c>
      <c r="D41" s="3178"/>
      <c r="E41" s="3178"/>
      <c r="F41" s="3179"/>
      <c r="G41" s="3180"/>
      <c r="H41" s="3028"/>
      <c r="I41" s="3029"/>
      <c r="J41" s="3124">
        <v>2</v>
      </c>
      <c r="K41" s="3125" t="s">
        <v>2913</v>
      </c>
      <c r="L41" s="3126"/>
      <c r="M41" s="3126"/>
      <c r="N41" s="3126"/>
      <c r="O41" s="3126"/>
      <c r="P41" s="3127"/>
      <c r="Q41" s="3128"/>
      <c r="R41" s="3099">
        <f>ROUND(R40*Q41,0)</f>
        <v>0</v>
      </c>
      <c r="S41" s="3102"/>
      <c r="T41" s="3021"/>
      <c r="U41" s="3136"/>
      <c r="V41" s="3029"/>
    </row>
    <row r="42" spans="1:23" s="3033" customFormat="1" ht="13.15" customHeight="1">
      <c r="G42" s="3180"/>
      <c r="H42" s="3028"/>
      <c r="I42" s="3029"/>
      <c r="J42" s="3533">
        <v>3</v>
      </c>
      <c r="K42" s="3131" t="s">
        <v>2915</v>
      </c>
      <c r="L42" s="3132"/>
      <c r="M42" s="3133"/>
      <c r="N42" s="3134" t="s">
        <v>2916</v>
      </c>
      <c r="O42" s="3134" t="s">
        <v>2917</v>
      </c>
      <c r="P42" s="3135" t="s">
        <v>2918</v>
      </c>
      <c r="Q42" s="3135" t="s">
        <v>2919</v>
      </c>
      <c r="R42" s="3038" t="s">
        <v>2844</v>
      </c>
      <c r="S42" s="3136"/>
      <c r="T42" s="3136"/>
      <c r="U42" s="3021"/>
      <c r="V42" s="3029"/>
    </row>
    <row r="43" spans="1:23" ht="13.15" customHeight="1">
      <c r="A43" s="3033"/>
      <c r="B43" s="3033"/>
      <c r="C43" s="3033"/>
      <c r="D43" s="3033"/>
      <c r="E43" s="3033"/>
      <c r="F43" s="3033"/>
      <c r="I43" s="3016"/>
      <c r="J43" s="3534"/>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2922</v>
      </c>
      <c r="L44" s="3184" t="s">
        <v>2923</v>
      </c>
      <c r="M44" s="3147"/>
      <c r="N44" s="3184" t="s">
        <v>2924</v>
      </c>
      <c r="O44" s="3147"/>
      <c r="P44" s="3184" t="s">
        <v>2925</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21334</v>
      </c>
      <c r="C2" s="2008" t="s">
        <v>2099</v>
      </c>
      <c r="D2" s="2009" t="s">
        <v>2100</v>
      </c>
      <c r="E2" s="2782">
        <f>SUM(E6:E13)</f>
        <v>6192.7899999999991</v>
      </c>
      <c r="F2" s="2885"/>
      <c r="G2" s="1624"/>
      <c r="H2" s="1624"/>
      <c r="I2" s="1624"/>
      <c r="J2" s="1624"/>
      <c r="K2" s="1624"/>
      <c r="L2" s="1624"/>
      <c r="M2" s="1624"/>
      <c r="N2" s="1624"/>
      <c r="O2" s="1624"/>
      <c r="P2" s="1624"/>
      <c r="Q2" s="1624"/>
      <c r="R2" s="1624"/>
      <c r="S2" s="1624"/>
    </row>
    <row r="3" spans="1:22" ht="15.75">
      <c r="A3" s="2006" t="s">
        <v>1119</v>
      </c>
      <c r="B3" s="2776">
        <f ca="1">ROUND(B2*10000/E2,0)</f>
        <v>34450</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548" t="s">
        <v>2102</v>
      </c>
      <c r="C5" s="3549"/>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21334</v>
      </c>
      <c r="C6" s="2008" t="s">
        <v>2099</v>
      </c>
      <c r="D6" s="2887"/>
      <c r="E6" s="2781">
        <f>IF(OR(A6=0,F6="否"),0,'数据-取费表'!K6+'数据-取费表'!S6)</f>
        <v>6192.7899999999991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6192.7899999999991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568" t="s">
        <v>2116</v>
      </c>
      <c r="D4" s="3569"/>
      <c r="E4" s="3570" t="s">
        <v>2117</v>
      </c>
      <c r="F4" s="3571"/>
      <c r="G4" s="3568" t="s">
        <v>2118</v>
      </c>
      <c r="H4" s="3569"/>
      <c r="I4" s="3568" t="s">
        <v>2119</v>
      </c>
      <c r="J4" s="3569"/>
      <c r="K4" s="2025" t="s">
        <v>2120</v>
      </c>
      <c r="L4" s="2893"/>
      <c r="M4" s="2894"/>
      <c r="N4" s="2894"/>
      <c r="O4" s="2894"/>
      <c r="P4" s="3572" t="s">
        <v>2121</v>
      </c>
      <c r="Q4" s="3573"/>
      <c r="R4" s="3578" t="s">
        <v>2117</v>
      </c>
      <c r="S4" s="3579"/>
      <c r="T4" s="3578" t="s">
        <v>2118</v>
      </c>
      <c r="U4" s="3579"/>
      <c r="V4" s="3584" t="s">
        <v>2119</v>
      </c>
      <c r="W4" s="3584"/>
      <c r="X4" s="1489"/>
      <c r="Y4" s="3578" t="s">
        <v>2121</v>
      </c>
      <c r="Z4" s="3579"/>
      <c r="AA4" s="3565" t="s">
        <v>2117</v>
      </c>
      <c r="AB4" s="3565" t="s">
        <v>2118</v>
      </c>
      <c r="AC4" s="3565" t="s">
        <v>2119</v>
      </c>
    </row>
    <row r="5" spans="1:29" ht="15">
      <c r="A5" s="363"/>
      <c r="B5" s="364"/>
      <c r="C5" s="3587" t="s">
        <v>2122</v>
      </c>
      <c r="D5" s="3588"/>
      <c r="E5" s="3594" t="s">
        <v>2123</v>
      </c>
      <c r="F5" s="3595"/>
      <c r="G5" s="3587" t="s">
        <v>2124</v>
      </c>
      <c r="H5" s="3588"/>
      <c r="I5" s="3587" t="s">
        <v>2125</v>
      </c>
      <c r="J5" s="3588"/>
      <c r="K5" s="2026"/>
      <c r="L5" s="2893"/>
      <c r="M5" s="2894"/>
      <c r="N5" s="2894"/>
      <c r="O5" s="2894"/>
      <c r="P5" s="3574"/>
      <c r="Q5" s="3575"/>
      <c r="R5" s="3580"/>
      <c r="S5" s="3581"/>
      <c r="T5" s="3580"/>
      <c r="U5" s="3581"/>
      <c r="V5" s="3584"/>
      <c r="W5" s="3584"/>
      <c r="X5" s="1489"/>
      <c r="Y5" s="3580"/>
      <c r="Z5" s="3581"/>
      <c r="AA5" s="3566"/>
      <c r="AB5" s="3566"/>
      <c r="AC5" s="3566"/>
    </row>
    <row r="6" spans="1:29" ht="15.75" thickBot="1">
      <c r="A6" s="365"/>
      <c r="B6" s="366"/>
      <c r="C6" s="3585" t="s">
        <v>2126</v>
      </c>
      <c r="D6" s="3586"/>
      <c r="E6" s="3592" t="s">
        <v>2126</v>
      </c>
      <c r="F6" s="3593"/>
      <c r="G6" s="3585" t="s">
        <v>2126</v>
      </c>
      <c r="H6" s="3586"/>
      <c r="I6" s="3585" t="s">
        <v>2126</v>
      </c>
      <c r="J6" s="3586"/>
      <c r="K6" s="2026" t="s">
        <v>2127</v>
      </c>
      <c r="L6" s="2893"/>
      <c r="M6" s="2894"/>
      <c r="N6" s="2894"/>
      <c r="O6" s="2894"/>
      <c r="P6" s="3576"/>
      <c r="Q6" s="3577"/>
      <c r="R6" s="3580"/>
      <c r="S6" s="3581"/>
      <c r="T6" s="3582"/>
      <c r="U6" s="3583"/>
      <c r="V6" s="3584"/>
      <c r="W6" s="3584"/>
      <c r="X6" s="1489"/>
      <c r="Y6" s="3582"/>
      <c r="Z6" s="3583"/>
      <c r="AA6" s="3567"/>
      <c r="AB6" s="3567"/>
      <c r="AC6" s="3567"/>
    </row>
    <row r="7" spans="1:29" s="113" customFormat="1" ht="15.75" thickBot="1">
      <c r="A7" s="367" t="s">
        <v>2128</v>
      </c>
      <c r="B7" s="368"/>
      <c r="C7" s="369">
        <f>'数据-取费表'!B2</f>
        <v>44820</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589" t="s">
        <v>2129</v>
      </c>
      <c r="Q7" s="3591"/>
      <c r="R7" s="709" t="s">
        <v>23</v>
      </c>
      <c r="S7" s="710">
        <f t="shared" ref="S7:S15" si="0">F7</f>
        <v>0</v>
      </c>
      <c r="T7" s="709" t="s">
        <v>23</v>
      </c>
      <c r="U7" s="710">
        <f t="shared" ref="U7:U15" si="1">H7</f>
        <v>0</v>
      </c>
      <c r="V7" s="709" t="s">
        <v>23</v>
      </c>
      <c r="W7" s="710">
        <f t="shared" ref="W7:W15" si="2">J7</f>
        <v>0</v>
      </c>
      <c r="X7" s="711"/>
      <c r="Y7" s="3589" t="s">
        <v>2129</v>
      </c>
      <c r="Z7" s="3590"/>
      <c r="AA7" s="712" t="e">
        <f>D7/F7</f>
        <v>#DIV/0!</v>
      </c>
      <c r="AB7" s="712" t="e">
        <f>D7/H7</f>
        <v>#DIV/0!</v>
      </c>
      <c r="AC7" s="712" t="e">
        <f>D7/J7</f>
        <v>#DIV/0!</v>
      </c>
    </row>
    <row r="8" spans="1:29" s="113"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589" t="s">
        <v>2132</v>
      </c>
      <c r="Q8" s="3590"/>
      <c r="R8" s="709" t="s">
        <v>23</v>
      </c>
      <c r="S8" s="710">
        <f t="shared" si="0"/>
        <v>0</v>
      </c>
      <c r="T8" s="709" t="s">
        <v>23</v>
      </c>
      <c r="U8" s="710">
        <f t="shared" si="1"/>
        <v>0</v>
      </c>
      <c r="V8" s="709" t="s">
        <v>23</v>
      </c>
      <c r="W8" s="710">
        <f t="shared" si="2"/>
        <v>0</v>
      </c>
      <c r="X8" s="711"/>
      <c r="Y8" s="3589" t="s">
        <v>2132</v>
      </c>
      <c r="Z8" s="3590"/>
      <c r="AA8" s="712" t="e">
        <f t="shared" ref="AA8:AA19" si="3">D8/F8</f>
        <v>#DIV/0!</v>
      </c>
      <c r="AB8" s="712" t="e">
        <f t="shared" ref="AB8:AB19" si="4">D8/H8</f>
        <v>#DIV/0!</v>
      </c>
      <c r="AC8" s="712" t="e">
        <f t="shared" ref="AC8:AC19" si="5">D8/J8</f>
        <v>#DIV/0!</v>
      </c>
    </row>
    <row r="9" spans="1:29" s="113" customFormat="1">
      <c r="A9" s="374" t="s">
        <v>2133</v>
      </c>
      <c r="B9" s="67"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564" t="s">
        <v>2135</v>
      </c>
      <c r="Q9" s="1477" t="str">
        <f t="shared" ref="Q9:Q15" si="6">B9</f>
        <v>用途</v>
      </c>
      <c r="R9" s="709" t="s">
        <v>17</v>
      </c>
      <c r="S9" s="710">
        <f t="shared" si="0"/>
        <v>100</v>
      </c>
      <c r="T9" s="709" t="s">
        <v>17</v>
      </c>
      <c r="U9" s="710">
        <f t="shared" si="1"/>
        <v>100</v>
      </c>
      <c r="V9" s="709" t="s">
        <v>17</v>
      </c>
      <c r="W9" s="710">
        <f t="shared" si="2"/>
        <v>100</v>
      </c>
      <c r="X9" s="711"/>
      <c r="Y9" s="3425"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564"/>
      <c r="Q10" s="1477" t="str">
        <f t="shared" si="6"/>
        <v>土地使用年限（年）</v>
      </c>
      <c r="R10" s="709" t="s">
        <v>17</v>
      </c>
      <c r="S10" s="710">
        <f t="shared" si="0"/>
        <v>100</v>
      </c>
      <c r="T10" s="709" t="s">
        <v>17</v>
      </c>
      <c r="U10" s="710">
        <f t="shared" si="1"/>
        <v>100</v>
      </c>
      <c r="V10" s="709" t="s">
        <v>17</v>
      </c>
      <c r="W10" s="710">
        <f t="shared" si="2"/>
        <v>100</v>
      </c>
      <c r="X10" s="711"/>
      <c r="Y10" s="3425"/>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564"/>
      <c r="Q11" s="1477" t="str">
        <f t="shared" si="6"/>
        <v>容积率</v>
      </c>
      <c r="R11" s="709" t="s">
        <v>21</v>
      </c>
      <c r="S11" s="710" t="e">
        <f t="shared" si="0"/>
        <v>#N/A</v>
      </c>
      <c r="T11" s="709" t="s">
        <v>21</v>
      </c>
      <c r="U11" s="710" t="e">
        <f t="shared" si="1"/>
        <v>#N/A</v>
      </c>
      <c r="V11" s="709" t="s">
        <v>21</v>
      </c>
      <c r="W11" s="710" t="e">
        <f t="shared" si="2"/>
        <v>#N/A</v>
      </c>
      <c r="X11" s="711"/>
      <c r="Y11" s="3425"/>
      <c r="Z11" s="55" t="str">
        <f t="shared" si="7"/>
        <v>容积率</v>
      </c>
      <c r="AA11" s="712" t="e">
        <f t="shared" si="3"/>
        <v>#N/A</v>
      </c>
      <c r="AB11" s="712" t="e">
        <f t="shared" si="4"/>
        <v>#N/A</v>
      </c>
      <c r="AC11" s="712" t="e">
        <f t="shared" si="5"/>
        <v>#N/A</v>
      </c>
    </row>
    <row r="12" spans="1:29" s="113"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564"/>
      <c r="Q12" s="1477">
        <f t="shared" si="6"/>
        <v>111</v>
      </c>
      <c r="R12" s="709" t="s">
        <v>21</v>
      </c>
      <c r="S12" s="710">
        <f t="shared" si="0"/>
        <v>100</v>
      </c>
      <c r="T12" s="709" t="s">
        <v>21</v>
      </c>
      <c r="U12" s="710">
        <f t="shared" si="1"/>
        <v>100</v>
      </c>
      <c r="V12" s="709" t="s">
        <v>21</v>
      </c>
      <c r="W12" s="710">
        <f t="shared" si="2"/>
        <v>100</v>
      </c>
      <c r="X12" s="711"/>
      <c r="Y12" s="3425"/>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564"/>
      <c r="Q13" s="1477">
        <f t="shared" si="6"/>
        <v>111</v>
      </c>
      <c r="R13" s="709" t="s">
        <v>21</v>
      </c>
      <c r="S13" s="710">
        <f t="shared" si="0"/>
        <v>100</v>
      </c>
      <c r="T13" s="709" t="s">
        <v>21</v>
      </c>
      <c r="U13" s="710">
        <f t="shared" si="1"/>
        <v>100</v>
      </c>
      <c r="V13" s="709" t="s">
        <v>21</v>
      </c>
      <c r="W13" s="710">
        <f t="shared" si="2"/>
        <v>100</v>
      </c>
      <c r="X13" s="711"/>
      <c r="Y13" s="3425"/>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564"/>
      <c r="Q14" s="1477">
        <f t="shared" si="6"/>
        <v>111</v>
      </c>
      <c r="R14" s="709" t="s">
        <v>21</v>
      </c>
      <c r="S14" s="710">
        <f t="shared" si="0"/>
        <v>100</v>
      </c>
      <c r="T14" s="709" t="s">
        <v>21</v>
      </c>
      <c r="U14" s="710">
        <f t="shared" si="1"/>
        <v>100</v>
      </c>
      <c r="V14" s="709" t="s">
        <v>21</v>
      </c>
      <c r="W14" s="710">
        <f t="shared" si="2"/>
        <v>100</v>
      </c>
      <c r="X14" s="711"/>
      <c r="Y14" s="3425"/>
      <c r="Z14" s="55">
        <f t="shared" si="7"/>
        <v>111</v>
      </c>
      <c r="AA14" s="712">
        <f t="shared" si="3"/>
        <v>1</v>
      </c>
      <c r="AB14" s="712">
        <f t="shared" si="4"/>
        <v>1</v>
      </c>
      <c r="AC14" s="712">
        <f t="shared" si="5"/>
        <v>1</v>
      </c>
    </row>
    <row r="15" spans="1:29" ht="99.75">
      <c r="A15" s="398" t="s">
        <v>2139</v>
      </c>
      <c r="B15" s="65"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562" t="s">
        <v>2140</v>
      </c>
      <c r="Q15" s="1486" t="str">
        <f t="shared" si="6"/>
        <v>居住社区成熟度</v>
      </c>
      <c r="R15" s="713" t="s">
        <v>21</v>
      </c>
      <c r="S15" s="714">
        <f t="shared" si="0"/>
        <v>100</v>
      </c>
      <c r="T15" s="713" t="s">
        <v>21</v>
      </c>
      <c r="U15" s="714">
        <f t="shared" si="1"/>
        <v>100</v>
      </c>
      <c r="V15" s="713" t="s">
        <v>21</v>
      </c>
      <c r="W15" s="714">
        <f t="shared" si="2"/>
        <v>100</v>
      </c>
      <c r="X15" s="1489"/>
      <c r="Y15" s="3555"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563"/>
      <c r="Q16" s="1486"/>
      <c r="R16" s="713"/>
      <c r="S16" s="714"/>
      <c r="T16" s="713"/>
      <c r="U16" s="714"/>
      <c r="V16" s="713"/>
      <c r="W16" s="714"/>
      <c r="X16" s="1489"/>
      <c r="Y16" s="3556"/>
      <c r="Z16" s="1490"/>
      <c r="AA16" s="1487">
        <v>1</v>
      </c>
      <c r="AB16" s="1487">
        <v>1</v>
      </c>
      <c r="AC16" s="1487">
        <v>1</v>
      </c>
    </row>
    <row r="17" spans="1:29" ht="156.75">
      <c r="A17" s="386"/>
      <c r="B17" s="409" t="s">
        <v>1704</v>
      </c>
      <c r="C17" s="2036" t="str">
        <f>估价对象房地状况!C6</f>
        <v>估价对象为距离东二环约600米，北侧临近工人体育场北路，周边有3路、4路、113路、115录吧、406路等公交通行，距离地铁2号线东四十条站约700米，交通便捷度较好。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563"/>
      <c r="Q17" s="1486" t="str">
        <f>B17</f>
        <v>交通便捷度</v>
      </c>
      <c r="R17" s="713" t="s">
        <v>21</v>
      </c>
      <c r="S17" s="714">
        <f>F17</f>
        <v>100</v>
      </c>
      <c r="T17" s="713" t="s">
        <v>21</v>
      </c>
      <c r="U17" s="714">
        <f>H17</f>
        <v>100</v>
      </c>
      <c r="V17" s="713" t="s">
        <v>21</v>
      </c>
      <c r="W17" s="714">
        <f>J17</f>
        <v>100</v>
      </c>
      <c r="X17" s="1489"/>
      <c r="Y17" s="3556"/>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563"/>
      <c r="Q18" s="1486"/>
      <c r="R18" s="713"/>
      <c r="S18" s="714"/>
      <c r="T18" s="713"/>
      <c r="U18" s="714"/>
      <c r="V18" s="713"/>
      <c r="W18" s="714"/>
      <c r="X18" s="1489"/>
      <c r="Y18" s="3556"/>
      <c r="Z18" s="1490"/>
      <c r="AA18" s="1487">
        <v>1</v>
      </c>
      <c r="AB18" s="1487">
        <v>1</v>
      </c>
      <c r="AC18" s="1487">
        <v>1</v>
      </c>
    </row>
    <row r="19" spans="1:29" ht="313.5">
      <c r="A19" s="386"/>
      <c r="B19" s="409" t="s">
        <v>1703</v>
      </c>
      <c r="C19" s="2036" t="str">
        <f>估价对象房地状况!C7</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563"/>
      <c r="Q19" s="1486" t="str">
        <f>B19</f>
        <v>公共配套设施</v>
      </c>
      <c r="R19" s="713" t="s">
        <v>21</v>
      </c>
      <c r="S19" s="714">
        <f>F19</f>
        <v>100</v>
      </c>
      <c r="T19" s="713" t="s">
        <v>21</v>
      </c>
      <c r="U19" s="714">
        <f>H19</f>
        <v>100</v>
      </c>
      <c r="V19" s="713" t="s">
        <v>21</v>
      </c>
      <c r="W19" s="714">
        <f>J19</f>
        <v>100</v>
      </c>
      <c r="X19" s="1489"/>
      <c r="Y19" s="3556"/>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563"/>
      <c r="Q20" s="1486"/>
      <c r="R20" s="713"/>
      <c r="S20" s="714"/>
      <c r="T20" s="713"/>
      <c r="U20" s="714"/>
      <c r="V20" s="713"/>
      <c r="W20" s="714"/>
      <c r="X20" s="1489"/>
      <c r="Y20" s="3556"/>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563"/>
      <c r="Q21" s="1486" t="str">
        <f>B21</f>
        <v>基础设施水平</v>
      </c>
      <c r="R21" s="713" t="s">
        <v>17</v>
      </c>
      <c r="S21" s="714">
        <f>F21</f>
        <v>100</v>
      </c>
      <c r="T21" s="713" t="s">
        <v>17</v>
      </c>
      <c r="U21" s="714">
        <f>H21</f>
        <v>100</v>
      </c>
      <c r="V21" s="713" t="s">
        <v>17</v>
      </c>
      <c r="W21" s="714">
        <f>J21</f>
        <v>100</v>
      </c>
      <c r="X21" s="1489"/>
      <c r="Y21" s="3556"/>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563"/>
      <c r="Q22" s="1486"/>
      <c r="R22" s="713"/>
      <c r="S22" s="714"/>
      <c r="T22" s="713"/>
      <c r="U22" s="714"/>
      <c r="V22" s="713"/>
      <c r="W22" s="714"/>
      <c r="X22" s="1489"/>
      <c r="Y22" s="3556"/>
      <c r="Z22" s="1490"/>
      <c r="AA22" s="1487">
        <v>1</v>
      </c>
      <c r="AB22" s="1487">
        <v>1</v>
      </c>
      <c r="AC22" s="1487">
        <v>1</v>
      </c>
    </row>
    <row r="23" spans="1:29" ht="85.5">
      <c r="A23" s="386"/>
      <c r="B23" s="409" t="s">
        <v>1706</v>
      </c>
      <c r="C23" s="2036" t="str">
        <f>估价对象房地状况!C9</f>
        <v>区域自然环境：东岳庙；人文环境：北京工人体育场、保利剧院；综合评价环境状况较好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563"/>
      <c r="Q23" s="1486" t="str">
        <f>B23</f>
        <v>自然及人文环境</v>
      </c>
      <c r="R23" s="713" t="s">
        <v>21</v>
      </c>
      <c r="S23" s="714">
        <f>F23</f>
        <v>100</v>
      </c>
      <c r="T23" s="713" t="s">
        <v>21</v>
      </c>
      <c r="U23" s="714">
        <f>H23</f>
        <v>100</v>
      </c>
      <c r="V23" s="713" t="s">
        <v>21</v>
      </c>
      <c r="W23" s="714">
        <f>J23</f>
        <v>100</v>
      </c>
      <c r="X23" s="1489"/>
      <c r="Y23" s="3556"/>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563"/>
      <c r="Q24" s="1486"/>
      <c r="R24" s="713"/>
      <c r="S24" s="714"/>
      <c r="T24" s="713"/>
      <c r="U24" s="714"/>
      <c r="V24" s="713"/>
      <c r="W24" s="714"/>
      <c r="X24" s="1489"/>
      <c r="Y24" s="3556"/>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563"/>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56"/>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563"/>
      <c r="Q26" s="1486" t="str">
        <f t="shared" si="11"/>
        <v>朝向</v>
      </c>
      <c r="R26" s="713" t="s">
        <v>21</v>
      </c>
      <c r="S26" s="714">
        <f t="shared" si="12"/>
        <v>100</v>
      </c>
      <c r="T26" s="713" t="s">
        <v>21</v>
      </c>
      <c r="U26" s="714">
        <f t="shared" si="13"/>
        <v>100</v>
      </c>
      <c r="V26" s="713" t="s">
        <v>21</v>
      </c>
      <c r="W26" s="714">
        <f t="shared" si="14"/>
        <v>100</v>
      </c>
      <c r="X26" s="1489"/>
      <c r="Y26" s="3556"/>
      <c r="Z26" s="1490" t="str">
        <f>Q26</f>
        <v>朝向</v>
      </c>
      <c r="AA26" s="1487">
        <f t="shared" si="15"/>
        <v>1</v>
      </c>
      <c r="AB26" s="1487">
        <f t="shared" si="16"/>
        <v>1</v>
      </c>
      <c r="AC26" s="1487">
        <f t="shared" si="17"/>
        <v>1</v>
      </c>
    </row>
    <row r="27" spans="1:29" s="113"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563"/>
      <c r="Q27" s="1477">
        <f t="shared" si="11"/>
        <v>111</v>
      </c>
      <c r="R27" s="709" t="s">
        <v>21</v>
      </c>
      <c r="S27" s="710">
        <f t="shared" si="12"/>
        <v>100</v>
      </c>
      <c r="T27" s="709" t="s">
        <v>21</v>
      </c>
      <c r="U27" s="710">
        <f t="shared" si="13"/>
        <v>100</v>
      </c>
      <c r="V27" s="709" t="s">
        <v>21</v>
      </c>
      <c r="W27" s="710">
        <f t="shared" si="14"/>
        <v>100</v>
      </c>
      <c r="X27" s="711"/>
      <c r="Y27" s="3556"/>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563"/>
      <c r="Q28" s="1486">
        <f t="shared" si="11"/>
        <v>111</v>
      </c>
      <c r="R28" s="713" t="s">
        <v>21</v>
      </c>
      <c r="S28" s="714">
        <f t="shared" si="12"/>
        <v>100</v>
      </c>
      <c r="T28" s="713" t="s">
        <v>21</v>
      </c>
      <c r="U28" s="714">
        <f t="shared" si="13"/>
        <v>100</v>
      </c>
      <c r="V28" s="713" t="s">
        <v>21</v>
      </c>
      <c r="W28" s="714">
        <f t="shared" si="14"/>
        <v>100</v>
      </c>
      <c r="X28" s="1489"/>
      <c r="Y28" s="3556"/>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563"/>
      <c r="Q29" s="1486">
        <f t="shared" si="11"/>
        <v>111</v>
      </c>
      <c r="R29" s="713" t="s">
        <v>21</v>
      </c>
      <c r="S29" s="714">
        <f t="shared" si="12"/>
        <v>100</v>
      </c>
      <c r="T29" s="713" t="s">
        <v>21</v>
      </c>
      <c r="U29" s="714">
        <f t="shared" si="13"/>
        <v>100</v>
      </c>
      <c r="V29" s="713" t="s">
        <v>21</v>
      </c>
      <c r="W29" s="714">
        <f t="shared" si="14"/>
        <v>100</v>
      </c>
      <c r="X29" s="1489"/>
      <c r="Y29" s="3556"/>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563"/>
      <c r="Q30" s="1486">
        <f t="shared" si="11"/>
        <v>111</v>
      </c>
      <c r="R30" s="713" t="s">
        <v>21</v>
      </c>
      <c r="S30" s="714">
        <f t="shared" si="12"/>
        <v>100</v>
      </c>
      <c r="T30" s="713" t="s">
        <v>21</v>
      </c>
      <c r="U30" s="714">
        <f t="shared" si="13"/>
        <v>100</v>
      </c>
      <c r="V30" s="713" t="s">
        <v>21</v>
      </c>
      <c r="W30" s="714">
        <f t="shared" si="14"/>
        <v>100</v>
      </c>
      <c r="X30" s="1489"/>
      <c r="Y30" s="3556"/>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563"/>
      <c r="Q31" s="1486">
        <f t="shared" si="11"/>
        <v>111</v>
      </c>
      <c r="R31" s="713" t="s">
        <v>21</v>
      </c>
      <c r="S31" s="714">
        <f t="shared" si="12"/>
        <v>100</v>
      </c>
      <c r="T31" s="713" t="s">
        <v>21</v>
      </c>
      <c r="U31" s="714">
        <f t="shared" si="13"/>
        <v>100</v>
      </c>
      <c r="V31" s="713" t="s">
        <v>21</v>
      </c>
      <c r="W31" s="714">
        <f t="shared" si="14"/>
        <v>100</v>
      </c>
      <c r="X31" s="1489"/>
      <c r="Y31" s="3556"/>
      <c r="Z31" s="1490">
        <f t="shared" si="18"/>
        <v>111</v>
      </c>
      <c r="AA31" s="1487">
        <f t="shared" si="15"/>
        <v>1</v>
      </c>
      <c r="AB31" s="1487">
        <f t="shared" si="16"/>
        <v>1</v>
      </c>
      <c r="AC31" s="1487">
        <f t="shared" si="17"/>
        <v>1</v>
      </c>
    </row>
    <row r="32" spans="1:29" ht="15">
      <c r="A32" s="398" t="s">
        <v>2143</v>
      </c>
      <c r="B32" s="67"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557" t="s">
        <v>2145</v>
      </c>
      <c r="Q32" s="1486" t="str">
        <f t="shared" si="11"/>
        <v>建筑类型</v>
      </c>
      <c r="R32" s="713" t="s">
        <v>21</v>
      </c>
      <c r="S32" s="714">
        <f t="shared" si="12"/>
        <v>100</v>
      </c>
      <c r="T32" s="713" t="s">
        <v>21</v>
      </c>
      <c r="U32" s="714">
        <f t="shared" si="13"/>
        <v>100</v>
      </c>
      <c r="V32" s="713" t="s">
        <v>21</v>
      </c>
      <c r="W32" s="714">
        <f t="shared" si="14"/>
        <v>100</v>
      </c>
      <c r="X32" s="1489"/>
      <c r="Y32" s="3560"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558"/>
      <c r="Q33" s="715" t="str">
        <f t="shared" si="11"/>
        <v>项目建筑规模</v>
      </c>
      <c r="R33" s="716" t="s">
        <v>21</v>
      </c>
      <c r="S33" s="717" t="e">
        <f t="shared" si="12"/>
        <v>#N/A</v>
      </c>
      <c r="T33" s="716" t="s">
        <v>21</v>
      </c>
      <c r="U33" s="717" t="e">
        <f t="shared" si="13"/>
        <v>#N/A</v>
      </c>
      <c r="V33" s="716" t="s">
        <v>21</v>
      </c>
      <c r="W33" s="717" t="e">
        <f t="shared" si="14"/>
        <v>#N/A</v>
      </c>
      <c r="X33" s="718"/>
      <c r="Y33" s="3560"/>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558"/>
      <c r="Q34" s="1486" t="str">
        <f t="shared" si="11"/>
        <v>建筑结构</v>
      </c>
      <c r="R34" s="713" t="s">
        <v>21</v>
      </c>
      <c r="S34" s="714">
        <f t="shared" si="12"/>
        <v>100</v>
      </c>
      <c r="T34" s="713" t="s">
        <v>21</v>
      </c>
      <c r="U34" s="714">
        <f t="shared" si="13"/>
        <v>100</v>
      </c>
      <c r="V34" s="713" t="s">
        <v>21</v>
      </c>
      <c r="W34" s="714">
        <f t="shared" si="14"/>
        <v>100</v>
      </c>
      <c r="X34" s="1489"/>
      <c r="Y34" s="3560"/>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558"/>
      <c r="Q35" s="1486" t="str">
        <f t="shared" si="11"/>
        <v>建筑品质</v>
      </c>
      <c r="R35" s="713" t="s">
        <v>21</v>
      </c>
      <c r="S35" s="714">
        <f t="shared" si="12"/>
        <v>100</v>
      </c>
      <c r="T35" s="713" t="s">
        <v>21</v>
      </c>
      <c r="U35" s="714">
        <f t="shared" si="13"/>
        <v>100</v>
      </c>
      <c r="V35" s="713" t="s">
        <v>21</v>
      </c>
      <c r="W35" s="714">
        <f t="shared" si="14"/>
        <v>100</v>
      </c>
      <c r="X35" s="1489"/>
      <c r="Y35" s="3560"/>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558"/>
      <c r="Q36" s="1486" t="str">
        <f t="shared" si="11"/>
        <v>公共部分装修</v>
      </c>
      <c r="R36" s="713" t="s">
        <v>21</v>
      </c>
      <c r="S36" s="714">
        <f t="shared" si="12"/>
        <v>100</v>
      </c>
      <c r="T36" s="713" t="s">
        <v>21</v>
      </c>
      <c r="U36" s="714">
        <f t="shared" si="13"/>
        <v>100</v>
      </c>
      <c r="V36" s="713" t="s">
        <v>21</v>
      </c>
      <c r="W36" s="714">
        <f t="shared" si="14"/>
        <v>100</v>
      </c>
      <c r="X36" s="1489"/>
      <c r="Y36" s="3560"/>
      <c r="Z36" s="1490" t="str">
        <f t="shared" si="18"/>
        <v>公共部分装修</v>
      </c>
      <c r="AA36" s="1487">
        <f t="shared" si="15"/>
        <v>1</v>
      </c>
      <c r="AB36" s="1487">
        <f t="shared" si="16"/>
        <v>1</v>
      </c>
      <c r="AC36" s="1487">
        <f t="shared" si="17"/>
        <v>1</v>
      </c>
    </row>
    <row r="37" spans="1:29" s="113"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558"/>
      <c r="Q37" s="1477" t="str">
        <f t="shared" si="11"/>
        <v>成新度</v>
      </c>
      <c r="R37" s="709" t="s">
        <v>21</v>
      </c>
      <c r="S37" s="710" t="e">
        <f t="shared" si="12"/>
        <v>#N/A</v>
      </c>
      <c r="T37" s="709" t="s">
        <v>21</v>
      </c>
      <c r="U37" s="710" t="e">
        <f t="shared" si="13"/>
        <v>#N/A</v>
      </c>
      <c r="V37" s="709" t="s">
        <v>21</v>
      </c>
      <c r="W37" s="710" t="e">
        <f t="shared" si="14"/>
        <v>#N/A</v>
      </c>
      <c r="X37" s="711"/>
      <c r="Y37" s="3560"/>
      <c r="Z37" s="55"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558" t="s">
        <v>2145</v>
      </c>
      <c r="Q38" s="1486" t="str">
        <f t="shared" si="11"/>
        <v>物业管理</v>
      </c>
      <c r="R38" s="713" t="s">
        <v>21</v>
      </c>
      <c r="S38" s="714">
        <f t="shared" si="12"/>
        <v>100</v>
      </c>
      <c r="T38" s="713" t="s">
        <v>21</v>
      </c>
      <c r="U38" s="714">
        <f t="shared" si="13"/>
        <v>100</v>
      </c>
      <c r="V38" s="713" t="s">
        <v>21</v>
      </c>
      <c r="W38" s="714">
        <f t="shared" si="14"/>
        <v>100</v>
      </c>
      <c r="X38" s="1489"/>
      <c r="Y38" s="3560"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558"/>
      <c r="Q39" s="1486" t="str">
        <f t="shared" si="11"/>
        <v>市政基础设施</v>
      </c>
      <c r="R39" s="713" t="s">
        <v>21</v>
      </c>
      <c r="S39" s="714">
        <f t="shared" si="12"/>
        <v>100</v>
      </c>
      <c r="T39" s="713" t="s">
        <v>21</v>
      </c>
      <c r="U39" s="714">
        <f t="shared" si="13"/>
        <v>100</v>
      </c>
      <c r="V39" s="713" t="s">
        <v>21</v>
      </c>
      <c r="W39" s="714">
        <f t="shared" si="14"/>
        <v>100</v>
      </c>
      <c r="X39" s="1489"/>
      <c r="Y39" s="3560"/>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558"/>
      <c r="Q40" s="1486" t="str">
        <f t="shared" si="11"/>
        <v>房型</v>
      </c>
      <c r="R40" s="713" t="s">
        <v>21</v>
      </c>
      <c r="S40" s="714">
        <f t="shared" si="12"/>
        <v>100</v>
      </c>
      <c r="T40" s="713" t="s">
        <v>21</v>
      </c>
      <c r="U40" s="714">
        <f t="shared" si="13"/>
        <v>100</v>
      </c>
      <c r="V40" s="713" t="s">
        <v>21</v>
      </c>
      <c r="W40" s="714">
        <f t="shared" si="14"/>
        <v>100</v>
      </c>
      <c r="X40" s="1489"/>
      <c r="Y40" s="3560"/>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558"/>
      <c r="Q41" s="715" t="str">
        <f t="shared" si="11"/>
        <v>单套/主力户型建筑面积</v>
      </c>
      <c r="R41" s="716" t="s">
        <v>21</v>
      </c>
      <c r="S41" s="717">
        <f t="shared" si="12"/>
        <v>100</v>
      </c>
      <c r="T41" s="716" t="s">
        <v>21</v>
      </c>
      <c r="U41" s="717">
        <f t="shared" si="13"/>
        <v>100</v>
      </c>
      <c r="V41" s="716" t="s">
        <v>21</v>
      </c>
      <c r="W41" s="717">
        <f t="shared" si="14"/>
        <v>100</v>
      </c>
      <c r="X41" s="718"/>
      <c r="Y41" s="3560"/>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558"/>
      <c r="Q42" s="1486" t="str">
        <f t="shared" si="11"/>
        <v>内部装修</v>
      </c>
      <c r="R42" s="713" t="s">
        <v>21</v>
      </c>
      <c r="S42" s="714">
        <f t="shared" si="12"/>
        <v>100</v>
      </c>
      <c r="T42" s="713" t="s">
        <v>21</v>
      </c>
      <c r="U42" s="714">
        <f t="shared" si="13"/>
        <v>100</v>
      </c>
      <c r="V42" s="713" t="s">
        <v>21</v>
      </c>
      <c r="W42" s="714">
        <f t="shared" si="14"/>
        <v>100</v>
      </c>
      <c r="X42" s="1489"/>
      <c r="Y42" s="3560"/>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558"/>
      <c r="Q43" s="1486" t="str">
        <f t="shared" si="11"/>
        <v>内部装修维护情况</v>
      </c>
      <c r="R43" s="713" t="s">
        <v>21</v>
      </c>
      <c r="S43" s="714">
        <f t="shared" si="12"/>
        <v>100</v>
      </c>
      <c r="T43" s="713" t="s">
        <v>21</v>
      </c>
      <c r="U43" s="714">
        <f t="shared" si="13"/>
        <v>100</v>
      </c>
      <c r="V43" s="713" t="s">
        <v>21</v>
      </c>
      <c r="W43" s="714">
        <f t="shared" si="14"/>
        <v>100</v>
      </c>
      <c r="X43" s="1489"/>
      <c r="Y43" s="3560"/>
      <c r="Z43" s="1490" t="str">
        <f t="shared" si="18"/>
        <v>内部装修维护情况</v>
      </c>
      <c r="AA43" s="1487">
        <f t="shared" si="15"/>
        <v>1</v>
      </c>
      <c r="AB43" s="1487">
        <f t="shared" si="16"/>
        <v>1</v>
      </c>
      <c r="AC43" s="1487">
        <f t="shared" si="17"/>
        <v>1</v>
      </c>
    </row>
    <row r="44" spans="1:29" s="113"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558"/>
      <c r="Q44" s="1477">
        <f t="shared" si="11"/>
        <v>111</v>
      </c>
      <c r="R44" s="709" t="s">
        <v>21</v>
      </c>
      <c r="S44" s="710">
        <f t="shared" si="12"/>
        <v>100</v>
      </c>
      <c r="T44" s="709" t="s">
        <v>21</v>
      </c>
      <c r="U44" s="710">
        <f t="shared" si="13"/>
        <v>100</v>
      </c>
      <c r="V44" s="709" t="s">
        <v>21</v>
      </c>
      <c r="W44" s="710">
        <f t="shared" si="14"/>
        <v>100</v>
      </c>
      <c r="X44" s="711"/>
      <c r="Y44" s="3560"/>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558"/>
      <c r="Q45" s="1486">
        <f t="shared" si="11"/>
        <v>111</v>
      </c>
      <c r="R45" s="713" t="s">
        <v>21</v>
      </c>
      <c r="S45" s="714">
        <f t="shared" si="12"/>
        <v>100</v>
      </c>
      <c r="T45" s="713" t="s">
        <v>21</v>
      </c>
      <c r="U45" s="714">
        <f t="shared" si="13"/>
        <v>100</v>
      </c>
      <c r="V45" s="713" t="s">
        <v>21</v>
      </c>
      <c r="W45" s="714">
        <f t="shared" si="14"/>
        <v>100</v>
      </c>
      <c r="X45" s="1489"/>
      <c r="Y45" s="3560"/>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559"/>
      <c r="Q46" s="1486">
        <f t="shared" si="11"/>
        <v>111</v>
      </c>
      <c r="R46" s="713" t="s">
        <v>20</v>
      </c>
      <c r="S46" s="714">
        <f t="shared" si="12"/>
        <v>100</v>
      </c>
      <c r="T46" s="713" t="s">
        <v>20</v>
      </c>
      <c r="U46" s="714">
        <f t="shared" si="13"/>
        <v>100</v>
      </c>
      <c r="V46" s="713" t="s">
        <v>20</v>
      </c>
      <c r="W46" s="714">
        <f t="shared" si="14"/>
        <v>100</v>
      </c>
      <c r="X46" s="1489"/>
      <c r="Y46" s="3561"/>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553" t="str">
        <f>A47</f>
        <v>成交单价（元/平方米）</v>
      </c>
      <c r="Q47" s="3553"/>
      <c r="R47" s="3554">
        <f>E47</f>
        <v>0</v>
      </c>
      <c r="S47" s="3554"/>
      <c r="T47" s="3554">
        <f>G47</f>
        <v>0</v>
      </c>
      <c r="U47" s="3554"/>
      <c r="V47" s="3554">
        <f>I47</f>
        <v>0</v>
      </c>
      <c r="W47" s="3554"/>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553" t="str">
        <f>A48</f>
        <v>比较价值（元/平方米）</v>
      </c>
      <c r="Q48" s="355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550" t="str">
        <f>A49</f>
        <v>估价对象XX用房的比较价值（楼面单价，元/平方米）</v>
      </c>
      <c r="Q49" s="3551"/>
      <c r="R49" s="3552" t="e">
        <f>IF(F1="售价",ROUND(IF(D48="简单平均",AVERAGE(R48:V48),R48*F48+T48*H48+V48*J48),0),ROUND(IF(D48="简单平均",AVERAGE(R48:V48),R48*F48+T48*H48+V48*J48),1))</f>
        <v>#DIV/0!</v>
      </c>
      <c r="S49" s="3552"/>
      <c r="T49" s="3552"/>
      <c r="U49" s="3552"/>
      <c r="V49" s="3552"/>
      <c r="W49" s="3552"/>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5"/>
      <c r="B59" s="2055"/>
      <c r="C59" s="1297">
        <v>100</v>
      </c>
      <c r="D59" s="467"/>
      <c r="E59" s="468"/>
      <c r="F59" s="468"/>
      <c r="G59" s="468"/>
      <c r="H59" s="468"/>
      <c r="I59" s="468"/>
      <c r="J59" s="468"/>
      <c r="K59" s="468"/>
      <c r="L59" s="468"/>
      <c r="M59" s="469"/>
      <c r="N59" s="468"/>
      <c r="O59" s="469"/>
      <c r="P59" s="2056"/>
    </row>
    <row r="60" spans="1:29" s="113" customFormat="1" ht="15.75" thickBot="1">
      <c r="A60" s="471" t="s">
        <v>2165</v>
      </c>
      <c r="B60" s="472"/>
      <c r="C60" s="473"/>
      <c r="D60" s="474"/>
      <c r="E60" s="474"/>
      <c r="F60" s="474"/>
      <c r="G60" s="474"/>
      <c r="H60" s="474"/>
      <c r="I60" s="474"/>
      <c r="J60" s="474"/>
      <c r="K60" s="474"/>
      <c r="L60" s="474"/>
      <c r="M60" s="475"/>
      <c r="N60" s="474"/>
      <c r="O60" s="475"/>
      <c r="P60" s="2056"/>
      <c r="Q60" s="460"/>
    </row>
    <row r="61" spans="1:29" s="113" customFormat="1" ht="15">
      <c r="A61" s="477" t="s">
        <v>2166</v>
      </c>
      <c r="B61" s="466"/>
      <c r="C61" s="478" t="s">
        <v>2167</v>
      </c>
      <c r="D61" s="479"/>
      <c r="E61" s="479"/>
      <c r="F61" s="479"/>
      <c r="G61" s="479"/>
      <c r="H61" s="479"/>
      <c r="I61" s="479"/>
      <c r="J61" s="479"/>
      <c r="K61" s="479"/>
      <c r="L61" s="480"/>
      <c r="M61" s="481"/>
      <c r="N61" s="1043"/>
      <c r="O61" s="1043"/>
      <c r="P61" s="2057"/>
      <c r="Q61" s="460"/>
    </row>
    <row r="62" spans="1:29" s="113"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3" customFormat="1" ht="15.75" thickTop="1">
      <c r="A86" s="535"/>
      <c r="B86" s="494" t="s">
        <v>2190</v>
      </c>
      <c r="C86" s="510"/>
      <c r="D86" s="510"/>
      <c r="E86" s="510"/>
      <c r="F86" s="510"/>
      <c r="G86" s="510"/>
      <c r="H86" s="510"/>
      <c r="I86" s="510"/>
      <c r="J86" s="510"/>
      <c r="K86" s="510"/>
      <c r="L86" s="536"/>
      <c r="M86" s="537"/>
      <c r="N86" s="1043"/>
      <c r="O86" s="1043"/>
      <c r="P86" s="205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3" customFormat="1" ht="15.75" thickTop="1">
      <c r="A88" s="535"/>
      <c r="B88" s="494" t="s">
        <v>2191</v>
      </c>
      <c r="C88" s="510"/>
      <c r="D88" s="510"/>
      <c r="E88" s="510"/>
      <c r="F88" s="2063"/>
      <c r="G88" s="510"/>
      <c r="H88" s="510"/>
      <c r="I88" s="510"/>
      <c r="J88" s="510"/>
      <c r="K88" s="510"/>
      <c r="L88" s="510"/>
      <c r="M88" s="537"/>
      <c r="N88" s="1043"/>
      <c r="O88" s="1043"/>
      <c r="P88" s="205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6192.7899999999991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568" t="s">
        <v>2226</v>
      </c>
      <c r="D4" s="3569"/>
      <c r="E4" s="3570" t="s">
        <v>2227</v>
      </c>
      <c r="F4" s="3571"/>
      <c r="G4" s="3568" t="s">
        <v>2228</v>
      </c>
      <c r="H4" s="3569"/>
      <c r="I4" s="3568" t="s">
        <v>2229</v>
      </c>
      <c r="J4" s="3569"/>
      <c r="K4" s="566" t="s">
        <v>2230</v>
      </c>
      <c r="L4" s="2893"/>
      <c r="M4" s="2894"/>
      <c r="N4" s="2894"/>
      <c r="O4" s="2894"/>
      <c r="P4" s="3572" t="s">
        <v>2231</v>
      </c>
      <c r="Q4" s="3573"/>
      <c r="R4" s="3578" t="s">
        <v>2227</v>
      </c>
      <c r="S4" s="3579"/>
      <c r="T4" s="3578" t="s">
        <v>2228</v>
      </c>
      <c r="U4" s="3579"/>
      <c r="V4" s="3584" t="s">
        <v>2229</v>
      </c>
      <c r="W4" s="3584"/>
      <c r="X4" s="1489"/>
      <c r="Y4" s="3578" t="s">
        <v>2231</v>
      </c>
      <c r="Z4" s="3579"/>
      <c r="AA4" s="3565" t="s">
        <v>2227</v>
      </c>
      <c r="AB4" s="3584" t="s">
        <v>2228</v>
      </c>
      <c r="AC4" s="3565" t="s">
        <v>2229</v>
      </c>
    </row>
    <row r="5" spans="1:29" ht="15">
      <c r="A5" s="363"/>
      <c r="B5" s="364"/>
      <c r="C5" s="3587" t="s">
        <v>2122</v>
      </c>
      <c r="D5" s="3588"/>
      <c r="E5" s="3594" t="s">
        <v>2123</v>
      </c>
      <c r="F5" s="3595"/>
      <c r="G5" s="3587" t="s">
        <v>2124</v>
      </c>
      <c r="H5" s="3588"/>
      <c r="I5" s="3587" t="s">
        <v>2125</v>
      </c>
      <c r="J5" s="3588"/>
      <c r="K5" s="566"/>
      <c r="L5" s="2893"/>
      <c r="M5" s="2894"/>
      <c r="N5" s="2894"/>
      <c r="O5" s="2894"/>
      <c r="P5" s="3574"/>
      <c r="Q5" s="3575"/>
      <c r="R5" s="3580"/>
      <c r="S5" s="3581"/>
      <c r="T5" s="3580"/>
      <c r="U5" s="3581"/>
      <c r="V5" s="3584"/>
      <c r="W5" s="3584"/>
      <c r="X5" s="1489"/>
      <c r="Y5" s="3580"/>
      <c r="Z5" s="3581"/>
      <c r="AA5" s="3566"/>
      <c r="AB5" s="3584"/>
      <c r="AC5" s="3566"/>
    </row>
    <row r="6" spans="1:29" ht="15.75" thickBot="1">
      <c r="A6" s="365"/>
      <c r="B6" s="366"/>
      <c r="C6" s="3585" t="s">
        <v>2126</v>
      </c>
      <c r="D6" s="3586"/>
      <c r="E6" s="3592" t="s">
        <v>2126</v>
      </c>
      <c r="F6" s="3593"/>
      <c r="G6" s="3585" t="s">
        <v>2126</v>
      </c>
      <c r="H6" s="3586"/>
      <c r="I6" s="3585" t="s">
        <v>2126</v>
      </c>
      <c r="J6" s="3586"/>
      <c r="K6" s="566" t="s">
        <v>2127</v>
      </c>
      <c r="L6" s="2893"/>
      <c r="M6" s="2894"/>
      <c r="N6" s="2894"/>
      <c r="O6" s="2894"/>
      <c r="P6" s="3576"/>
      <c r="Q6" s="3577"/>
      <c r="R6" s="3580"/>
      <c r="S6" s="3581"/>
      <c r="T6" s="3582"/>
      <c r="U6" s="3583"/>
      <c r="V6" s="3584"/>
      <c r="W6" s="3584"/>
      <c r="X6" s="1489"/>
      <c r="Y6" s="3582"/>
      <c r="Z6" s="3583"/>
      <c r="AA6" s="3567"/>
      <c r="AB6" s="3584"/>
      <c r="AC6" s="3567"/>
    </row>
    <row r="7" spans="1:29" s="113" customFormat="1" ht="15.75" thickBot="1">
      <c r="A7" s="367" t="s">
        <v>2128</v>
      </c>
      <c r="B7" s="368"/>
      <c r="C7" s="369">
        <f>'数据-取费表'!B2</f>
        <v>44820</v>
      </c>
      <c r="D7" s="370">
        <v>100</v>
      </c>
      <c r="E7" s="371"/>
      <c r="F7" s="372">
        <f>SUMIF(58:58,YEAR(E7)&amp;"-"&amp;MONTH(E7),59:59)</f>
        <v>0</v>
      </c>
      <c r="G7" s="371"/>
      <c r="H7" s="370">
        <f>SUMIF(58:58,YEAR(G7)&amp;"-"&amp;MONTH(G7),59:59)</f>
        <v>0</v>
      </c>
      <c r="I7" s="371"/>
      <c r="J7" s="370">
        <f>SUMIF(58:58,YEAR(I7)&amp;"-"&amp;MONTH(I7),59:59)</f>
        <v>0</v>
      </c>
      <c r="K7" s="567"/>
      <c r="L7" s="2895"/>
      <c r="M7" s="2896"/>
      <c r="N7" s="2896"/>
      <c r="O7" s="2896"/>
      <c r="P7" s="3589" t="s">
        <v>2129</v>
      </c>
      <c r="Q7" s="3591"/>
      <c r="R7" s="709" t="s">
        <v>17</v>
      </c>
      <c r="S7" s="710">
        <f t="shared" ref="S7:S15" si="0">F7</f>
        <v>0</v>
      </c>
      <c r="T7" s="709" t="s">
        <v>17</v>
      </c>
      <c r="U7" s="710">
        <f t="shared" ref="U7:U15" si="1">H7</f>
        <v>0</v>
      </c>
      <c r="V7" s="709" t="s">
        <v>17</v>
      </c>
      <c r="W7" s="710">
        <f t="shared" ref="W7:W15" si="2">J7</f>
        <v>0</v>
      </c>
      <c r="X7" s="711"/>
      <c r="Y7" s="3589" t="s">
        <v>2129</v>
      </c>
      <c r="Z7" s="3590"/>
      <c r="AA7" s="712" t="e">
        <f>D7/F7</f>
        <v>#DIV/0!</v>
      </c>
      <c r="AB7" s="712" t="e">
        <f>D7/H7</f>
        <v>#DIV/0!</v>
      </c>
      <c r="AC7" s="712" t="e">
        <f>D7/J7</f>
        <v>#DIV/0!</v>
      </c>
    </row>
    <row r="8" spans="1:29" s="113"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589" t="s">
        <v>2132</v>
      </c>
      <c r="Q8" s="3590"/>
      <c r="R8" s="709" t="s">
        <v>17</v>
      </c>
      <c r="S8" s="710">
        <f t="shared" si="0"/>
        <v>0</v>
      </c>
      <c r="T8" s="709" t="s">
        <v>17</v>
      </c>
      <c r="U8" s="710">
        <f t="shared" si="1"/>
        <v>0</v>
      </c>
      <c r="V8" s="709" t="s">
        <v>17</v>
      </c>
      <c r="W8" s="710">
        <f t="shared" si="2"/>
        <v>0</v>
      </c>
      <c r="X8" s="711"/>
      <c r="Y8" s="3589" t="s">
        <v>2132</v>
      </c>
      <c r="Z8" s="3590"/>
      <c r="AA8" s="712" t="e">
        <f t="shared" ref="AA8:AA46" si="3">D8/F8</f>
        <v>#DIV/0!</v>
      </c>
      <c r="AB8" s="712" t="e">
        <f t="shared" ref="AB8:AB46" si="4">D8/H8</f>
        <v>#DIV/0!</v>
      </c>
      <c r="AC8" s="712" t="e">
        <f t="shared" ref="AC8:AC46" si="5">D8/J8</f>
        <v>#DIV/0!</v>
      </c>
    </row>
    <row r="9" spans="1:29" s="113"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564" t="s">
        <v>2135</v>
      </c>
      <c r="Q9" s="1477" t="str">
        <f t="shared" ref="Q9:Q15" si="6">B9</f>
        <v>用途</v>
      </c>
      <c r="R9" s="709" t="s">
        <v>17</v>
      </c>
      <c r="S9" s="710">
        <f t="shared" si="0"/>
        <v>100</v>
      </c>
      <c r="T9" s="709" t="s">
        <v>17</v>
      </c>
      <c r="U9" s="710">
        <f t="shared" si="1"/>
        <v>100</v>
      </c>
      <c r="V9" s="709" t="s">
        <v>17</v>
      </c>
      <c r="W9" s="710">
        <f t="shared" si="2"/>
        <v>100</v>
      </c>
      <c r="X9" s="711"/>
      <c r="Y9" s="3425"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564"/>
      <c r="Q10" s="1477" t="str">
        <f t="shared" si="6"/>
        <v>土地使用年限（年）</v>
      </c>
      <c r="R10" s="709" t="s">
        <v>17</v>
      </c>
      <c r="S10" s="710">
        <f t="shared" si="0"/>
        <v>100</v>
      </c>
      <c r="T10" s="709" t="s">
        <v>17</v>
      </c>
      <c r="U10" s="710">
        <f t="shared" si="1"/>
        <v>100</v>
      </c>
      <c r="V10" s="709" t="s">
        <v>17</v>
      </c>
      <c r="W10" s="710">
        <f t="shared" si="2"/>
        <v>100</v>
      </c>
      <c r="X10" s="711"/>
      <c r="Y10" s="3425"/>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564"/>
      <c r="Q11" s="1477" t="str">
        <f t="shared" si="6"/>
        <v>容积率</v>
      </c>
      <c r="R11" s="709" t="s">
        <v>17</v>
      </c>
      <c r="S11" s="710" t="e">
        <f t="shared" si="0"/>
        <v>#N/A</v>
      </c>
      <c r="T11" s="709" t="s">
        <v>17</v>
      </c>
      <c r="U11" s="710" t="e">
        <f t="shared" si="1"/>
        <v>#N/A</v>
      </c>
      <c r="V11" s="709" t="s">
        <v>17</v>
      </c>
      <c r="W11" s="710" t="e">
        <f t="shared" si="2"/>
        <v>#N/A</v>
      </c>
      <c r="X11" s="711"/>
      <c r="Y11" s="3425"/>
      <c r="Z11" s="55" t="str">
        <f t="shared" si="7"/>
        <v>容积率</v>
      </c>
      <c r="AA11" s="712" t="e">
        <f t="shared" si="3"/>
        <v>#N/A</v>
      </c>
      <c r="AB11" s="712" t="e">
        <f t="shared" si="4"/>
        <v>#N/A</v>
      </c>
      <c r="AC11" s="712" t="e">
        <f t="shared" si="5"/>
        <v>#N/A</v>
      </c>
    </row>
    <row r="12" spans="1:29" s="113"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564"/>
      <c r="Q12" s="1477">
        <f t="shared" si="6"/>
        <v>111</v>
      </c>
      <c r="R12" s="709" t="s">
        <v>17</v>
      </c>
      <c r="S12" s="710">
        <f t="shared" si="0"/>
        <v>100</v>
      </c>
      <c r="T12" s="709" t="s">
        <v>17</v>
      </c>
      <c r="U12" s="710">
        <f t="shared" si="1"/>
        <v>100</v>
      </c>
      <c r="V12" s="709" t="s">
        <v>17</v>
      </c>
      <c r="W12" s="710">
        <f t="shared" si="2"/>
        <v>100</v>
      </c>
      <c r="X12" s="711"/>
      <c r="Y12" s="3425"/>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564"/>
      <c r="Q13" s="1477">
        <f t="shared" si="6"/>
        <v>111</v>
      </c>
      <c r="R13" s="709" t="s">
        <v>17</v>
      </c>
      <c r="S13" s="710">
        <f t="shared" si="0"/>
        <v>100</v>
      </c>
      <c r="T13" s="709" t="s">
        <v>17</v>
      </c>
      <c r="U13" s="710">
        <f t="shared" si="1"/>
        <v>100</v>
      </c>
      <c r="V13" s="709" t="s">
        <v>17</v>
      </c>
      <c r="W13" s="710">
        <f t="shared" si="2"/>
        <v>100</v>
      </c>
      <c r="X13" s="711"/>
      <c r="Y13" s="3425"/>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564"/>
      <c r="Q14" s="1477">
        <f t="shared" si="6"/>
        <v>111</v>
      </c>
      <c r="R14" s="709" t="s">
        <v>17</v>
      </c>
      <c r="S14" s="710">
        <f t="shared" si="0"/>
        <v>100</v>
      </c>
      <c r="T14" s="709" t="s">
        <v>17</v>
      </c>
      <c r="U14" s="710">
        <f t="shared" si="1"/>
        <v>100</v>
      </c>
      <c r="V14" s="709" t="s">
        <v>17</v>
      </c>
      <c r="W14" s="710">
        <f t="shared" si="2"/>
        <v>100</v>
      </c>
      <c r="X14" s="711"/>
      <c r="Y14" s="3425"/>
      <c r="Z14" s="55">
        <f t="shared" si="7"/>
        <v>111</v>
      </c>
      <c r="AA14" s="712">
        <f t="shared" si="3"/>
        <v>1</v>
      </c>
      <c r="AB14" s="712">
        <f t="shared" si="4"/>
        <v>1</v>
      </c>
      <c r="AC14" s="712">
        <f t="shared" si="5"/>
        <v>1</v>
      </c>
    </row>
    <row r="15" spans="1:29" ht="71.25">
      <c r="A15" s="398" t="s">
        <v>2139</v>
      </c>
      <c r="B15" s="65"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562" t="s">
        <v>2140</v>
      </c>
      <c r="Q15" s="1486" t="str">
        <f t="shared" si="6"/>
        <v>商业繁华度</v>
      </c>
      <c r="R15" s="713" t="s">
        <v>17</v>
      </c>
      <c r="S15" s="714">
        <f t="shared" si="0"/>
        <v>100</v>
      </c>
      <c r="T15" s="713" t="s">
        <v>17</v>
      </c>
      <c r="U15" s="714">
        <f t="shared" si="1"/>
        <v>100</v>
      </c>
      <c r="V15" s="713" t="s">
        <v>17</v>
      </c>
      <c r="W15" s="714">
        <f t="shared" si="2"/>
        <v>100</v>
      </c>
      <c r="X15" s="1489"/>
      <c r="Y15" s="3555"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563"/>
      <c r="Q16" s="1486"/>
      <c r="R16" s="713"/>
      <c r="S16" s="714"/>
      <c r="T16" s="713"/>
      <c r="U16" s="714"/>
      <c r="V16" s="713"/>
      <c r="W16" s="714"/>
      <c r="X16" s="1489"/>
      <c r="Y16" s="3556"/>
      <c r="Z16" s="1490"/>
      <c r="AA16" s="1487">
        <v>1</v>
      </c>
      <c r="AB16" s="1487">
        <v>1</v>
      </c>
      <c r="AC16" s="1487">
        <v>1</v>
      </c>
    </row>
    <row r="17" spans="1:29" ht="156.75">
      <c r="A17" s="386"/>
      <c r="B17" s="409" t="s">
        <v>1704</v>
      </c>
      <c r="C17" s="2036" t="str">
        <f>估价对象房地状况!C6</f>
        <v>估价对象为距离东二环约600米，北侧临近工人体育场北路，周边有3路、4路、113路、115录吧、406路等公交通行，距离地铁2号线东四十条站约700米，交通便捷度较好。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563"/>
      <c r="Q17" s="1486" t="str">
        <f>B17</f>
        <v>交通便捷度</v>
      </c>
      <c r="R17" s="713" t="s">
        <v>17</v>
      </c>
      <c r="S17" s="714">
        <f>F17</f>
        <v>100</v>
      </c>
      <c r="T17" s="713" t="s">
        <v>17</v>
      </c>
      <c r="U17" s="714">
        <f>H17</f>
        <v>100</v>
      </c>
      <c r="V17" s="713" t="s">
        <v>17</v>
      </c>
      <c r="W17" s="714">
        <f>J17</f>
        <v>100</v>
      </c>
      <c r="X17" s="1489"/>
      <c r="Y17" s="3556"/>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563"/>
      <c r="Q18" s="1486"/>
      <c r="R18" s="713"/>
      <c r="S18" s="714"/>
      <c r="T18" s="713"/>
      <c r="U18" s="714"/>
      <c r="V18" s="713"/>
      <c r="W18" s="714"/>
      <c r="X18" s="1489"/>
      <c r="Y18" s="3556"/>
      <c r="Z18" s="1490"/>
      <c r="AA18" s="1487">
        <v>1</v>
      </c>
      <c r="AB18" s="1487">
        <v>1</v>
      </c>
      <c r="AC18" s="1487">
        <v>1</v>
      </c>
    </row>
    <row r="19" spans="1:29" ht="313.5">
      <c r="A19" s="386"/>
      <c r="B19" s="409" t="s">
        <v>2234</v>
      </c>
      <c r="C19" s="2036" t="str">
        <f>估价对象房地状况!C7</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563"/>
      <c r="Q19" s="1486" t="str">
        <f>B19</f>
        <v>公共配套设施</v>
      </c>
      <c r="R19" s="713" t="s">
        <v>17</v>
      </c>
      <c r="S19" s="714">
        <f>F19</f>
        <v>100</v>
      </c>
      <c r="T19" s="713" t="s">
        <v>17</v>
      </c>
      <c r="U19" s="714">
        <f>H19</f>
        <v>100</v>
      </c>
      <c r="V19" s="713" t="s">
        <v>17</v>
      </c>
      <c r="W19" s="714">
        <f>J19</f>
        <v>100</v>
      </c>
      <c r="X19" s="1489"/>
      <c r="Y19" s="3556"/>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563"/>
      <c r="Q20" s="1486"/>
      <c r="R20" s="713"/>
      <c r="S20" s="714"/>
      <c r="T20" s="713"/>
      <c r="U20" s="714"/>
      <c r="V20" s="713"/>
      <c r="W20" s="714"/>
      <c r="X20" s="1489"/>
      <c r="Y20" s="3556"/>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563"/>
      <c r="Q21" s="1486" t="str">
        <f>B21</f>
        <v>基础设施水平</v>
      </c>
      <c r="R21" s="713" t="s">
        <v>17</v>
      </c>
      <c r="S21" s="714">
        <f>F21</f>
        <v>100</v>
      </c>
      <c r="T21" s="713" t="s">
        <v>17</v>
      </c>
      <c r="U21" s="714">
        <f>H21</f>
        <v>100</v>
      </c>
      <c r="V21" s="713" t="s">
        <v>17</v>
      </c>
      <c r="W21" s="714">
        <f>J21</f>
        <v>100</v>
      </c>
      <c r="X21" s="1489"/>
      <c r="Y21" s="3556"/>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563"/>
      <c r="Q22" s="1486"/>
      <c r="R22" s="713"/>
      <c r="S22" s="714"/>
      <c r="T22" s="713"/>
      <c r="U22" s="714"/>
      <c r="V22" s="713"/>
      <c r="W22" s="714"/>
      <c r="X22" s="1489"/>
      <c r="Y22" s="3556"/>
      <c r="Z22" s="1490"/>
      <c r="AA22" s="1487">
        <v>1</v>
      </c>
      <c r="AB22" s="1487">
        <v>1</v>
      </c>
      <c r="AC22" s="1487">
        <v>1</v>
      </c>
    </row>
    <row r="23" spans="1:29" ht="85.5">
      <c r="A23" s="386"/>
      <c r="B23" s="409" t="s">
        <v>1706</v>
      </c>
      <c r="C23" s="2091" t="str">
        <f>估价对象房地状况!C9</f>
        <v>区域自然环境：东岳庙；人文环境：北京工人体育场、保利剧院；综合评价环境状况较好</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563"/>
      <c r="Q23" s="1486" t="str">
        <f>B23</f>
        <v>自然及人文环境</v>
      </c>
      <c r="R23" s="713" t="s">
        <v>17</v>
      </c>
      <c r="S23" s="714">
        <f>F23</f>
        <v>100</v>
      </c>
      <c r="T23" s="713" t="s">
        <v>17</v>
      </c>
      <c r="U23" s="714">
        <f>H23</f>
        <v>100</v>
      </c>
      <c r="V23" s="713" t="s">
        <v>17</v>
      </c>
      <c r="W23" s="714">
        <f>J23</f>
        <v>100</v>
      </c>
      <c r="X23" s="1489"/>
      <c r="Y23" s="3556"/>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563"/>
      <c r="Q24" s="1486"/>
      <c r="R24" s="713"/>
      <c r="S24" s="714"/>
      <c r="T24" s="713"/>
      <c r="U24" s="714"/>
      <c r="V24" s="713"/>
      <c r="W24" s="714"/>
      <c r="X24" s="1489"/>
      <c r="Y24" s="3556"/>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563"/>
      <c r="Q25" s="1486" t="str">
        <f t="shared" ref="Q25:Q46" si="11">B25</f>
        <v>临街状况</v>
      </c>
      <c r="R25" s="713" t="s">
        <v>17</v>
      </c>
      <c r="S25" s="714">
        <f>F25</f>
        <v>100</v>
      </c>
      <c r="T25" s="713" t="s">
        <v>17</v>
      </c>
      <c r="U25" s="714">
        <f>H25</f>
        <v>100</v>
      </c>
      <c r="V25" s="713" t="s">
        <v>17</v>
      </c>
      <c r="W25" s="714">
        <f>J25</f>
        <v>100</v>
      </c>
      <c r="X25" s="1489"/>
      <c r="Y25" s="3556"/>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563"/>
      <c r="Q26" s="1486" t="str">
        <f t="shared" si="11"/>
        <v>平面位置/可视性</v>
      </c>
      <c r="R26" s="713" t="s">
        <v>17</v>
      </c>
      <c r="S26" s="714">
        <f>F26</f>
        <v>100</v>
      </c>
      <c r="T26" s="713" t="s">
        <v>17</v>
      </c>
      <c r="U26" s="714">
        <f>H26</f>
        <v>100</v>
      </c>
      <c r="V26" s="713" t="s">
        <v>17</v>
      </c>
      <c r="W26" s="714">
        <f>J26</f>
        <v>100</v>
      </c>
      <c r="X26" s="1489"/>
      <c r="Y26" s="3556"/>
      <c r="Z26" s="1490" t="str">
        <f>Q26</f>
        <v>平面位置/可视性</v>
      </c>
      <c r="AA26" s="1487">
        <f t="shared" si="3"/>
        <v>1</v>
      </c>
      <c r="AB26" s="1487">
        <f t="shared" si="4"/>
        <v>1</v>
      </c>
      <c r="AC26" s="1487">
        <f t="shared" si="5"/>
        <v>1</v>
      </c>
    </row>
    <row r="27" spans="1:29" s="113"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563"/>
      <c r="Q27" s="1477" t="str">
        <f t="shared" si="11"/>
        <v>人流量</v>
      </c>
      <c r="R27" s="709" t="s">
        <v>17</v>
      </c>
      <c r="S27" s="710">
        <f>F27</f>
        <v>100</v>
      </c>
      <c r="T27" s="709" t="s">
        <v>17</v>
      </c>
      <c r="U27" s="710">
        <f>H27</f>
        <v>100</v>
      </c>
      <c r="V27" s="709" t="s">
        <v>17</v>
      </c>
      <c r="W27" s="710">
        <f>J27</f>
        <v>100</v>
      </c>
      <c r="X27" s="711"/>
      <c r="Y27" s="3556"/>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563"/>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56"/>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563"/>
      <c r="Q29" s="1486">
        <f t="shared" si="11"/>
        <v>111</v>
      </c>
      <c r="R29" s="713" t="s">
        <v>17</v>
      </c>
      <c r="S29" s="714">
        <f t="shared" si="12"/>
        <v>100</v>
      </c>
      <c r="T29" s="713" t="s">
        <v>17</v>
      </c>
      <c r="U29" s="714">
        <f t="shared" si="13"/>
        <v>100</v>
      </c>
      <c r="V29" s="713" t="s">
        <v>17</v>
      </c>
      <c r="W29" s="714">
        <f t="shared" si="14"/>
        <v>100</v>
      </c>
      <c r="X29" s="1489"/>
      <c r="Y29" s="3556"/>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563"/>
      <c r="Q30" s="1486">
        <f t="shared" si="11"/>
        <v>111</v>
      </c>
      <c r="R30" s="713" t="s">
        <v>17</v>
      </c>
      <c r="S30" s="714">
        <f t="shared" si="12"/>
        <v>100</v>
      </c>
      <c r="T30" s="713" t="s">
        <v>17</v>
      </c>
      <c r="U30" s="714">
        <f t="shared" si="13"/>
        <v>100</v>
      </c>
      <c r="V30" s="713" t="s">
        <v>17</v>
      </c>
      <c r="W30" s="714">
        <f t="shared" si="14"/>
        <v>100</v>
      </c>
      <c r="X30" s="1489"/>
      <c r="Y30" s="3556"/>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563"/>
      <c r="Q31" s="1486">
        <f t="shared" si="11"/>
        <v>111</v>
      </c>
      <c r="R31" s="713" t="s">
        <v>17</v>
      </c>
      <c r="S31" s="714">
        <f t="shared" si="12"/>
        <v>100</v>
      </c>
      <c r="T31" s="713" t="s">
        <v>17</v>
      </c>
      <c r="U31" s="714">
        <f t="shared" si="13"/>
        <v>100</v>
      </c>
      <c r="V31" s="713" t="s">
        <v>17</v>
      </c>
      <c r="W31" s="714">
        <f t="shared" si="14"/>
        <v>100</v>
      </c>
      <c r="X31" s="1489"/>
      <c r="Y31" s="3556"/>
      <c r="Z31" s="1490">
        <f t="shared" si="15"/>
        <v>111</v>
      </c>
      <c r="AA31" s="1487">
        <f t="shared" si="3"/>
        <v>1</v>
      </c>
      <c r="AB31" s="1487">
        <f t="shared" si="4"/>
        <v>1</v>
      </c>
      <c r="AC31" s="1487">
        <f t="shared" si="5"/>
        <v>1</v>
      </c>
    </row>
    <row r="32" spans="1:29" ht="15">
      <c r="A32" s="398" t="s">
        <v>2143</v>
      </c>
      <c r="B32" s="67"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557" t="s">
        <v>2145</v>
      </c>
      <c r="Q32" s="1486" t="str">
        <f t="shared" si="11"/>
        <v>商业类型</v>
      </c>
      <c r="R32" s="713" t="s">
        <v>17</v>
      </c>
      <c r="S32" s="714">
        <f t="shared" si="12"/>
        <v>100</v>
      </c>
      <c r="T32" s="713" t="s">
        <v>17</v>
      </c>
      <c r="U32" s="714">
        <f t="shared" si="13"/>
        <v>100</v>
      </c>
      <c r="V32" s="713" t="s">
        <v>17</v>
      </c>
      <c r="W32" s="714">
        <f t="shared" si="14"/>
        <v>100</v>
      </c>
      <c r="X32" s="1489"/>
      <c r="Y32" s="3560"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558"/>
      <c r="Q33" s="715" t="str">
        <f t="shared" si="11"/>
        <v>项目建筑规模</v>
      </c>
      <c r="R33" s="716" t="s">
        <v>17</v>
      </c>
      <c r="S33" s="717" t="e">
        <f t="shared" si="12"/>
        <v>#N/A</v>
      </c>
      <c r="T33" s="716" t="s">
        <v>17</v>
      </c>
      <c r="U33" s="717" t="e">
        <f t="shared" si="13"/>
        <v>#N/A</v>
      </c>
      <c r="V33" s="716" t="s">
        <v>17</v>
      </c>
      <c r="W33" s="717" t="e">
        <f t="shared" si="14"/>
        <v>#N/A</v>
      </c>
      <c r="X33" s="718"/>
      <c r="Y33" s="3560"/>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558"/>
      <c r="Q34" s="1486" t="str">
        <f t="shared" si="11"/>
        <v>建筑结构</v>
      </c>
      <c r="R34" s="713" t="s">
        <v>17</v>
      </c>
      <c r="S34" s="714">
        <f t="shared" si="12"/>
        <v>100</v>
      </c>
      <c r="T34" s="713" t="s">
        <v>17</v>
      </c>
      <c r="U34" s="714">
        <f t="shared" si="13"/>
        <v>100</v>
      </c>
      <c r="V34" s="713" t="s">
        <v>17</v>
      </c>
      <c r="W34" s="714">
        <f t="shared" si="14"/>
        <v>100</v>
      </c>
      <c r="X34" s="1489"/>
      <c r="Y34" s="3560"/>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558"/>
      <c r="Q35" s="1486" t="str">
        <f t="shared" si="11"/>
        <v>公共部分装修</v>
      </c>
      <c r="R35" s="713" t="s">
        <v>17</v>
      </c>
      <c r="S35" s="714">
        <f t="shared" si="12"/>
        <v>100</v>
      </c>
      <c r="T35" s="713" t="s">
        <v>17</v>
      </c>
      <c r="U35" s="714">
        <f t="shared" si="13"/>
        <v>100</v>
      </c>
      <c r="V35" s="713" t="s">
        <v>17</v>
      </c>
      <c r="W35" s="714">
        <f t="shared" si="14"/>
        <v>100</v>
      </c>
      <c r="X35" s="1489"/>
      <c r="Y35" s="3560"/>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558"/>
      <c r="Q36" s="1486" t="str">
        <f t="shared" si="11"/>
        <v>成新度</v>
      </c>
      <c r="R36" s="713" t="s">
        <v>17</v>
      </c>
      <c r="S36" s="714" t="e">
        <f t="shared" si="12"/>
        <v>#N/A</v>
      </c>
      <c r="T36" s="713" t="s">
        <v>17</v>
      </c>
      <c r="U36" s="714" t="e">
        <f t="shared" si="13"/>
        <v>#N/A</v>
      </c>
      <c r="V36" s="713" t="s">
        <v>17</v>
      </c>
      <c r="W36" s="714" t="e">
        <f t="shared" si="14"/>
        <v>#N/A</v>
      </c>
      <c r="X36" s="1489"/>
      <c r="Y36" s="3560"/>
      <c r="Z36" s="1490" t="str">
        <f t="shared" si="15"/>
        <v>成新度</v>
      </c>
      <c r="AA36" s="1487" t="e">
        <f t="shared" si="3"/>
        <v>#N/A</v>
      </c>
      <c r="AB36" s="1487" t="e">
        <f t="shared" si="4"/>
        <v>#N/A</v>
      </c>
      <c r="AC36" s="1487" t="e">
        <f t="shared" si="5"/>
        <v>#N/A</v>
      </c>
    </row>
    <row r="37" spans="1:29" s="113"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558"/>
      <c r="Q37" s="1477" t="str">
        <f t="shared" si="11"/>
        <v>市政基础设施</v>
      </c>
      <c r="R37" s="709" t="s">
        <v>17</v>
      </c>
      <c r="S37" s="710">
        <f t="shared" si="12"/>
        <v>100</v>
      </c>
      <c r="T37" s="709" t="s">
        <v>17</v>
      </c>
      <c r="U37" s="710">
        <f t="shared" si="13"/>
        <v>100</v>
      </c>
      <c r="V37" s="709" t="s">
        <v>17</v>
      </c>
      <c r="W37" s="710">
        <f t="shared" si="14"/>
        <v>100</v>
      </c>
      <c r="X37" s="711"/>
      <c r="Y37" s="3560"/>
      <c r="Z37" s="55"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558" t="s">
        <v>2145</v>
      </c>
      <c r="Q38" s="1486" t="str">
        <f t="shared" si="11"/>
        <v>业态</v>
      </c>
      <c r="R38" s="713" t="s">
        <v>17</v>
      </c>
      <c r="S38" s="714">
        <f t="shared" si="12"/>
        <v>100</v>
      </c>
      <c r="T38" s="713" t="s">
        <v>17</v>
      </c>
      <c r="U38" s="714">
        <f t="shared" si="13"/>
        <v>100</v>
      </c>
      <c r="V38" s="713" t="s">
        <v>17</v>
      </c>
      <c r="W38" s="714">
        <f t="shared" si="14"/>
        <v>100</v>
      </c>
      <c r="X38" s="1489"/>
      <c r="Y38" s="3560"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558"/>
      <c r="Q39" s="1486" t="str">
        <f t="shared" si="11"/>
        <v>层高</v>
      </c>
      <c r="R39" s="713" t="s">
        <v>17</v>
      </c>
      <c r="S39" s="714">
        <f t="shared" si="12"/>
        <v>100</v>
      </c>
      <c r="T39" s="713" t="s">
        <v>17</v>
      </c>
      <c r="U39" s="714">
        <f t="shared" si="13"/>
        <v>100</v>
      </c>
      <c r="V39" s="713" t="s">
        <v>17</v>
      </c>
      <c r="W39" s="714">
        <f t="shared" si="14"/>
        <v>100</v>
      </c>
      <c r="X39" s="1489"/>
      <c r="Y39" s="3560"/>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558"/>
      <c r="Q40" s="1486" t="str">
        <f t="shared" si="11"/>
        <v>单套建筑面积</v>
      </c>
      <c r="R40" s="713" t="s">
        <v>17</v>
      </c>
      <c r="S40" s="714">
        <f t="shared" si="12"/>
        <v>100</v>
      </c>
      <c r="T40" s="713" t="s">
        <v>17</v>
      </c>
      <c r="U40" s="714">
        <f t="shared" si="13"/>
        <v>100</v>
      </c>
      <c r="V40" s="713" t="s">
        <v>17</v>
      </c>
      <c r="W40" s="714">
        <f t="shared" si="14"/>
        <v>100</v>
      </c>
      <c r="X40" s="1489"/>
      <c r="Y40" s="3560"/>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558"/>
      <c r="Q41" s="715" t="str">
        <f t="shared" si="11"/>
        <v>进深比</v>
      </c>
      <c r="R41" s="716" t="s">
        <v>17</v>
      </c>
      <c r="S41" s="717">
        <f t="shared" si="12"/>
        <v>100</v>
      </c>
      <c r="T41" s="716" t="s">
        <v>17</v>
      </c>
      <c r="U41" s="717">
        <f t="shared" si="13"/>
        <v>100</v>
      </c>
      <c r="V41" s="716" t="s">
        <v>17</v>
      </c>
      <c r="W41" s="717">
        <f t="shared" si="14"/>
        <v>100</v>
      </c>
      <c r="X41" s="718"/>
      <c r="Y41" s="3560"/>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558"/>
      <c r="Q42" s="1486" t="str">
        <f t="shared" si="11"/>
        <v>内部装修</v>
      </c>
      <c r="R42" s="713" t="s">
        <v>17</v>
      </c>
      <c r="S42" s="714">
        <f t="shared" si="12"/>
        <v>100</v>
      </c>
      <c r="T42" s="713" t="s">
        <v>17</v>
      </c>
      <c r="U42" s="714">
        <f t="shared" si="13"/>
        <v>100</v>
      </c>
      <c r="V42" s="713" t="s">
        <v>17</v>
      </c>
      <c r="W42" s="714">
        <f t="shared" si="14"/>
        <v>100</v>
      </c>
      <c r="X42" s="1489"/>
      <c r="Y42" s="3560"/>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558"/>
      <c r="Q43" s="1486" t="str">
        <f t="shared" si="11"/>
        <v>内部装修维护情况</v>
      </c>
      <c r="R43" s="713" t="s">
        <v>17</v>
      </c>
      <c r="S43" s="714">
        <f t="shared" si="12"/>
        <v>100</v>
      </c>
      <c r="T43" s="713" t="s">
        <v>17</v>
      </c>
      <c r="U43" s="714">
        <f t="shared" si="13"/>
        <v>100</v>
      </c>
      <c r="V43" s="713" t="s">
        <v>17</v>
      </c>
      <c r="W43" s="714">
        <f t="shared" si="14"/>
        <v>100</v>
      </c>
      <c r="X43" s="1489"/>
      <c r="Y43" s="3560"/>
      <c r="Z43" s="1490" t="str">
        <f t="shared" si="15"/>
        <v>内部装修维护情况</v>
      </c>
      <c r="AA43" s="1487">
        <f t="shared" si="3"/>
        <v>1</v>
      </c>
      <c r="AB43" s="1487">
        <f t="shared" si="4"/>
        <v>1</v>
      </c>
      <c r="AC43" s="1487">
        <f t="shared" si="5"/>
        <v>1</v>
      </c>
    </row>
    <row r="44" spans="1:29" s="113"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558"/>
      <c r="Q44" s="1477">
        <f t="shared" si="11"/>
        <v>111</v>
      </c>
      <c r="R44" s="709" t="s">
        <v>17</v>
      </c>
      <c r="S44" s="710">
        <f t="shared" si="12"/>
        <v>100</v>
      </c>
      <c r="T44" s="709" t="s">
        <v>17</v>
      </c>
      <c r="U44" s="710">
        <f t="shared" si="13"/>
        <v>100</v>
      </c>
      <c r="V44" s="709" t="s">
        <v>17</v>
      </c>
      <c r="W44" s="710">
        <f t="shared" si="14"/>
        <v>100</v>
      </c>
      <c r="X44" s="711"/>
      <c r="Y44" s="3560"/>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558"/>
      <c r="Q45" s="1486">
        <f t="shared" si="11"/>
        <v>111</v>
      </c>
      <c r="R45" s="713" t="s">
        <v>17</v>
      </c>
      <c r="S45" s="714">
        <f t="shared" si="12"/>
        <v>100</v>
      </c>
      <c r="T45" s="713" t="s">
        <v>17</v>
      </c>
      <c r="U45" s="714">
        <f t="shared" si="13"/>
        <v>100</v>
      </c>
      <c r="V45" s="713" t="s">
        <v>17</v>
      </c>
      <c r="W45" s="714">
        <f t="shared" si="14"/>
        <v>100</v>
      </c>
      <c r="X45" s="1489"/>
      <c r="Y45" s="3560"/>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559"/>
      <c r="Q46" s="1486">
        <f t="shared" si="11"/>
        <v>111</v>
      </c>
      <c r="R46" s="713" t="s">
        <v>17</v>
      </c>
      <c r="S46" s="714">
        <f t="shared" si="12"/>
        <v>100</v>
      </c>
      <c r="T46" s="713" t="s">
        <v>17</v>
      </c>
      <c r="U46" s="714">
        <f t="shared" si="13"/>
        <v>100</v>
      </c>
      <c r="V46" s="713" t="s">
        <v>17</v>
      </c>
      <c r="W46" s="714">
        <f t="shared" si="14"/>
        <v>100</v>
      </c>
      <c r="X46" s="1489"/>
      <c r="Y46" s="3561"/>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553" t="str">
        <f>A47</f>
        <v>成交单价（元/平方米）</v>
      </c>
      <c r="Q47" s="3553"/>
      <c r="R47" s="3584">
        <f>E47</f>
        <v>0</v>
      </c>
      <c r="S47" s="3584"/>
      <c r="T47" s="3584">
        <f>G47</f>
        <v>0</v>
      </c>
      <c r="U47" s="3584"/>
      <c r="V47" s="3584">
        <f>I47</f>
        <v>0</v>
      </c>
      <c r="W47" s="3584"/>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553" t="str">
        <f>A48</f>
        <v>比较价值（元/平方米）</v>
      </c>
      <c r="Q48" s="355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550" t="str">
        <f>A49</f>
        <v>估价对象XX用房的比较价值（楼面单价，元/平方米）</v>
      </c>
      <c r="Q49" s="3551"/>
      <c r="R49" s="3552" t="e">
        <f>IF(F1="售价",ROUND(IF(D48="简单平均",AVERAGE(R48:V48),R48*F48+T48*H48+V48*J48),0),ROUND(IF(D48="简单平均",AVERAGE(R48:V48),R48*F48+T48*H48+V48*J48),1))</f>
        <v>#DIV/0!</v>
      </c>
      <c r="S49" s="3552"/>
      <c r="T49" s="3552"/>
      <c r="U49" s="3552"/>
      <c r="V49" s="3552"/>
      <c r="W49" s="3552"/>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3"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3"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3"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3"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3"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D28" zoomScale="90" zoomScaleNormal="70" zoomScaleSheetLayoutView="90" workbookViewId="0">
      <selection activeCell="K44" sqref="K44"/>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t="s">
        <v>27</v>
      </c>
      <c r="E1" s="1354"/>
      <c r="F1" s="2015" t="s">
        <v>3245</v>
      </c>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f>IF(C2="——",ROUND(C50*D3/10000,0),ROUND(C50*D3/10000,0)-D2)</f>
        <v>4</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f>IF(C2="——",C50,ROUND(B2*10000/D3,0))</f>
        <v>5.8</v>
      </c>
      <c r="C3" s="359" t="s">
        <v>2224</v>
      </c>
      <c r="D3" s="358">
        <f>IF(D1="",'数据-汇总表'!E3,SUMIF('数据-汇总表'!$C19:$C33,D1,'数据-汇总表'!$E19:$E33))</f>
        <v>6192.7899999999991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568" t="s">
        <v>2226</v>
      </c>
      <c r="D4" s="3569"/>
      <c r="E4" s="3570" t="s">
        <v>2227</v>
      </c>
      <c r="F4" s="3571"/>
      <c r="G4" s="3568" t="s">
        <v>2228</v>
      </c>
      <c r="H4" s="3569"/>
      <c r="I4" s="3568" t="s">
        <v>2229</v>
      </c>
      <c r="J4" s="3569"/>
      <c r="K4" s="566" t="s">
        <v>2230</v>
      </c>
      <c r="L4" s="2893"/>
      <c r="M4" s="2894"/>
      <c r="N4" s="2894"/>
      <c r="O4" s="2894"/>
      <c r="P4" s="3602" t="s">
        <v>2231</v>
      </c>
      <c r="Q4" s="3603"/>
      <c r="R4" s="3606" t="s">
        <v>2227</v>
      </c>
      <c r="S4" s="3607"/>
      <c r="T4" s="3606" t="s">
        <v>2228</v>
      </c>
      <c r="U4" s="3607"/>
      <c r="V4" s="3608" t="s">
        <v>2229</v>
      </c>
      <c r="W4" s="3608"/>
      <c r="X4" s="2094"/>
      <c r="Y4" s="3606" t="s">
        <v>2231</v>
      </c>
      <c r="Z4" s="3607"/>
      <c r="AA4" s="3611" t="s">
        <v>2227</v>
      </c>
      <c r="AB4" s="3611" t="s">
        <v>2228</v>
      </c>
      <c r="AC4" s="3599" t="s">
        <v>2229</v>
      </c>
    </row>
    <row r="5" spans="1:29" ht="15">
      <c r="A5" s="363"/>
      <c r="B5" s="364"/>
      <c r="C5" s="3587" t="s">
        <v>2122</v>
      </c>
      <c r="D5" s="3588"/>
      <c r="E5" s="3612" t="s">
        <v>3247</v>
      </c>
      <c r="F5" s="3595"/>
      <c r="G5" s="3609" t="s">
        <v>3248</v>
      </c>
      <c r="H5" s="3588"/>
      <c r="I5" s="3609" t="s">
        <v>3423</v>
      </c>
      <c r="J5" s="3588"/>
      <c r="K5" s="566"/>
      <c r="L5" s="2893"/>
      <c r="M5" s="2894"/>
      <c r="N5" s="2894"/>
      <c r="O5" s="2894"/>
      <c r="P5" s="3604"/>
      <c r="Q5" s="3575"/>
      <c r="R5" s="3580"/>
      <c r="S5" s="3581"/>
      <c r="T5" s="3580"/>
      <c r="U5" s="3581"/>
      <c r="V5" s="3584"/>
      <c r="W5" s="3584"/>
      <c r="X5" s="1489"/>
      <c r="Y5" s="3580"/>
      <c r="Z5" s="3581"/>
      <c r="AA5" s="3566"/>
      <c r="AB5" s="3566"/>
      <c r="AC5" s="3600"/>
    </row>
    <row r="6" spans="1:29" ht="15.75" thickBot="1">
      <c r="A6" s="365"/>
      <c r="B6" s="366"/>
      <c r="C6" s="3585" t="s">
        <v>2126</v>
      </c>
      <c r="D6" s="3586"/>
      <c r="E6" s="3592" t="s">
        <v>2126</v>
      </c>
      <c r="F6" s="3593"/>
      <c r="G6" s="3585" t="s">
        <v>2126</v>
      </c>
      <c r="H6" s="3586"/>
      <c r="I6" s="3585" t="s">
        <v>2126</v>
      </c>
      <c r="J6" s="3586"/>
      <c r="K6" s="566" t="s">
        <v>2127</v>
      </c>
      <c r="L6" s="2893"/>
      <c r="M6" s="2894"/>
      <c r="N6" s="2894"/>
      <c r="O6" s="2894"/>
      <c r="P6" s="3605"/>
      <c r="Q6" s="3577"/>
      <c r="R6" s="3580"/>
      <c r="S6" s="3581"/>
      <c r="T6" s="3582"/>
      <c r="U6" s="3583"/>
      <c r="V6" s="3584"/>
      <c r="W6" s="3584"/>
      <c r="X6" s="1489"/>
      <c r="Y6" s="3582"/>
      <c r="Z6" s="3583"/>
      <c r="AA6" s="3567"/>
      <c r="AB6" s="3567"/>
      <c r="AC6" s="3601"/>
    </row>
    <row r="7" spans="1:29" s="113" customFormat="1" ht="15.75" thickBot="1">
      <c r="A7" s="367" t="s">
        <v>2128</v>
      </c>
      <c r="B7" s="368"/>
      <c r="C7" s="369">
        <f>'数据-取费表'!B2</f>
        <v>44820</v>
      </c>
      <c r="D7" s="370">
        <v>100</v>
      </c>
      <c r="E7" s="371">
        <v>44805</v>
      </c>
      <c r="F7" s="372">
        <f>SUMIF(59:59,YEAR(E7)&amp;"-"&amp;MONTH(E7),60:60)</f>
        <v>100</v>
      </c>
      <c r="G7" s="371">
        <v>44805</v>
      </c>
      <c r="H7" s="370">
        <f>SUMIF(59:59,YEAR(G7)&amp;"-"&amp;MONTH(G7),60:60)</f>
        <v>100</v>
      </c>
      <c r="I7" s="371">
        <v>44805</v>
      </c>
      <c r="J7" s="370">
        <f>SUMIF(59:59,YEAR(I7)&amp;"-"&amp;MONTH(I7),60:60)</f>
        <v>100</v>
      </c>
      <c r="K7" s="567"/>
      <c r="L7" s="2895"/>
      <c r="M7" s="2896"/>
      <c r="N7" s="2896"/>
      <c r="O7" s="2896"/>
      <c r="P7" s="3610" t="s">
        <v>2129</v>
      </c>
      <c r="Q7" s="3591"/>
      <c r="R7" s="709" t="s">
        <v>17</v>
      </c>
      <c r="S7" s="710">
        <f t="shared" ref="S7:S15" si="0">F7</f>
        <v>100</v>
      </c>
      <c r="T7" s="709" t="s">
        <v>17</v>
      </c>
      <c r="U7" s="710">
        <f t="shared" ref="U7:U15" si="1">H7</f>
        <v>100</v>
      </c>
      <c r="V7" s="709" t="s">
        <v>17</v>
      </c>
      <c r="W7" s="710">
        <f t="shared" ref="W7:W15" si="2">J7</f>
        <v>100</v>
      </c>
      <c r="X7" s="711"/>
      <c r="Y7" s="3589" t="s">
        <v>2129</v>
      </c>
      <c r="Z7" s="3590"/>
      <c r="AA7" s="712">
        <f>D7/F7</f>
        <v>1</v>
      </c>
      <c r="AB7" s="712">
        <f>D7/H7</f>
        <v>1</v>
      </c>
      <c r="AC7" s="2095">
        <f>D7/J7</f>
        <v>1</v>
      </c>
    </row>
    <row r="8" spans="1:29" s="113" customFormat="1" ht="15.75" thickBot="1">
      <c r="A8" s="367" t="s">
        <v>2130</v>
      </c>
      <c r="B8" s="368"/>
      <c r="C8" s="373" t="s">
        <v>2232</v>
      </c>
      <c r="D8" s="370">
        <v>100</v>
      </c>
      <c r="E8" s="373" t="s">
        <v>3246</v>
      </c>
      <c r="F8" s="372">
        <f>SUMIF(62:62,E8,63:63)-SUMIF(62:62,C8,63:63)+100</f>
        <v>100</v>
      </c>
      <c r="G8" s="373" t="s">
        <v>3246</v>
      </c>
      <c r="H8" s="370">
        <f>SUMIF(62:62,G8,63:63)-SUMIF(62:62,C8,63:63)+100</f>
        <v>100</v>
      </c>
      <c r="I8" s="373" t="s">
        <v>3246</v>
      </c>
      <c r="J8" s="370">
        <f>SUMIF(62:62,I8,63:63)-SUMIF(62:62,C8,63:63)+100</f>
        <v>100</v>
      </c>
      <c r="K8" s="567"/>
      <c r="L8" s="2895"/>
      <c r="M8" s="2896"/>
      <c r="N8" s="2896"/>
      <c r="O8" s="2896"/>
      <c r="P8" s="3610" t="s">
        <v>2132</v>
      </c>
      <c r="Q8" s="3590"/>
      <c r="R8" s="709" t="s">
        <v>17</v>
      </c>
      <c r="S8" s="710">
        <f t="shared" si="0"/>
        <v>100</v>
      </c>
      <c r="T8" s="709" t="s">
        <v>17</v>
      </c>
      <c r="U8" s="710">
        <f t="shared" si="1"/>
        <v>100</v>
      </c>
      <c r="V8" s="709" t="s">
        <v>17</v>
      </c>
      <c r="W8" s="710">
        <f t="shared" si="2"/>
        <v>100</v>
      </c>
      <c r="X8" s="711"/>
      <c r="Y8" s="3589" t="s">
        <v>2132</v>
      </c>
      <c r="Z8" s="3590"/>
      <c r="AA8" s="712">
        <f t="shared" ref="AA8:AA47" si="3">D8/F8</f>
        <v>1</v>
      </c>
      <c r="AB8" s="712">
        <f t="shared" ref="AB8:AB47" si="4">D8/H8</f>
        <v>1</v>
      </c>
      <c r="AC8" s="2095">
        <f t="shared" ref="AC8:AC47" si="5">D8/J8</f>
        <v>1</v>
      </c>
    </row>
    <row r="9" spans="1:29" s="113"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564" t="s">
        <v>2135</v>
      </c>
      <c r="Q9" s="1477" t="str">
        <f t="shared" ref="Q9:Q15" si="6">B9</f>
        <v>用途</v>
      </c>
      <c r="R9" s="709" t="s">
        <v>17</v>
      </c>
      <c r="S9" s="710">
        <f t="shared" si="0"/>
        <v>100</v>
      </c>
      <c r="T9" s="709" t="s">
        <v>17</v>
      </c>
      <c r="U9" s="710">
        <f t="shared" si="1"/>
        <v>100</v>
      </c>
      <c r="V9" s="709" t="s">
        <v>17</v>
      </c>
      <c r="W9" s="710">
        <f t="shared" si="2"/>
        <v>100</v>
      </c>
      <c r="X9" s="711"/>
      <c r="Y9" s="3425" t="s">
        <v>2136</v>
      </c>
      <c r="Z9" s="55" t="str">
        <f t="shared" ref="Z9:Z15" si="7">Q9</f>
        <v>用途</v>
      </c>
      <c r="AA9" s="712">
        <f t="shared" si="3"/>
        <v>1</v>
      </c>
      <c r="AB9" s="712">
        <f t="shared" si="4"/>
        <v>1</v>
      </c>
      <c r="AC9" s="2095">
        <f t="shared" si="5"/>
        <v>1</v>
      </c>
    </row>
    <row r="10" spans="1:29" s="385" customFormat="1" ht="27.75" thickBot="1">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564"/>
      <c r="Q10" s="1477" t="str">
        <f t="shared" si="6"/>
        <v>土地使用年限（年）</v>
      </c>
      <c r="R10" s="709" t="s">
        <v>17</v>
      </c>
      <c r="S10" s="710">
        <f t="shared" si="0"/>
        <v>100</v>
      </c>
      <c r="T10" s="709" t="s">
        <v>17</v>
      </c>
      <c r="U10" s="710">
        <f t="shared" si="1"/>
        <v>100</v>
      </c>
      <c r="V10" s="709" t="s">
        <v>17</v>
      </c>
      <c r="W10" s="710">
        <f t="shared" si="2"/>
        <v>100</v>
      </c>
      <c r="X10" s="711"/>
      <c r="Y10" s="3425"/>
      <c r="Z10" s="55" t="str">
        <f t="shared" si="7"/>
        <v>土地使用年限（年）</v>
      </c>
      <c r="AA10" s="712">
        <f t="shared" si="3"/>
        <v>1</v>
      </c>
      <c r="AB10" s="712">
        <f t="shared" si="4"/>
        <v>1</v>
      </c>
      <c r="AC10" s="2095">
        <f t="shared" si="5"/>
        <v>1</v>
      </c>
    </row>
    <row r="11" spans="1:29" ht="15" hidden="1">
      <c r="A11" s="386"/>
      <c r="B11" s="380" t="s">
        <v>2138</v>
      </c>
      <c r="C11" s="387"/>
      <c r="D11" s="131">
        <v>100</v>
      </c>
      <c r="E11" s="387"/>
      <c r="F11" s="131">
        <f>LOOKUP(E11,69:69,70:70)-LOOKUP(C11,69:69,70:70)+100</f>
        <v>100</v>
      </c>
      <c r="G11" s="388"/>
      <c r="H11" s="131">
        <f>LOOKUP(G11,69:69,70:70)-LOOKUP(C11,69:69,70:70)+100</f>
        <v>100</v>
      </c>
      <c r="I11" s="387"/>
      <c r="J11" s="131">
        <f>LOOKUP(I11,69:69,70:70)-LOOKUP(C11,69:69,70:70)+100</f>
        <v>100</v>
      </c>
      <c r="K11" s="568"/>
      <c r="L11" s="2899"/>
      <c r="M11" s="2894"/>
      <c r="N11" s="2894"/>
      <c r="O11" s="2894"/>
      <c r="P11" s="3564"/>
      <c r="Q11" s="1477" t="str">
        <f t="shared" si="6"/>
        <v>容积率</v>
      </c>
      <c r="R11" s="709" t="s">
        <v>17</v>
      </c>
      <c r="S11" s="710">
        <f t="shared" si="0"/>
        <v>100</v>
      </c>
      <c r="T11" s="709" t="s">
        <v>17</v>
      </c>
      <c r="U11" s="710">
        <f t="shared" si="1"/>
        <v>100</v>
      </c>
      <c r="V11" s="709" t="s">
        <v>17</v>
      </c>
      <c r="W11" s="710">
        <f t="shared" si="2"/>
        <v>100</v>
      </c>
      <c r="X11" s="711"/>
      <c r="Y11" s="3425"/>
      <c r="Z11" s="55" t="str">
        <f t="shared" si="7"/>
        <v>容积率</v>
      </c>
      <c r="AA11" s="712">
        <f t="shared" si="3"/>
        <v>1</v>
      </c>
      <c r="AB11" s="712">
        <f t="shared" si="4"/>
        <v>1</v>
      </c>
      <c r="AC11" s="2095">
        <f t="shared" si="5"/>
        <v>1</v>
      </c>
    </row>
    <row r="12" spans="1:29" s="113" customFormat="1" ht="15" hidden="1">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564"/>
      <c r="Q12" s="1477">
        <f t="shared" si="6"/>
        <v>111</v>
      </c>
      <c r="R12" s="709" t="s">
        <v>17</v>
      </c>
      <c r="S12" s="710">
        <f t="shared" si="0"/>
        <v>100</v>
      </c>
      <c r="T12" s="709" t="s">
        <v>17</v>
      </c>
      <c r="U12" s="710">
        <f t="shared" si="1"/>
        <v>100</v>
      </c>
      <c r="V12" s="709" t="s">
        <v>17</v>
      </c>
      <c r="W12" s="710">
        <f t="shared" si="2"/>
        <v>100</v>
      </c>
      <c r="X12" s="711"/>
      <c r="Y12" s="3425"/>
      <c r="Z12" s="55">
        <f t="shared" si="7"/>
        <v>111</v>
      </c>
      <c r="AA12" s="712">
        <f>D12/F12</f>
        <v>1</v>
      </c>
      <c r="AB12" s="712">
        <f>D12/H12</f>
        <v>1</v>
      </c>
      <c r="AC12" s="2095">
        <f>D12/J12</f>
        <v>1</v>
      </c>
    </row>
    <row r="13" spans="1:29" ht="15" hidden="1">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564"/>
      <c r="Q13" s="1477">
        <f t="shared" si="6"/>
        <v>111</v>
      </c>
      <c r="R13" s="709" t="s">
        <v>17</v>
      </c>
      <c r="S13" s="710">
        <f t="shared" si="0"/>
        <v>100</v>
      </c>
      <c r="T13" s="709" t="s">
        <v>17</v>
      </c>
      <c r="U13" s="710">
        <f t="shared" si="1"/>
        <v>100</v>
      </c>
      <c r="V13" s="709" t="s">
        <v>17</v>
      </c>
      <c r="W13" s="710">
        <f t="shared" si="2"/>
        <v>100</v>
      </c>
      <c r="X13" s="711"/>
      <c r="Y13" s="3425"/>
      <c r="Z13" s="55">
        <f t="shared" si="7"/>
        <v>111</v>
      </c>
      <c r="AA13" s="712">
        <f t="shared" si="3"/>
        <v>1</v>
      </c>
      <c r="AB13" s="712">
        <f t="shared" si="4"/>
        <v>1</v>
      </c>
      <c r="AC13" s="2095">
        <f t="shared" si="5"/>
        <v>1</v>
      </c>
    </row>
    <row r="14" spans="1:29" ht="15.75" hidden="1"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564"/>
      <c r="Q14" s="1477">
        <f t="shared" si="6"/>
        <v>111</v>
      </c>
      <c r="R14" s="709" t="s">
        <v>17</v>
      </c>
      <c r="S14" s="710">
        <f t="shared" si="0"/>
        <v>100</v>
      </c>
      <c r="T14" s="709" t="s">
        <v>17</v>
      </c>
      <c r="U14" s="710">
        <f t="shared" si="1"/>
        <v>100</v>
      </c>
      <c r="V14" s="709" t="s">
        <v>17</v>
      </c>
      <c r="W14" s="710">
        <f t="shared" si="2"/>
        <v>100</v>
      </c>
      <c r="X14" s="711"/>
      <c r="Y14" s="3425"/>
      <c r="Z14" s="55">
        <f t="shared" si="7"/>
        <v>111</v>
      </c>
      <c r="AA14" s="712">
        <f t="shared" si="3"/>
        <v>1</v>
      </c>
      <c r="AB14" s="712">
        <f t="shared" si="4"/>
        <v>1</v>
      </c>
      <c r="AC14" s="2095">
        <f t="shared" si="5"/>
        <v>1</v>
      </c>
    </row>
    <row r="15" spans="1:29" ht="71.25">
      <c r="A15" s="398" t="s">
        <v>2139</v>
      </c>
      <c r="B15" s="584" t="s">
        <v>2267</v>
      </c>
      <c r="C15" s="2097" t="str">
        <f>估价对象房地状况!C5</f>
        <v>估价对象地处东城区，周边办公楼项目较多，入驻率高，办公集聚程度较好。</v>
      </c>
      <c r="D15" s="399">
        <v>100</v>
      </c>
      <c r="E15" s="402"/>
      <c r="F15" s="399">
        <f>SUMIF(77:77,E16,78:78)-SUMIF(77:77,C16,78:78)+100</f>
        <v>100</v>
      </c>
      <c r="G15" s="400"/>
      <c r="H15" s="399">
        <f>SUMIF(77:77,G16,78:78)-SUMIF(77:77,C16,78:78)+100</f>
        <v>105</v>
      </c>
      <c r="I15" s="400"/>
      <c r="J15" s="399">
        <f>SUMIF(77:77,I16,78:78)-SUMIF(77:77,C16,78:78)+100</f>
        <v>100</v>
      </c>
      <c r="K15" s="570">
        <v>5</v>
      </c>
      <c r="L15" s="2900"/>
      <c r="M15" s="2894"/>
      <c r="N15" s="2894"/>
      <c r="O15" s="2894"/>
      <c r="P15" s="3562" t="s">
        <v>2140</v>
      </c>
      <c r="Q15" s="1486" t="str">
        <f t="shared" si="6"/>
        <v>办公集聚程度</v>
      </c>
      <c r="R15" s="713" t="s">
        <v>17</v>
      </c>
      <c r="S15" s="714">
        <f t="shared" si="0"/>
        <v>100</v>
      </c>
      <c r="T15" s="713" t="s">
        <v>17</v>
      </c>
      <c r="U15" s="714">
        <f t="shared" si="1"/>
        <v>105</v>
      </c>
      <c r="V15" s="713" t="s">
        <v>17</v>
      </c>
      <c r="W15" s="714">
        <f t="shared" si="2"/>
        <v>100</v>
      </c>
      <c r="X15" s="1489"/>
      <c r="Y15" s="3555" t="s">
        <v>2140</v>
      </c>
      <c r="Z15" s="1490" t="str">
        <f t="shared" si="7"/>
        <v>办公集聚程度</v>
      </c>
      <c r="AA15" s="1487">
        <f t="shared" si="3"/>
        <v>1</v>
      </c>
      <c r="AB15" s="1487">
        <f t="shared" si="4"/>
        <v>0.95238095238095233</v>
      </c>
      <c r="AC15" s="2098">
        <f t="shared" si="5"/>
        <v>1</v>
      </c>
    </row>
    <row r="16" spans="1:29" ht="15">
      <c r="A16" s="386"/>
      <c r="B16" s="585"/>
      <c r="C16" s="2040" t="s">
        <v>3249</v>
      </c>
      <c r="D16" s="406"/>
      <c r="E16" s="405" t="s">
        <v>3249</v>
      </c>
      <c r="F16" s="406"/>
      <c r="G16" s="2040" t="s">
        <v>3283</v>
      </c>
      <c r="H16" s="408"/>
      <c r="I16" s="2040" t="s">
        <v>3249</v>
      </c>
      <c r="J16" s="406"/>
      <c r="K16" s="571"/>
      <c r="L16" s="2900"/>
      <c r="M16" s="2894"/>
      <c r="N16" s="2894"/>
      <c r="O16" s="2894"/>
      <c r="P16" s="3563"/>
      <c r="Q16" s="1486"/>
      <c r="R16" s="713"/>
      <c r="S16" s="714"/>
      <c r="T16" s="713"/>
      <c r="U16" s="714"/>
      <c r="V16" s="713"/>
      <c r="W16" s="714"/>
      <c r="X16" s="1489"/>
      <c r="Y16" s="3556"/>
      <c r="Z16" s="1490"/>
      <c r="AA16" s="1487">
        <v>1</v>
      </c>
      <c r="AB16" s="1487">
        <v>1</v>
      </c>
      <c r="AC16" s="2098">
        <v>1</v>
      </c>
    </row>
    <row r="17" spans="1:29" ht="142.5">
      <c r="A17" s="386"/>
      <c r="B17" s="586" t="s">
        <v>1704</v>
      </c>
      <c r="C17" s="2099" t="str">
        <f>估价对象房地状况!C6</f>
        <v>估价对象为距离东二环约600米，北侧临近工人体育场北路，周边有3路、4路、113路、115录吧、406路等公交通行，距离地铁2号线东四十条站约700米，交通便捷度较好。</v>
      </c>
      <c r="D17" s="408">
        <v>100</v>
      </c>
      <c r="E17" s="412"/>
      <c r="F17" s="408">
        <f>SUMIF(79:79,E18,80:80)-SUMIF(79:79,C18,80:80)+100</f>
        <v>100</v>
      </c>
      <c r="G17" s="410"/>
      <c r="H17" s="413">
        <f>SUMIF(79:79,G18,80:80)-SUMIF(79:79,C18,80:80)+100</f>
        <v>100</v>
      </c>
      <c r="I17" s="410"/>
      <c r="J17" s="413">
        <f>SUMIF(79:79,I18,80:80)-SUMIF(79:79,C18,80:80)+100</f>
        <v>100</v>
      </c>
      <c r="K17" s="570">
        <v>2</v>
      </c>
      <c r="L17" s="2900"/>
      <c r="M17" s="2894"/>
      <c r="N17" s="2894"/>
      <c r="O17" s="2894"/>
      <c r="P17" s="3563"/>
      <c r="Q17" s="1486" t="str">
        <f>B17</f>
        <v>交通便捷度</v>
      </c>
      <c r="R17" s="713" t="s">
        <v>17</v>
      </c>
      <c r="S17" s="714">
        <f>F17</f>
        <v>100</v>
      </c>
      <c r="T17" s="713" t="s">
        <v>17</v>
      </c>
      <c r="U17" s="714">
        <f>H17</f>
        <v>100</v>
      </c>
      <c r="V17" s="713" t="s">
        <v>17</v>
      </c>
      <c r="W17" s="714">
        <f>J17</f>
        <v>100</v>
      </c>
      <c r="X17" s="1489"/>
      <c r="Y17" s="3556"/>
      <c r="Z17" s="1490" t="str">
        <f>Q17</f>
        <v>交通便捷度</v>
      </c>
      <c r="AA17" s="1487">
        <f t="shared" si="3"/>
        <v>1</v>
      </c>
      <c r="AB17" s="1487">
        <f t="shared" si="4"/>
        <v>1</v>
      </c>
      <c r="AC17" s="2098">
        <f t="shared" si="5"/>
        <v>1</v>
      </c>
    </row>
    <row r="18" spans="1:29" ht="15">
      <c r="A18" s="386"/>
      <c r="B18" s="587"/>
      <c r="C18" s="2100" t="s">
        <v>3249</v>
      </c>
      <c r="D18" s="408"/>
      <c r="E18" s="2038" t="s">
        <v>3249</v>
      </c>
      <c r="F18" s="408"/>
      <c r="G18" s="2039" t="s">
        <v>3249</v>
      </c>
      <c r="H18" s="406"/>
      <c r="I18" s="2039" t="s">
        <v>3249</v>
      </c>
      <c r="J18" s="406"/>
      <c r="K18" s="571"/>
      <c r="L18" s="2900"/>
      <c r="M18" s="2894"/>
      <c r="N18" s="2894"/>
      <c r="O18" s="2894"/>
      <c r="P18" s="3563"/>
      <c r="Q18" s="1486"/>
      <c r="R18" s="713"/>
      <c r="S18" s="714"/>
      <c r="T18" s="713"/>
      <c r="U18" s="714"/>
      <c r="V18" s="713"/>
      <c r="W18" s="714"/>
      <c r="X18" s="1489"/>
      <c r="Y18" s="3556"/>
      <c r="Z18" s="1490"/>
      <c r="AA18" s="1487">
        <v>1</v>
      </c>
      <c r="AB18" s="1487">
        <v>1</v>
      </c>
      <c r="AC18" s="2098">
        <v>1</v>
      </c>
    </row>
    <row r="19" spans="1:29" ht="270.75">
      <c r="A19" s="386"/>
      <c r="B19" s="586" t="s">
        <v>2268</v>
      </c>
      <c r="C19" s="2099" t="str">
        <f>估价对象房地状况!C7</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7"/>
      <c r="F19" s="413">
        <f>SUMIF(81:81,E20,82:82)-SUMIF(81:81,C20,82:82)+100</f>
        <v>100</v>
      </c>
      <c r="G19" s="415"/>
      <c r="H19" s="408">
        <f>SUMIF(81:81,G20,82:82)-SUMIF(81:81,C20,82:82)+100</f>
        <v>100</v>
      </c>
      <c r="I19" s="415"/>
      <c r="J19" s="408">
        <f>SUMIF(81:81,I20,82:82)-SUMIF(81:81,C20,82:82)+100</f>
        <v>100</v>
      </c>
      <c r="K19" s="570">
        <v>2</v>
      </c>
      <c r="L19" s="2900"/>
      <c r="M19" s="2894"/>
      <c r="N19" s="2894"/>
      <c r="O19" s="2894"/>
      <c r="P19" s="3563"/>
      <c r="Q19" s="1486" t="str">
        <f>B19</f>
        <v>公共配套设施</v>
      </c>
      <c r="R19" s="713" t="s">
        <v>17</v>
      </c>
      <c r="S19" s="714">
        <f>F19</f>
        <v>100</v>
      </c>
      <c r="T19" s="713" t="s">
        <v>17</v>
      </c>
      <c r="U19" s="714">
        <f>H19</f>
        <v>100</v>
      </c>
      <c r="V19" s="713" t="s">
        <v>17</v>
      </c>
      <c r="W19" s="714">
        <f>J19</f>
        <v>100</v>
      </c>
      <c r="X19" s="1489"/>
      <c r="Y19" s="3556"/>
      <c r="Z19" s="1490" t="str">
        <f>Q19</f>
        <v>公共配套设施</v>
      </c>
      <c r="AA19" s="1487">
        <f t="shared" si="3"/>
        <v>1</v>
      </c>
      <c r="AB19" s="1487">
        <f t="shared" si="4"/>
        <v>1</v>
      </c>
      <c r="AC19" s="2098">
        <f t="shared" si="5"/>
        <v>1</v>
      </c>
    </row>
    <row r="20" spans="1:29" ht="15">
      <c r="A20" s="386"/>
      <c r="B20" s="587"/>
      <c r="C20" s="2040" t="s">
        <v>3249</v>
      </c>
      <c r="D20" s="406"/>
      <c r="E20" s="2040" t="s">
        <v>3249</v>
      </c>
      <c r="F20" s="406"/>
      <c r="G20" s="2040" t="s">
        <v>3249</v>
      </c>
      <c r="H20" s="406"/>
      <c r="I20" s="2040" t="s">
        <v>3249</v>
      </c>
      <c r="J20" s="406"/>
      <c r="K20" s="571"/>
      <c r="L20" s="2900"/>
      <c r="M20" s="2894"/>
      <c r="N20" s="2894"/>
      <c r="O20" s="2894"/>
      <c r="P20" s="3563"/>
      <c r="Q20" s="1486"/>
      <c r="R20" s="713"/>
      <c r="S20" s="714"/>
      <c r="T20" s="713"/>
      <c r="U20" s="714"/>
      <c r="V20" s="713"/>
      <c r="W20" s="714"/>
      <c r="X20" s="1489"/>
      <c r="Y20" s="3556"/>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900"/>
      <c r="M21" s="2894"/>
      <c r="N21" s="2894"/>
      <c r="O21" s="2894"/>
      <c r="P21" s="3563"/>
      <c r="Q21" s="1486" t="str">
        <f>B21</f>
        <v>基础设施水平</v>
      </c>
      <c r="R21" s="713" t="s">
        <v>17</v>
      </c>
      <c r="S21" s="714">
        <f>F21</f>
        <v>100</v>
      </c>
      <c r="T21" s="713" t="s">
        <v>17</v>
      </c>
      <c r="U21" s="714">
        <f>H21</f>
        <v>100</v>
      </c>
      <c r="V21" s="713" t="s">
        <v>17</v>
      </c>
      <c r="W21" s="714">
        <f>J21</f>
        <v>100</v>
      </c>
      <c r="X21" s="1489"/>
      <c r="Y21" s="3556"/>
      <c r="Z21" s="1490" t="str">
        <f>Q21</f>
        <v>基础设施水平</v>
      </c>
      <c r="AA21" s="1487">
        <f t="shared" ref="AA21" si="8">D21/F21</f>
        <v>1</v>
      </c>
      <c r="AB21" s="1487">
        <f t="shared" ref="AB21" si="9">D21/H21</f>
        <v>1</v>
      </c>
      <c r="AC21" s="2098">
        <f t="shared" ref="AC21" si="10">D21/J21</f>
        <v>1</v>
      </c>
    </row>
    <row r="22" spans="1:29" ht="15">
      <c r="A22" s="386"/>
      <c r="B22" s="588"/>
      <c r="C22" s="2100" t="s">
        <v>3250</v>
      </c>
      <c r="D22" s="406"/>
      <c r="E22" s="2100" t="s">
        <v>3250</v>
      </c>
      <c r="F22" s="406"/>
      <c r="G22" s="2100" t="s">
        <v>3250</v>
      </c>
      <c r="H22" s="406"/>
      <c r="I22" s="2100" t="s">
        <v>3250</v>
      </c>
      <c r="J22" s="406"/>
      <c r="K22" s="1244"/>
      <c r="L22" s="2900"/>
      <c r="M22" s="2894"/>
      <c r="N22" s="2894"/>
      <c r="O22" s="2894"/>
      <c r="P22" s="3563"/>
      <c r="Q22" s="1486"/>
      <c r="R22" s="713"/>
      <c r="S22" s="714"/>
      <c r="T22" s="713"/>
      <c r="U22" s="714"/>
      <c r="V22" s="713"/>
      <c r="W22" s="714"/>
      <c r="X22" s="1489"/>
      <c r="Y22" s="3556"/>
      <c r="Z22" s="1490"/>
      <c r="AA22" s="1487">
        <v>1</v>
      </c>
      <c r="AB22" s="1487">
        <v>1</v>
      </c>
      <c r="AC22" s="2098">
        <v>1</v>
      </c>
    </row>
    <row r="23" spans="1:29" ht="71.25">
      <c r="A23" s="386"/>
      <c r="B23" s="586" t="s">
        <v>2270</v>
      </c>
      <c r="C23" s="2099" t="str">
        <f>估价对象房地状况!C9</f>
        <v>区域自然环境：东岳庙；人文环境：北京工人体育场、保利剧院；综合评价环境状况较好</v>
      </c>
      <c r="D23" s="408">
        <v>100</v>
      </c>
      <c r="E23" s="412"/>
      <c r="F23" s="408">
        <f>SUMIF(85:85,E24,86:86)-SUMIF(85:85,C24,86:86)+100</f>
        <v>100</v>
      </c>
      <c r="G23" s="410"/>
      <c r="H23" s="408">
        <f>SUMIF(85:85,G24,86:86)-SUMIF(85:85,C24,86:86)+100</f>
        <v>100</v>
      </c>
      <c r="I23" s="410"/>
      <c r="J23" s="408">
        <f>SUMIF(85:85,I24,86:86)-SUMIF(85:85,C24,86:86)+100</f>
        <v>100</v>
      </c>
      <c r="K23" s="570">
        <v>2</v>
      </c>
      <c r="L23" s="2900"/>
      <c r="M23" s="2894"/>
      <c r="N23" s="2894"/>
      <c r="O23" s="2894"/>
      <c r="P23" s="3563"/>
      <c r="Q23" s="1486" t="str">
        <f>B23</f>
        <v>环境质量</v>
      </c>
      <c r="R23" s="713" t="s">
        <v>17</v>
      </c>
      <c r="S23" s="714">
        <f>F23</f>
        <v>100</v>
      </c>
      <c r="T23" s="713" t="s">
        <v>17</v>
      </c>
      <c r="U23" s="714">
        <f>H23</f>
        <v>100</v>
      </c>
      <c r="V23" s="713" t="s">
        <v>17</v>
      </c>
      <c r="W23" s="714">
        <f>J23</f>
        <v>100</v>
      </c>
      <c r="X23" s="1489"/>
      <c r="Y23" s="3556"/>
      <c r="Z23" s="1490" t="str">
        <f>Q23</f>
        <v>环境质量</v>
      </c>
      <c r="AA23" s="1487">
        <f t="shared" si="3"/>
        <v>1</v>
      </c>
      <c r="AB23" s="1487">
        <f t="shared" si="4"/>
        <v>1</v>
      </c>
      <c r="AC23" s="2098">
        <f t="shared" si="5"/>
        <v>1</v>
      </c>
    </row>
    <row r="24" spans="1:29" ht="15">
      <c r="A24" s="386"/>
      <c r="B24" s="588"/>
      <c r="C24" s="2040" t="s">
        <v>3249</v>
      </c>
      <c r="D24" s="406"/>
      <c r="E24" s="2040" t="s">
        <v>3249</v>
      </c>
      <c r="F24" s="406"/>
      <c r="G24" s="2040" t="s">
        <v>3249</v>
      </c>
      <c r="H24" s="406"/>
      <c r="I24" s="2040" t="s">
        <v>3249</v>
      </c>
      <c r="J24" s="406"/>
      <c r="K24" s="571"/>
      <c r="L24" s="2900"/>
      <c r="M24" s="2894"/>
      <c r="N24" s="2894"/>
      <c r="O24" s="2894"/>
      <c r="P24" s="3563"/>
      <c r="Q24" s="1486"/>
      <c r="R24" s="713"/>
      <c r="S24" s="714"/>
      <c r="T24" s="713"/>
      <c r="U24" s="714"/>
      <c r="V24" s="713"/>
      <c r="W24" s="714"/>
      <c r="X24" s="1489"/>
      <c r="Y24" s="3556"/>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563"/>
      <c r="Q25" s="1486" t="str">
        <f>B25</f>
        <v>毗邻道路的类型与等级</v>
      </c>
      <c r="R25" s="713" t="s">
        <v>17</v>
      </c>
      <c r="S25" s="714">
        <f>F25</f>
        <v>100</v>
      </c>
      <c r="T25" s="713" t="s">
        <v>17</v>
      </c>
      <c r="U25" s="714">
        <f>H25</f>
        <v>100</v>
      </c>
      <c r="V25" s="713" t="s">
        <v>17</v>
      </c>
      <c r="W25" s="714">
        <f>J25</f>
        <v>100</v>
      </c>
      <c r="X25" s="1489"/>
      <c r="Y25" s="3556"/>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563"/>
      <c r="Q26" s="1486"/>
      <c r="R26" s="713"/>
      <c r="S26" s="714"/>
      <c r="T26" s="713"/>
      <c r="U26" s="714"/>
      <c r="V26" s="713"/>
      <c r="W26" s="714"/>
      <c r="X26" s="1489"/>
      <c r="Y26" s="3556"/>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563"/>
      <c r="Q27" s="1486" t="str">
        <f t="shared" ref="Q27:Q47" si="11">B27</f>
        <v>楼层</v>
      </c>
      <c r="R27" s="713" t="s">
        <v>17</v>
      </c>
      <c r="S27" s="714">
        <f>F27</f>
        <v>100</v>
      </c>
      <c r="T27" s="713" t="s">
        <v>17</v>
      </c>
      <c r="U27" s="714">
        <f>H27</f>
        <v>100</v>
      </c>
      <c r="V27" s="713" t="s">
        <v>17</v>
      </c>
      <c r="W27" s="714">
        <f>J27</f>
        <v>100</v>
      </c>
      <c r="X27" s="1489"/>
      <c r="Y27" s="3556"/>
      <c r="Z27" s="1490" t="str">
        <f>Q27</f>
        <v>楼层</v>
      </c>
      <c r="AA27" s="1487">
        <f t="shared" si="3"/>
        <v>1</v>
      </c>
      <c r="AB27" s="1487">
        <f t="shared" si="4"/>
        <v>1</v>
      </c>
      <c r="AC27" s="2098">
        <f t="shared" si="5"/>
        <v>1</v>
      </c>
    </row>
    <row r="28" spans="1:29" s="113" customFormat="1" ht="15.75" thickBot="1">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563"/>
      <c r="Q28" s="1477" t="str">
        <f t="shared" si="11"/>
        <v>朝向</v>
      </c>
      <c r="R28" s="709" t="s">
        <v>17</v>
      </c>
      <c r="S28" s="710">
        <f>F28</f>
        <v>100</v>
      </c>
      <c r="T28" s="709" t="s">
        <v>17</v>
      </c>
      <c r="U28" s="710">
        <f>H28</f>
        <v>100</v>
      </c>
      <c r="V28" s="709" t="s">
        <v>17</v>
      </c>
      <c r="W28" s="710">
        <f>J28</f>
        <v>100</v>
      </c>
      <c r="X28" s="711"/>
      <c r="Y28" s="3556"/>
      <c r="Z28" s="55" t="str">
        <f>Q28</f>
        <v>朝向</v>
      </c>
      <c r="AA28" s="1487">
        <f>D28/F28</f>
        <v>1</v>
      </c>
      <c r="AB28" s="1487">
        <f>D28/H28</f>
        <v>1</v>
      </c>
      <c r="AC28" s="2098">
        <f>D28/J28</f>
        <v>1</v>
      </c>
    </row>
    <row r="29" spans="1:29" ht="15" hidden="1">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563"/>
      <c r="Q29" s="1486">
        <f t="shared" si="11"/>
        <v>111</v>
      </c>
      <c r="R29" s="713" t="s">
        <v>17</v>
      </c>
      <c r="S29" s="714">
        <f t="shared" ref="S29:S47" si="12">F29</f>
        <v>100</v>
      </c>
      <c r="T29" s="713" t="s">
        <v>17</v>
      </c>
      <c r="U29" s="714">
        <f t="shared" ref="U29:U47" si="13">H29</f>
        <v>100</v>
      </c>
      <c r="V29" s="713" t="s">
        <v>17</v>
      </c>
      <c r="W29" s="714">
        <f t="shared" ref="W29:W47" si="14">J29</f>
        <v>100</v>
      </c>
      <c r="X29" s="1489"/>
      <c r="Y29" s="3556"/>
      <c r="Z29" s="1490">
        <f t="shared" ref="Z29:Z47" si="15">Q29</f>
        <v>111</v>
      </c>
      <c r="AA29" s="1487">
        <f t="shared" si="3"/>
        <v>1</v>
      </c>
      <c r="AB29" s="1487">
        <f t="shared" si="4"/>
        <v>1</v>
      </c>
      <c r="AC29" s="2098">
        <f t="shared" si="5"/>
        <v>1</v>
      </c>
    </row>
    <row r="30" spans="1:29" ht="15" hidden="1">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563"/>
      <c r="Q30" s="1486">
        <f t="shared" si="11"/>
        <v>111</v>
      </c>
      <c r="R30" s="713" t="s">
        <v>17</v>
      </c>
      <c r="S30" s="714">
        <f t="shared" si="12"/>
        <v>100</v>
      </c>
      <c r="T30" s="713" t="s">
        <v>17</v>
      </c>
      <c r="U30" s="714">
        <f t="shared" si="13"/>
        <v>100</v>
      </c>
      <c r="V30" s="713" t="s">
        <v>17</v>
      </c>
      <c r="W30" s="714">
        <f t="shared" si="14"/>
        <v>100</v>
      </c>
      <c r="X30" s="1489"/>
      <c r="Y30" s="3556"/>
      <c r="Z30" s="1490">
        <f t="shared" si="15"/>
        <v>111</v>
      </c>
      <c r="AA30" s="1487">
        <f t="shared" si="3"/>
        <v>1</v>
      </c>
      <c r="AB30" s="1487">
        <f t="shared" si="4"/>
        <v>1</v>
      </c>
      <c r="AC30" s="2098">
        <f t="shared" si="5"/>
        <v>1</v>
      </c>
    </row>
    <row r="31" spans="1:29" ht="15" hidden="1">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563"/>
      <c r="Q31" s="1486">
        <f t="shared" si="11"/>
        <v>111</v>
      </c>
      <c r="R31" s="713" t="s">
        <v>17</v>
      </c>
      <c r="S31" s="714">
        <f t="shared" si="12"/>
        <v>100</v>
      </c>
      <c r="T31" s="713" t="s">
        <v>17</v>
      </c>
      <c r="U31" s="714">
        <f t="shared" si="13"/>
        <v>100</v>
      </c>
      <c r="V31" s="713" t="s">
        <v>17</v>
      </c>
      <c r="W31" s="714">
        <f t="shared" si="14"/>
        <v>100</v>
      </c>
      <c r="X31" s="1489"/>
      <c r="Y31" s="3556"/>
      <c r="Z31" s="1490">
        <f t="shared" si="15"/>
        <v>111</v>
      </c>
      <c r="AA31" s="1487">
        <f t="shared" si="3"/>
        <v>1</v>
      </c>
      <c r="AB31" s="1487">
        <f t="shared" si="4"/>
        <v>1</v>
      </c>
      <c r="AC31" s="2098">
        <f t="shared" si="5"/>
        <v>1</v>
      </c>
    </row>
    <row r="32" spans="1:29" ht="15.75" hidden="1"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563"/>
      <c r="Q32" s="1486">
        <f t="shared" si="11"/>
        <v>111</v>
      </c>
      <c r="R32" s="713" t="s">
        <v>17</v>
      </c>
      <c r="S32" s="714">
        <f t="shared" si="12"/>
        <v>100</v>
      </c>
      <c r="T32" s="713" t="s">
        <v>17</v>
      </c>
      <c r="U32" s="714">
        <f t="shared" si="13"/>
        <v>100</v>
      </c>
      <c r="V32" s="713" t="s">
        <v>17</v>
      </c>
      <c r="W32" s="714">
        <f t="shared" si="14"/>
        <v>100</v>
      </c>
      <c r="X32" s="1489"/>
      <c r="Y32" s="3556"/>
      <c r="Z32" s="1490">
        <f t="shared" si="15"/>
        <v>111</v>
      </c>
      <c r="AA32" s="1487">
        <f t="shared" si="3"/>
        <v>1</v>
      </c>
      <c r="AB32" s="1487">
        <f t="shared" si="4"/>
        <v>1</v>
      </c>
      <c r="AC32" s="2098">
        <f t="shared" si="5"/>
        <v>1</v>
      </c>
    </row>
    <row r="33" spans="1:29" ht="15">
      <c r="A33" s="398" t="s">
        <v>2143</v>
      </c>
      <c r="B33" s="67" t="s">
        <v>2273</v>
      </c>
      <c r="C33" s="2103" t="s">
        <v>3258</v>
      </c>
      <c r="D33" s="425">
        <v>100</v>
      </c>
      <c r="E33" s="2103" t="s">
        <v>3258</v>
      </c>
      <c r="F33" s="419">
        <f>SUMIF(101:101,E33,102:102)-SUMIF(101:101,C33,102:102)+100</f>
        <v>100</v>
      </c>
      <c r="G33" s="2103" t="s">
        <v>3258</v>
      </c>
      <c r="H33" s="393">
        <f>SUMIF(101:101,G33,102:102)-SUMIF(101:101,C33,102:102)+100</f>
        <v>100</v>
      </c>
      <c r="I33" s="2103" t="s">
        <v>3258</v>
      </c>
      <c r="J33" s="425">
        <f>SUMIF(101:101,I33,102:102)-SUMIF(101:101,C33,102:102)+100</f>
        <v>100</v>
      </c>
      <c r="K33" s="568"/>
      <c r="L33" s="2900"/>
      <c r="M33" s="2894"/>
      <c r="N33" s="2894"/>
      <c r="O33" s="2894"/>
      <c r="P33" s="3557" t="s">
        <v>2145</v>
      </c>
      <c r="Q33" s="1486" t="str">
        <f t="shared" si="11"/>
        <v>建筑类型</v>
      </c>
      <c r="R33" s="713" t="s">
        <v>17</v>
      </c>
      <c r="S33" s="714">
        <f t="shared" si="12"/>
        <v>100</v>
      </c>
      <c r="T33" s="713" t="s">
        <v>17</v>
      </c>
      <c r="U33" s="714">
        <f t="shared" si="13"/>
        <v>100</v>
      </c>
      <c r="V33" s="713" t="s">
        <v>17</v>
      </c>
      <c r="W33" s="714">
        <f t="shared" si="14"/>
        <v>100</v>
      </c>
      <c r="X33" s="1489"/>
      <c r="Y33" s="3560" t="s">
        <v>2145</v>
      </c>
      <c r="Z33" s="1490" t="str">
        <f t="shared" si="15"/>
        <v>建筑类型</v>
      </c>
      <c r="AA33" s="1487">
        <f t="shared" si="3"/>
        <v>1</v>
      </c>
      <c r="AB33" s="1487">
        <f t="shared" si="4"/>
        <v>1</v>
      </c>
      <c r="AC33" s="2098">
        <f t="shared" si="5"/>
        <v>1</v>
      </c>
    </row>
    <row r="34" spans="1:29" s="429" customFormat="1" ht="15">
      <c r="A34" s="426"/>
      <c r="B34" s="380" t="s">
        <v>2146</v>
      </c>
      <c r="C34" s="427">
        <f>'数据-汇总表'!F19</f>
        <v>6192.7899999999991</v>
      </c>
      <c r="D34" s="131">
        <v>100</v>
      </c>
      <c r="E34" s="388">
        <f>案例!J3</f>
        <v>171</v>
      </c>
      <c r="F34" s="383">
        <f>LOOKUP(E34,104:104,105:105)-LOOKUP(C34,104:104,105:105)+100</f>
        <v>103</v>
      </c>
      <c r="G34" s="387">
        <f>案例!J7</f>
        <v>500</v>
      </c>
      <c r="H34" s="131">
        <f>LOOKUP(G34,104:104,105:105)-LOOKUP(C34,104:104,105:105)+100</f>
        <v>103</v>
      </c>
      <c r="I34" s="387">
        <v>123</v>
      </c>
      <c r="J34" s="131">
        <f>LOOKUP(I34,104:104,105:105)-LOOKUP(C34,104:104,105:105)+100</f>
        <v>103</v>
      </c>
      <c r="K34" s="569"/>
      <c r="L34" s="2899"/>
      <c r="M34" s="2901"/>
      <c r="N34" s="2901"/>
      <c r="O34" s="2901"/>
      <c r="P34" s="3558"/>
      <c r="Q34" s="715" t="str">
        <f t="shared" si="11"/>
        <v>项目建筑规模</v>
      </c>
      <c r="R34" s="716" t="s">
        <v>17</v>
      </c>
      <c r="S34" s="717">
        <f t="shared" si="12"/>
        <v>103</v>
      </c>
      <c r="T34" s="716" t="s">
        <v>17</v>
      </c>
      <c r="U34" s="717">
        <f t="shared" si="13"/>
        <v>103</v>
      </c>
      <c r="V34" s="716" t="s">
        <v>17</v>
      </c>
      <c r="W34" s="717">
        <f t="shared" si="14"/>
        <v>103</v>
      </c>
      <c r="X34" s="718"/>
      <c r="Y34" s="3560"/>
      <c r="Z34" s="719" t="str">
        <f t="shared" si="15"/>
        <v>项目建筑规模</v>
      </c>
      <c r="AA34" s="1487">
        <f t="shared" si="3"/>
        <v>0.970873786407767</v>
      </c>
      <c r="AB34" s="1487">
        <f t="shared" si="4"/>
        <v>0.970873786407767</v>
      </c>
      <c r="AC34" s="2098">
        <f t="shared" si="5"/>
        <v>0.970873786407767</v>
      </c>
    </row>
    <row r="35" spans="1:29" ht="15">
      <c r="A35" s="430"/>
      <c r="B35" s="380" t="s">
        <v>2147</v>
      </c>
      <c r="C35" s="418" t="s">
        <v>3205</v>
      </c>
      <c r="D35" s="393">
        <v>100</v>
      </c>
      <c r="E35" s="418" t="s">
        <v>3205</v>
      </c>
      <c r="F35" s="419">
        <f>SUMIF(106:106,E35,107:107)-SUMIF(106:106,C35,107:107)+100</f>
        <v>100</v>
      </c>
      <c r="G35" s="418" t="s">
        <v>3205</v>
      </c>
      <c r="H35" s="393">
        <f>SUMIF(106:106,G35,107:107)-SUMIF(106:106,C35,107:107)+100</f>
        <v>100</v>
      </c>
      <c r="I35" s="418" t="s">
        <v>3205</v>
      </c>
      <c r="J35" s="393">
        <f>SUMIF(106:106,I35,107:107)-SUMIF(106:106,C35,107:107)+100</f>
        <v>100</v>
      </c>
      <c r="K35" s="568">
        <v>1</v>
      </c>
      <c r="L35" s="2900"/>
      <c r="M35" s="2894"/>
      <c r="N35" s="2894"/>
      <c r="O35" s="2894"/>
      <c r="P35" s="3558"/>
      <c r="Q35" s="1486" t="str">
        <f t="shared" si="11"/>
        <v>建筑结构</v>
      </c>
      <c r="R35" s="713" t="s">
        <v>17</v>
      </c>
      <c r="S35" s="714">
        <f t="shared" si="12"/>
        <v>100</v>
      </c>
      <c r="T35" s="713" t="s">
        <v>17</v>
      </c>
      <c r="U35" s="714">
        <f t="shared" si="13"/>
        <v>100</v>
      </c>
      <c r="V35" s="713" t="s">
        <v>17</v>
      </c>
      <c r="W35" s="714">
        <f t="shared" si="14"/>
        <v>100</v>
      </c>
      <c r="X35" s="1489"/>
      <c r="Y35" s="3560"/>
      <c r="Z35" s="1490" t="str">
        <f t="shared" si="15"/>
        <v>建筑结构</v>
      </c>
      <c r="AA35" s="1487">
        <f t="shared" si="3"/>
        <v>1</v>
      </c>
      <c r="AB35" s="1487">
        <f t="shared" si="4"/>
        <v>1</v>
      </c>
      <c r="AC35" s="2098">
        <f t="shared" si="5"/>
        <v>1</v>
      </c>
    </row>
    <row r="36" spans="1:29" ht="15">
      <c r="A36" s="430"/>
      <c r="B36" s="380" t="s">
        <v>2241</v>
      </c>
      <c r="C36" s="418" t="s">
        <v>3261</v>
      </c>
      <c r="D36" s="393">
        <v>100</v>
      </c>
      <c r="E36" s="418" t="s">
        <v>3261</v>
      </c>
      <c r="F36" s="419">
        <f>SUMIF(108:108,E36,109:109)-SUMIF(108:108,C36,109:109)+100</f>
        <v>100</v>
      </c>
      <c r="G36" s="418" t="s">
        <v>3261</v>
      </c>
      <c r="H36" s="393">
        <f>SUMIF(108:108,G36,109:109)-SUMIF(108:108,C36,109:109)+100</f>
        <v>100</v>
      </c>
      <c r="I36" s="418" t="s">
        <v>3261</v>
      </c>
      <c r="J36" s="393">
        <f>SUMIF(108:108,I36,109:109)-SUMIF(108:108,C36,109:109)+100</f>
        <v>100</v>
      </c>
      <c r="K36" s="568">
        <v>1</v>
      </c>
      <c r="L36" s="2900"/>
      <c r="M36" s="2894"/>
      <c r="N36" s="2894"/>
      <c r="O36" s="2894"/>
      <c r="P36" s="3558"/>
      <c r="Q36" s="1486" t="str">
        <f t="shared" si="11"/>
        <v>公共部分装修</v>
      </c>
      <c r="R36" s="713" t="s">
        <v>17</v>
      </c>
      <c r="S36" s="714">
        <f t="shared" si="12"/>
        <v>100</v>
      </c>
      <c r="T36" s="713" t="s">
        <v>17</v>
      </c>
      <c r="U36" s="714">
        <f t="shared" si="13"/>
        <v>100</v>
      </c>
      <c r="V36" s="713" t="s">
        <v>17</v>
      </c>
      <c r="W36" s="714">
        <f t="shared" si="14"/>
        <v>100</v>
      </c>
      <c r="X36" s="1489"/>
      <c r="Y36" s="3560"/>
      <c r="Z36" s="1490" t="str">
        <f t="shared" si="15"/>
        <v>公共部分装修</v>
      </c>
      <c r="AA36" s="1487">
        <f t="shared" si="3"/>
        <v>1</v>
      </c>
      <c r="AB36" s="1487">
        <f t="shared" si="4"/>
        <v>1</v>
      </c>
      <c r="AC36" s="2098">
        <f t="shared" si="5"/>
        <v>1</v>
      </c>
    </row>
    <row r="37" spans="1:29" ht="15">
      <c r="A37" s="430"/>
      <c r="B37" s="380" t="s">
        <v>2242</v>
      </c>
      <c r="C37" s="432">
        <f>'数据-取费表'!Y6</f>
        <v>0.72500000000000009</v>
      </c>
      <c r="D37" s="393">
        <v>100</v>
      </c>
      <c r="E37" s="432">
        <f>C37</f>
        <v>0.72500000000000009</v>
      </c>
      <c r="F37" s="419">
        <f>LOOKUP(E37,111:111,112:112)-LOOKUP(C37,111:111,112:112)+100</f>
        <v>100</v>
      </c>
      <c r="G37" s="432">
        <f>C37</f>
        <v>0.72500000000000009</v>
      </c>
      <c r="H37" s="419">
        <f>LOOKUP(G37,111:111,112:112)-LOOKUP(C37,111:111,112:112)+100</f>
        <v>100</v>
      </c>
      <c r="I37" s="432">
        <f>C37</f>
        <v>0.72500000000000009</v>
      </c>
      <c r="J37" s="393">
        <f>LOOKUP(I37,111:111,112:112)-LOOKUP(C37,111:111,112:112)+100</f>
        <v>100</v>
      </c>
      <c r="K37" s="568">
        <v>1</v>
      </c>
      <c r="L37" s="2900"/>
      <c r="M37" s="2894"/>
      <c r="N37" s="2894"/>
      <c r="O37" s="2894"/>
      <c r="P37" s="3558"/>
      <c r="Q37" s="1486" t="str">
        <f t="shared" si="11"/>
        <v>成新度</v>
      </c>
      <c r="R37" s="713" t="s">
        <v>17</v>
      </c>
      <c r="S37" s="714">
        <f t="shared" si="12"/>
        <v>100</v>
      </c>
      <c r="T37" s="713" t="s">
        <v>17</v>
      </c>
      <c r="U37" s="714">
        <f t="shared" si="13"/>
        <v>100</v>
      </c>
      <c r="V37" s="713" t="s">
        <v>17</v>
      </c>
      <c r="W37" s="714">
        <f t="shared" si="14"/>
        <v>100</v>
      </c>
      <c r="X37" s="1489"/>
      <c r="Y37" s="3560"/>
      <c r="Z37" s="1490" t="str">
        <f t="shared" si="15"/>
        <v>成新度</v>
      </c>
      <c r="AA37" s="1487">
        <f t="shared" si="3"/>
        <v>1</v>
      </c>
      <c r="AB37" s="1487">
        <f t="shared" si="4"/>
        <v>1</v>
      </c>
      <c r="AC37" s="2098">
        <f t="shared" si="5"/>
        <v>1</v>
      </c>
    </row>
    <row r="38" spans="1:29" s="113"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558"/>
      <c r="Q38" s="1477" t="str">
        <f t="shared" si="11"/>
        <v>写字楼等级</v>
      </c>
      <c r="R38" s="709" t="s">
        <v>17</v>
      </c>
      <c r="S38" s="710">
        <f t="shared" si="12"/>
        <v>100</v>
      </c>
      <c r="T38" s="709" t="s">
        <v>17</v>
      </c>
      <c r="U38" s="710">
        <f t="shared" si="13"/>
        <v>100</v>
      </c>
      <c r="V38" s="709" t="s">
        <v>17</v>
      </c>
      <c r="W38" s="710">
        <f t="shared" si="14"/>
        <v>100</v>
      </c>
      <c r="X38" s="711"/>
      <c r="Y38" s="3560"/>
      <c r="Z38" s="55" t="str">
        <f t="shared" si="15"/>
        <v>写字楼等级</v>
      </c>
      <c r="AA38" s="712">
        <f t="shared" si="3"/>
        <v>1</v>
      </c>
      <c r="AB38" s="712">
        <f t="shared" si="4"/>
        <v>1</v>
      </c>
      <c r="AC38" s="2095">
        <f t="shared" si="5"/>
        <v>1</v>
      </c>
    </row>
    <row r="39" spans="1:29" ht="15">
      <c r="A39" s="430"/>
      <c r="B39" s="380" t="s">
        <v>2275</v>
      </c>
      <c r="C39" s="418" t="s">
        <v>3265</v>
      </c>
      <c r="D39" s="393">
        <v>100</v>
      </c>
      <c r="E39" s="418" t="s">
        <v>3263</v>
      </c>
      <c r="F39" s="419">
        <f>SUMIF(115:115,E39,116:116)-SUMIF(115:115,C39,116:116)+100</f>
        <v>102</v>
      </c>
      <c r="G39" s="418" t="s">
        <v>3263</v>
      </c>
      <c r="H39" s="393">
        <f>SUMIF(115:115,G39,116:116)-SUMIF(115:115,C39,116:116)+100</f>
        <v>102</v>
      </c>
      <c r="I39" s="418" t="s">
        <v>3263</v>
      </c>
      <c r="J39" s="393">
        <f>SUMIF(115:115,I39,116:116)-SUMIF(115:115,C39,116:116)+100</f>
        <v>102</v>
      </c>
      <c r="K39" s="568">
        <v>2</v>
      </c>
      <c r="L39" s="2900"/>
      <c r="M39" s="2894"/>
      <c r="N39" s="2894"/>
      <c r="O39" s="2894"/>
      <c r="P39" s="3558" t="s">
        <v>2145</v>
      </c>
      <c r="Q39" s="1486" t="str">
        <f t="shared" si="11"/>
        <v>物业管理</v>
      </c>
      <c r="R39" s="713" t="s">
        <v>17</v>
      </c>
      <c r="S39" s="714">
        <f t="shared" si="12"/>
        <v>102</v>
      </c>
      <c r="T39" s="713" t="s">
        <v>17</v>
      </c>
      <c r="U39" s="714">
        <f t="shared" si="13"/>
        <v>102</v>
      </c>
      <c r="V39" s="713" t="s">
        <v>17</v>
      </c>
      <c r="W39" s="714">
        <f t="shared" si="14"/>
        <v>102</v>
      </c>
      <c r="X39" s="1489"/>
      <c r="Y39" s="3560" t="s">
        <v>2145</v>
      </c>
      <c r="Z39" s="1490" t="str">
        <f t="shared" si="15"/>
        <v>物业管理</v>
      </c>
      <c r="AA39" s="1487">
        <f t="shared" si="3"/>
        <v>0.98039215686274506</v>
      </c>
      <c r="AB39" s="1487">
        <f t="shared" si="4"/>
        <v>0.98039215686274506</v>
      </c>
      <c r="AC39" s="2098">
        <f t="shared" si="5"/>
        <v>0.98039215686274506</v>
      </c>
    </row>
    <row r="40" spans="1:29" ht="15">
      <c r="A40" s="430"/>
      <c r="B40" s="380" t="s">
        <v>2243</v>
      </c>
      <c r="C40" s="418" t="s">
        <v>3269</v>
      </c>
      <c r="D40" s="393">
        <v>100</v>
      </c>
      <c r="E40" s="418" t="s">
        <v>3269</v>
      </c>
      <c r="F40" s="419">
        <f>SUMIF(117:117,E40,118:118)-SUMIF(117:117,C40,118:118)+100</f>
        <v>100</v>
      </c>
      <c r="G40" s="418" t="s">
        <v>3269</v>
      </c>
      <c r="H40" s="393">
        <f>SUMIF(117:117,G40,118:118)-SUMIF(117:117,C40,118:118)+100</f>
        <v>100</v>
      </c>
      <c r="I40" s="418" t="s">
        <v>3269</v>
      </c>
      <c r="J40" s="393">
        <f>SUMIF(117:117,I40,118:118)-SUMIF(117:117,C40,118:118)+100</f>
        <v>100</v>
      </c>
      <c r="K40" s="568">
        <v>2</v>
      </c>
      <c r="L40" s="2900"/>
      <c r="M40" s="2894"/>
      <c r="N40" s="2894"/>
      <c r="O40" s="2894"/>
      <c r="P40" s="3558"/>
      <c r="Q40" s="1486" t="str">
        <f t="shared" si="11"/>
        <v>市政基础设施</v>
      </c>
      <c r="R40" s="713" t="s">
        <v>17</v>
      </c>
      <c r="S40" s="714">
        <f t="shared" si="12"/>
        <v>100</v>
      </c>
      <c r="T40" s="713" t="s">
        <v>17</v>
      </c>
      <c r="U40" s="714">
        <f t="shared" si="13"/>
        <v>100</v>
      </c>
      <c r="V40" s="713" t="s">
        <v>17</v>
      </c>
      <c r="W40" s="714">
        <f t="shared" si="14"/>
        <v>100</v>
      </c>
      <c r="X40" s="1489"/>
      <c r="Y40" s="3560"/>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558"/>
      <c r="Q41" s="1486" t="str">
        <f t="shared" si="11"/>
        <v>层高</v>
      </c>
      <c r="R41" s="713" t="s">
        <v>17</v>
      </c>
      <c r="S41" s="714">
        <f t="shared" si="12"/>
        <v>100</v>
      </c>
      <c r="T41" s="713" t="s">
        <v>17</v>
      </c>
      <c r="U41" s="714">
        <f t="shared" si="13"/>
        <v>100</v>
      </c>
      <c r="V41" s="713" t="s">
        <v>17</v>
      </c>
      <c r="W41" s="714">
        <f t="shared" si="14"/>
        <v>100</v>
      </c>
      <c r="X41" s="1489"/>
      <c r="Y41" s="3560"/>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558"/>
      <c r="Q42" s="715" t="str">
        <f t="shared" si="11"/>
        <v>单套建筑面积</v>
      </c>
      <c r="R42" s="716" t="s">
        <v>17</v>
      </c>
      <c r="S42" s="717">
        <f t="shared" si="12"/>
        <v>100</v>
      </c>
      <c r="T42" s="716" t="s">
        <v>17</v>
      </c>
      <c r="U42" s="717">
        <f t="shared" si="13"/>
        <v>100</v>
      </c>
      <c r="V42" s="716" t="s">
        <v>17</v>
      </c>
      <c r="W42" s="717">
        <f t="shared" si="14"/>
        <v>100</v>
      </c>
      <c r="X42" s="718"/>
      <c r="Y42" s="3560"/>
      <c r="Z42" s="719" t="str">
        <f t="shared" si="15"/>
        <v>单套建筑面积</v>
      </c>
      <c r="AA42" s="1487">
        <f t="shared" si="3"/>
        <v>1</v>
      </c>
      <c r="AB42" s="1487">
        <f t="shared" si="4"/>
        <v>1</v>
      </c>
      <c r="AC42" s="2098">
        <f t="shared" si="5"/>
        <v>1</v>
      </c>
    </row>
    <row r="43" spans="1:29" ht="15">
      <c r="A43" s="430"/>
      <c r="B43" s="380" t="s">
        <v>2248</v>
      </c>
      <c r="C43" s="418" t="s">
        <v>3280</v>
      </c>
      <c r="D43" s="393">
        <v>100</v>
      </c>
      <c r="E43" s="418" t="s">
        <v>3255</v>
      </c>
      <c r="F43" s="419">
        <f>SUMIF(123:123,E43,124:124)-SUMIF(123:123,C43,124:124)+100</f>
        <v>103</v>
      </c>
      <c r="G43" s="418" t="s">
        <v>3255</v>
      </c>
      <c r="H43" s="393">
        <f>SUMIF(123:123,G43,124:124)-SUMIF(123:123,C43,124:124)+100</f>
        <v>103</v>
      </c>
      <c r="I43" s="418" t="s">
        <v>3255</v>
      </c>
      <c r="J43" s="393">
        <f>SUMIF(123:123,I43,124:124)-SUMIF(123:123,C43,124:124)+100</f>
        <v>103</v>
      </c>
      <c r="K43" s="568">
        <v>3</v>
      </c>
      <c r="L43" s="2900"/>
      <c r="M43" s="2894"/>
      <c r="N43" s="2894"/>
      <c r="O43" s="2894"/>
      <c r="P43" s="3558"/>
      <c r="Q43" s="1486" t="str">
        <f t="shared" si="11"/>
        <v>内部装修</v>
      </c>
      <c r="R43" s="713" t="s">
        <v>17</v>
      </c>
      <c r="S43" s="714">
        <f t="shared" si="12"/>
        <v>103</v>
      </c>
      <c r="T43" s="713" t="s">
        <v>17</v>
      </c>
      <c r="U43" s="714">
        <f t="shared" si="13"/>
        <v>103</v>
      </c>
      <c r="V43" s="713" t="s">
        <v>17</v>
      </c>
      <c r="W43" s="714">
        <f t="shared" si="14"/>
        <v>103</v>
      </c>
      <c r="X43" s="1489"/>
      <c r="Y43" s="3560"/>
      <c r="Z43" s="1490" t="str">
        <f t="shared" si="15"/>
        <v>内部装修</v>
      </c>
      <c r="AA43" s="1487">
        <f t="shared" si="3"/>
        <v>0.970873786407767</v>
      </c>
      <c r="AB43" s="1487">
        <f t="shared" si="4"/>
        <v>0.970873786407767</v>
      </c>
      <c r="AC43" s="2098">
        <f t="shared" si="5"/>
        <v>0.970873786407767</v>
      </c>
    </row>
    <row r="44" spans="1:29" ht="15">
      <c r="A44" s="430"/>
      <c r="B44" s="380" t="s">
        <v>2156</v>
      </c>
      <c r="C44" s="418" t="s">
        <v>3249</v>
      </c>
      <c r="D44" s="393">
        <v>100</v>
      </c>
      <c r="E44" s="2042" t="s">
        <v>3249</v>
      </c>
      <c r="F44" s="419">
        <f>SUMIF(125:125,E44,126:126)-SUMIF(125:125,C44,126:126)+100</f>
        <v>100</v>
      </c>
      <c r="G44" s="2042" t="s">
        <v>3249</v>
      </c>
      <c r="H44" s="393">
        <f>SUMIF(125:125,G44,126:126)-SUMIF(125:125,C44,126:126)+100</f>
        <v>100</v>
      </c>
      <c r="I44" s="2042" t="s">
        <v>3249</v>
      </c>
      <c r="J44" s="393">
        <f>SUMIF(125:125,I44,126:126)-SUMIF(125:125,C44,126:126)+100</f>
        <v>100</v>
      </c>
      <c r="K44" s="568">
        <v>1</v>
      </c>
      <c r="L44" s="2900"/>
      <c r="M44" s="2894"/>
      <c r="N44" s="2894"/>
      <c r="O44" s="2894"/>
      <c r="P44" s="3558"/>
      <c r="Q44" s="1486" t="str">
        <f t="shared" si="11"/>
        <v>内部装修维护情况</v>
      </c>
      <c r="R44" s="713" t="s">
        <v>17</v>
      </c>
      <c r="S44" s="714">
        <f t="shared" si="12"/>
        <v>100</v>
      </c>
      <c r="T44" s="713" t="s">
        <v>17</v>
      </c>
      <c r="U44" s="714">
        <f t="shared" si="13"/>
        <v>100</v>
      </c>
      <c r="V44" s="713" t="s">
        <v>17</v>
      </c>
      <c r="W44" s="714">
        <f t="shared" si="14"/>
        <v>100</v>
      </c>
      <c r="X44" s="1489"/>
      <c r="Y44" s="3560"/>
      <c r="Z44" s="1490" t="str">
        <f t="shared" si="15"/>
        <v>内部装修维护情况</v>
      </c>
      <c r="AA44" s="1487">
        <f t="shared" si="3"/>
        <v>1</v>
      </c>
      <c r="AB44" s="1487">
        <f t="shared" si="4"/>
        <v>1</v>
      </c>
      <c r="AC44" s="2098">
        <f t="shared" si="5"/>
        <v>1</v>
      </c>
    </row>
    <row r="45" spans="1:29" s="113" customFormat="1" ht="15">
      <c r="A45" s="431"/>
      <c r="B45" s="3264" t="s">
        <v>3253</v>
      </c>
      <c r="C45" s="3266" t="s">
        <v>3257</v>
      </c>
      <c r="D45" s="131">
        <v>100</v>
      </c>
      <c r="E45" s="3265" t="s">
        <v>3254</v>
      </c>
      <c r="F45" s="383">
        <f>SUMIF(127:127,E45,128:128)-SUMIF(127:127,C45,128:128)+100</f>
        <v>102</v>
      </c>
      <c r="G45" s="3265" t="s">
        <v>3254</v>
      </c>
      <c r="H45" s="131">
        <f>SUMIF(127:127,G45,128:128)-SUMIF(127:127,C45,128:128)+100</f>
        <v>102</v>
      </c>
      <c r="I45" s="3265" t="s">
        <v>3254</v>
      </c>
      <c r="J45" s="131">
        <f>SUMIF(127:127,I45,128:128)-SUMIF(127:127,C45,128:128)+100</f>
        <v>102</v>
      </c>
      <c r="K45" s="569"/>
      <c r="L45" s="2895"/>
      <c r="M45" s="2896"/>
      <c r="N45" s="2896"/>
      <c r="O45" s="2896"/>
      <c r="P45" s="3558"/>
      <c r="Q45" s="1477" t="str">
        <f t="shared" si="11"/>
        <v>设施设备</v>
      </c>
      <c r="R45" s="709" t="s">
        <v>17</v>
      </c>
      <c r="S45" s="710">
        <f t="shared" si="12"/>
        <v>102</v>
      </c>
      <c r="T45" s="709" t="s">
        <v>17</v>
      </c>
      <c r="U45" s="710">
        <f t="shared" si="13"/>
        <v>102</v>
      </c>
      <c r="V45" s="709" t="s">
        <v>17</v>
      </c>
      <c r="W45" s="710">
        <f t="shared" si="14"/>
        <v>102</v>
      </c>
      <c r="X45" s="711"/>
      <c r="Y45" s="3560"/>
      <c r="Z45" s="55" t="str">
        <f t="shared" si="15"/>
        <v>设施设备</v>
      </c>
      <c r="AA45" s="712">
        <f t="shared" si="3"/>
        <v>0.98039215686274506</v>
      </c>
      <c r="AB45" s="712">
        <f t="shared" si="4"/>
        <v>0.98039215686274506</v>
      </c>
      <c r="AC45" s="2095">
        <f t="shared" si="5"/>
        <v>0.98039215686274506</v>
      </c>
    </row>
    <row r="46" spans="1:29" ht="15">
      <c r="A46" s="430"/>
      <c r="B46" s="1247">
        <v>111</v>
      </c>
      <c r="C46" s="3266"/>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558"/>
      <c r="Q46" s="1486">
        <f t="shared" si="11"/>
        <v>111</v>
      </c>
      <c r="R46" s="713" t="s">
        <v>17</v>
      </c>
      <c r="S46" s="714">
        <f t="shared" si="12"/>
        <v>100</v>
      </c>
      <c r="T46" s="713" t="s">
        <v>17</v>
      </c>
      <c r="U46" s="714">
        <f t="shared" si="13"/>
        <v>100</v>
      </c>
      <c r="V46" s="713" t="s">
        <v>17</v>
      </c>
      <c r="W46" s="714">
        <f t="shared" si="14"/>
        <v>100</v>
      </c>
      <c r="X46" s="1489"/>
      <c r="Y46" s="3560"/>
      <c r="Z46" s="1490">
        <f t="shared" si="15"/>
        <v>111</v>
      </c>
      <c r="AA46" s="1487">
        <f t="shared" si="3"/>
        <v>1</v>
      </c>
      <c r="AB46" s="1487">
        <f t="shared" si="4"/>
        <v>1</v>
      </c>
      <c r="AC46" s="2098">
        <f t="shared" si="5"/>
        <v>1</v>
      </c>
    </row>
    <row r="47" spans="1:29" ht="15.75" thickBot="1">
      <c r="A47" s="436"/>
      <c r="B47" s="2031">
        <v>111</v>
      </c>
      <c r="C47" s="395">
        <v>2001</v>
      </c>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559"/>
      <c r="Q47" s="1486">
        <f t="shared" si="11"/>
        <v>111</v>
      </c>
      <c r="R47" s="713" t="s">
        <v>17</v>
      </c>
      <c r="S47" s="714">
        <f t="shared" si="12"/>
        <v>100</v>
      </c>
      <c r="T47" s="713" t="s">
        <v>17</v>
      </c>
      <c r="U47" s="714">
        <f t="shared" si="13"/>
        <v>100</v>
      </c>
      <c r="V47" s="713" t="s">
        <v>17</v>
      </c>
      <c r="W47" s="714">
        <f t="shared" si="14"/>
        <v>100</v>
      </c>
      <c r="X47" s="1489"/>
      <c r="Y47" s="3561"/>
      <c r="Z47" s="1490">
        <f t="shared" si="15"/>
        <v>111</v>
      </c>
      <c r="AA47" s="1487">
        <f t="shared" si="3"/>
        <v>1</v>
      </c>
      <c r="AB47" s="1487">
        <f t="shared" si="4"/>
        <v>1</v>
      </c>
      <c r="AC47" s="2098">
        <f t="shared" si="5"/>
        <v>1</v>
      </c>
    </row>
    <row r="48" spans="1:29" ht="15">
      <c r="A48" s="437" t="s">
        <v>2157</v>
      </c>
      <c r="B48" s="438"/>
      <c r="C48" s="1268" t="s">
        <v>1</v>
      </c>
      <c r="D48" s="1269"/>
      <c r="E48" s="1270">
        <v>6.5</v>
      </c>
      <c r="F48" s="1271"/>
      <c r="G48" s="1272">
        <v>7</v>
      </c>
      <c r="H48" s="1273"/>
      <c r="I48" s="1270">
        <v>6</v>
      </c>
      <c r="J48" s="443"/>
      <c r="K48" s="722"/>
      <c r="L48" s="2902"/>
      <c r="M48" s="2894"/>
      <c r="N48" s="2894"/>
      <c r="O48" s="2894"/>
      <c r="P48" s="3564" t="str">
        <f>A48</f>
        <v>成交单价（元/平方米）</v>
      </c>
      <c r="Q48" s="3553"/>
      <c r="R48" s="3554">
        <f>E48</f>
        <v>6.5</v>
      </c>
      <c r="S48" s="3554"/>
      <c r="T48" s="3554">
        <f>G48</f>
        <v>7</v>
      </c>
      <c r="U48" s="3554"/>
      <c r="V48" s="3554">
        <f>I48</f>
        <v>6</v>
      </c>
      <c r="W48" s="3554"/>
      <c r="X48" s="404"/>
      <c r="Y48" s="720"/>
      <c r="Z48" s="404"/>
      <c r="AA48" s="404"/>
      <c r="AB48" s="404"/>
      <c r="AC48" s="585"/>
    </row>
    <row r="49" spans="1:29" ht="15.75" thickBot="1">
      <c r="A49" s="444" t="s">
        <v>2249</v>
      </c>
      <c r="B49" s="445"/>
      <c r="C49" s="1274">
        <f>R50</f>
        <v>5.8</v>
      </c>
      <c r="D49" s="2488" t="s">
        <v>2639</v>
      </c>
      <c r="E49" s="1275">
        <f>R49</f>
        <v>5.9</v>
      </c>
      <c r="F49" s="2489"/>
      <c r="G49" s="1274">
        <f>T49</f>
        <v>6</v>
      </c>
      <c r="H49" s="2489"/>
      <c r="I49" s="1275">
        <f>V49</f>
        <v>5.4</v>
      </c>
      <c r="J49" s="2489"/>
      <c r="K49" s="2491">
        <f>F49+H49+J49</f>
        <v>0</v>
      </c>
      <c r="L49" s="2902"/>
      <c r="M49" s="2894"/>
      <c r="N49" s="2894"/>
      <c r="O49" s="2894"/>
      <c r="P49" s="3564" t="str">
        <f>A49</f>
        <v>比较价值（元/平方米）</v>
      </c>
      <c r="Q49" s="3553"/>
      <c r="R49" s="3554">
        <f>IF(F1="售价",ROUND(PRODUCT(R48,AA7:AA47),0),ROUND(PRODUCT(R48,AA7:AA47),1))</f>
        <v>5.9</v>
      </c>
      <c r="S49" s="3554"/>
      <c r="T49" s="3554">
        <f>IF(F1="售价",ROUND(PRODUCT(T48,AB7:AB47),0),ROUND(PRODUCT(T48,AB7:AB47),1))</f>
        <v>6</v>
      </c>
      <c r="U49" s="3554"/>
      <c r="V49" s="3554">
        <f>IF(F1="售价",ROUND(PRODUCT(V48,AC7:AC47),0),ROUND(PRODUCT(V48,AC7:AC47),1))</f>
        <v>5.4</v>
      </c>
      <c r="W49" s="3554"/>
      <c r="X49" s="404"/>
      <c r="Y49" s="404"/>
      <c r="Z49" s="404"/>
      <c r="AA49" s="404"/>
      <c r="AB49" s="404"/>
      <c r="AC49" s="585"/>
    </row>
    <row r="50" spans="1:29" ht="15.75" thickBot="1">
      <c r="A50" s="448" t="s">
        <v>2250</v>
      </c>
      <c r="B50" s="449"/>
      <c r="C50" s="1277">
        <f>R50</f>
        <v>5.8</v>
      </c>
      <c r="D50" s="1277"/>
      <c r="E50" s="1277"/>
      <c r="F50" s="1277"/>
      <c r="G50" s="1277"/>
      <c r="H50" s="1277"/>
      <c r="I50" s="1277"/>
      <c r="J50" s="450"/>
      <c r="K50" s="723"/>
      <c r="L50" s="2902"/>
      <c r="M50" s="2894"/>
      <c r="N50" s="2894"/>
      <c r="O50" s="2894"/>
      <c r="P50" s="3596" t="str">
        <f>A50</f>
        <v>估价对象XX用房的比较价值（楼面单价，元/平方米）</v>
      </c>
      <c r="Q50" s="3597"/>
      <c r="R50" s="3598">
        <f>IF(F1="售价",ROUND(IF(D49="简单平均",AVERAGE(R49:V49),R49*F49+T49*H49+V49*J49),0),ROUND(IF(D49="简单平均",AVERAGE(R49:V49),R49*F49+T49*H49+V49*J49),1))</f>
        <v>5.8</v>
      </c>
      <c r="S50" s="3598"/>
      <c r="T50" s="3598"/>
      <c r="U50" s="3598"/>
      <c r="V50" s="3598"/>
      <c r="W50" s="3598"/>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f>IF(E48&lt;E49,E49/E48-1,E48/E49-1)</f>
        <v>0.10169491525423724</v>
      </c>
      <c r="F53" s="456" t="str">
        <f>IF(OR(E53&gt;=0.3,E53&lt;=-0.3),"超过30%","")</f>
        <v/>
      </c>
      <c r="G53" s="455">
        <f>IF(G48&lt;G49,G49/G48-1,G48/G49-1)</f>
        <v>0.16666666666666674</v>
      </c>
      <c r="H53" s="456" t="str">
        <f>IF(OR(G53&gt;=0.3,G53&lt;=-0.3),"超过30%","")</f>
        <v/>
      </c>
      <c r="I53" s="455">
        <f>IF(I48&lt;I49,I49/I48-1,I48/I49-1)</f>
        <v>0.11111111111111094</v>
      </c>
      <c r="J53" s="456"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f>IF(E49&lt;G49,G49/E49-1,E49/G49-1)</f>
        <v>1.6949152542372836E-2</v>
      </c>
      <c r="F54" s="456" t="str">
        <f>IF(OR(E54&gt;=0.2,E54&lt;=-0.2),"超过20%","")</f>
        <v/>
      </c>
      <c r="G54" s="455">
        <f>IF(G49&lt;I49,I49/G49-1,G49/I49-1)</f>
        <v>0.11111111111111094</v>
      </c>
      <c r="H54" s="456" t="str">
        <f>IF(OR(G54&gt;=0.2,G54&lt;=-0.2),"超过20%","")</f>
        <v/>
      </c>
      <c r="I54" s="455">
        <f>IF(I49&lt;E49,E49/I49-1,I49/E49-1)</f>
        <v>9.259259259259256E-2</v>
      </c>
      <c r="J54" s="456"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f>IF(E48&lt;G48,G48/E48-1,E48/G48-1)</f>
        <v>7.6923076923076872E-2</v>
      </c>
      <c r="F55" s="456" t="str">
        <f>IF(OR(E55&gt;=0.3,E55&lt;=-0.3),"超过30%","")</f>
        <v/>
      </c>
      <c r="G55" s="455">
        <f>IF(G48&lt;I48,I48/G48-1,G48/I48-1)</f>
        <v>0.16666666666666674</v>
      </c>
      <c r="H55" s="456" t="str">
        <f>IF(OR(G55&gt;=0.3,G55&lt;=-0.3),"超过30%","")</f>
        <v/>
      </c>
      <c r="I55" s="455">
        <f>IF(I48&lt;E48,E48/I48-1,I48/E48-1)</f>
        <v>8.3333333333333259E-2</v>
      </c>
      <c r="J55" s="456"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3"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3"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3"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v>0</v>
      </c>
      <c r="D69" s="505">
        <v>1</v>
      </c>
      <c r="E69" s="505">
        <v>2</v>
      </c>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95</v>
      </c>
      <c r="E78" s="500">
        <f>D78-$K15</f>
        <v>90</v>
      </c>
      <c r="F78" s="500">
        <f>E78-$K15</f>
        <v>85</v>
      </c>
      <c r="G78" s="500">
        <f>F78-$K15</f>
        <v>80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98</v>
      </c>
      <c r="E80" s="500">
        <f>D80-$K17</f>
        <v>96</v>
      </c>
      <c r="F80" s="500">
        <f>E80-$K17</f>
        <v>94</v>
      </c>
      <c r="G80" s="500">
        <f>F80-$K17</f>
        <v>92</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98</v>
      </c>
      <c r="E82" s="500">
        <f>D82-$K19</f>
        <v>96</v>
      </c>
      <c r="F82" s="500">
        <f>E82-$K19</f>
        <v>94</v>
      </c>
      <c r="G82" s="500">
        <f>F82-$K19</f>
        <v>92</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98</v>
      </c>
      <c r="E84" s="500">
        <f>D84-$K21</f>
        <v>96</v>
      </c>
      <c r="F84" s="500">
        <f>E84-$K21</f>
        <v>94</v>
      </c>
      <c r="G84" s="500">
        <f>F84-$K21</f>
        <v>92</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98</v>
      </c>
      <c r="E86" s="500">
        <f>D86-$K23</f>
        <v>96</v>
      </c>
      <c r="F86" s="500">
        <f>E86-$K23</f>
        <v>94</v>
      </c>
      <c r="G86" s="500">
        <f>F86-$K23</f>
        <v>92</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3"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3267" t="s">
        <v>3259</v>
      </c>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0"/>
      <c r="B103" s="494" t="s">
        <v>2193</v>
      </c>
      <c r="C103" s="534" t="str">
        <f>C104&amp;"(含)"&amp;"-"&amp;D104</f>
        <v>0(含)-1000</v>
      </c>
      <c r="D103" s="534" t="str">
        <f t="shared" ref="D103:L103" si="23">D104&amp;"(含)"&amp;"-"&amp;E104</f>
        <v>1000(含)-2000</v>
      </c>
      <c r="E103" s="534" t="str">
        <f t="shared" si="23"/>
        <v>2000(含)-5000</v>
      </c>
      <c r="F103" s="534" t="str">
        <f t="shared" si="23"/>
        <v>5000(含)-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v>0</v>
      </c>
      <c r="D104" s="551">
        <v>1000</v>
      </c>
      <c r="E104" s="551">
        <v>2000</v>
      </c>
      <c r="F104" s="551">
        <v>5000</v>
      </c>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v>100</v>
      </c>
      <c r="D105" s="492">
        <v>99</v>
      </c>
      <c r="E105" s="492">
        <v>98</v>
      </c>
      <c r="F105" s="492">
        <v>97</v>
      </c>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3263" t="s">
        <v>3260</v>
      </c>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99</v>
      </c>
      <c r="E107" s="500">
        <f t="shared" si="24"/>
        <v>98</v>
      </c>
      <c r="F107" s="500">
        <f t="shared" si="24"/>
        <v>97</v>
      </c>
      <c r="G107" s="500">
        <f t="shared" si="24"/>
        <v>96</v>
      </c>
      <c r="H107" s="500">
        <f t="shared" si="24"/>
        <v>95</v>
      </c>
      <c r="I107" s="500">
        <f t="shared" si="24"/>
        <v>94</v>
      </c>
      <c r="J107" s="500">
        <f t="shared" si="24"/>
        <v>93</v>
      </c>
      <c r="K107" s="500">
        <f t="shared" si="24"/>
        <v>92</v>
      </c>
      <c r="L107" s="500">
        <f t="shared" si="24"/>
        <v>91</v>
      </c>
      <c r="M107" s="501">
        <f t="shared" si="24"/>
        <v>90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3263" t="s">
        <v>3262</v>
      </c>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99</v>
      </c>
      <c r="E109" s="500">
        <f t="shared" si="25"/>
        <v>98</v>
      </c>
      <c r="F109" s="500">
        <f t="shared" si="25"/>
        <v>97</v>
      </c>
      <c r="G109" s="500">
        <f t="shared" si="25"/>
        <v>96</v>
      </c>
      <c r="H109" s="500">
        <f t="shared" si="25"/>
        <v>95</v>
      </c>
      <c r="I109" s="500">
        <f t="shared" si="25"/>
        <v>94</v>
      </c>
      <c r="J109" s="500">
        <f t="shared" si="25"/>
        <v>93</v>
      </c>
      <c r="K109" s="500">
        <f t="shared" si="25"/>
        <v>92</v>
      </c>
      <c r="L109" s="500">
        <f t="shared" si="25"/>
        <v>91</v>
      </c>
      <c r="M109" s="501">
        <f t="shared" si="25"/>
        <v>90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3263" t="s">
        <v>3264</v>
      </c>
      <c r="D115" s="3263" t="s">
        <v>3266</v>
      </c>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3263" t="s">
        <v>3267</v>
      </c>
      <c r="D117" s="3263" t="s">
        <v>3268</v>
      </c>
      <c r="E117" s="3263" t="s">
        <v>3270</v>
      </c>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3263" t="s">
        <v>3252</v>
      </c>
      <c r="D123" s="3263" t="s">
        <v>3256</v>
      </c>
      <c r="E123" s="3263" t="s">
        <v>3281</v>
      </c>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97</v>
      </c>
      <c r="E124" s="500">
        <f t="shared" si="30"/>
        <v>94</v>
      </c>
      <c r="F124" s="500">
        <f t="shared" si="30"/>
        <v>91</v>
      </c>
      <c r="G124" s="500">
        <f t="shared" si="30"/>
        <v>88</v>
      </c>
      <c r="H124" s="500">
        <f t="shared" si="30"/>
        <v>85</v>
      </c>
      <c r="I124" s="500">
        <f t="shared" si="30"/>
        <v>82</v>
      </c>
      <c r="J124" s="500">
        <f t="shared" si="30"/>
        <v>79</v>
      </c>
      <c r="K124" s="500">
        <f t="shared" si="30"/>
        <v>76</v>
      </c>
      <c r="L124" s="500">
        <f t="shared" si="30"/>
        <v>73</v>
      </c>
      <c r="M124" s="501">
        <f t="shared" si="30"/>
        <v>70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99</v>
      </c>
      <c r="E126" s="500">
        <f>D126-$K44</f>
        <v>98</v>
      </c>
      <c r="F126" s="500">
        <f>E126-$K44</f>
        <v>97</v>
      </c>
      <c r="G126" s="500">
        <f>F126-$K44</f>
        <v>96</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t="str">
        <f>B45</f>
        <v>设施设备</v>
      </c>
      <c r="C127" s="3263" t="s">
        <v>3254</v>
      </c>
      <c r="D127" s="3263" t="s">
        <v>3257</v>
      </c>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v>100</v>
      </c>
      <c r="D128" s="492">
        <v>98</v>
      </c>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G35 E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G33 E33 I33" xr:uid="{00000000-0002-0000-1B00-00000C000000}">
      <formula1>办公建筑类型</formula1>
    </dataValidation>
    <dataValidation type="list" allowBlank="1" showInputMessage="1" showErrorMessage="1" sqref="C36 G36 E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G39 E39 I39" xr:uid="{00000000-0002-0000-1B00-00000F000000}">
      <formula1>办公物业管理</formula1>
    </dataValidation>
    <dataValidation type="list" allowBlank="1" showInputMessage="1" showErrorMessage="1" sqref="C40 G40 E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6192.7899999999991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568" t="s">
        <v>2226</v>
      </c>
      <c r="D4" s="3569"/>
      <c r="E4" s="3570" t="s">
        <v>2227</v>
      </c>
      <c r="F4" s="3571"/>
      <c r="G4" s="3568" t="s">
        <v>2228</v>
      </c>
      <c r="H4" s="3569"/>
      <c r="I4" s="3568" t="s">
        <v>2229</v>
      </c>
      <c r="J4" s="3569"/>
      <c r="K4" s="566" t="s">
        <v>2230</v>
      </c>
      <c r="L4" s="1024"/>
      <c r="M4" s="1025"/>
      <c r="N4" s="1025"/>
      <c r="O4" s="1025"/>
      <c r="P4" s="3572" t="s">
        <v>2231</v>
      </c>
      <c r="Q4" s="3573"/>
      <c r="R4" s="3578" t="s">
        <v>2227</v>
      </c>
      <c r="S4" s="3579"/>
      <c r="T4" s="3578" t="s">
        <v>2228</v>
      </c>
      <c r="U4" s="3579"/>
      <c r="V4" s="3584" t="s">
        <v>2229</v>
      </c>
      <c r="W4" s="3584"/>
      <c r="X4" s="1489"/>
      <c r="Y4" s="3578" t="s">
        <v>2231</v>
      </c>
      <c r="Z4" s="3579"/>
      <c r="AA4" s="3565" t="s">
        <v>2227</v>
      </c>
      <c r="AB4" s="3566" t="s">
        <v>2228</v>
      </c>
      <c r="AC4" s="3565" t="s">
        <v>2229</v>
      </c>
    </row>
    <row r="5" spans="1:29" ht="15">
      <c r="A5" s="363"/>
      <c r="B5" s="364"/>
      <c r="C5" s="3587" t="s">
        <v>2122</v>
      </c>
      <c r="D5" s="3588"/>
      <c r="E5" s="3594" t="s">
        <v>2123</v>
      </c>
      <c r="F5" s="3595"/>
      <c r="G5" s="3587" t="s">
        <v>2124</v>
      </c>
      <c r="H5" s="3588"/>
      <c r="I5" s="3587" t="s">
        <v>2125</v>
      </c>
      <c r="J5" s="3588"/>
      <c r="K5" s="566"/>
      <c r="L5" s="1024"/>
      <c r="M5" s="1025"/>
      <c r="N5" s="1025"/>
      <c r="O5" s="1025"/>
      <c r="P5" s="3574"/>
      <c r="Q5" s="3575"/>
      <c r="R5" s="3580"/>
      <c r="S5" s="3581"/>
      <c r="T5" s="3580"/>
      <c r="U5" s="3581"/>
      <c r="V5" s="3584"/>
      <c r="W5" s="3584"/>
      <c r="X5" s="1489"/>
      <c r="Y5" s="3580"/>
      <c r="Z5" s="3581"/>
      <c r="AA5" s="3566"/>
      <c r="AB5" s="3566"/>
      <c r="AC5" s="3566"/>
    </row>
    <row r="6" spans="1:29" ht="15.75" thickBot="1">
      <c r="A6" s="365"/>
      <c r="B6" s="366"/>
      <c r="C6" s="3585" t="s">
        <v>2126</v>
      </c>
      <c r="D6" s="3586"/>
      <c r="E6" s="3592" t="s">
        <v>2126</v>
      </c>
      <c r="F6" s="3593"/>
      <c r="G6" s="3585" t="s">
        <v>2126</v>
      </c>
      <c r="H6" s="3586"/>
      <c r="I6" s="3585" t="s">
        <v>2126</v>
      </c>
      <c r="J6" s="3586"/>
      <c r="K6" s="566" t="s">
        <v>2127</v>
      </c>
      <c r="L6" s="1024"/>
      <c r="M6" s="1025"/>
      <c r="N6" s="1025"/>
      <c r="O6" s="1025"/>
      <c r="P6" s="3576"/>
      <c r="Q6" s="3577"/>
      <c r="R6" s="3580"/>
      <c r="S6" s="3581"/>
      <c r="T6" s="3582"/>
      <c r="U6" s="3583"/>
      <c r="V6" s="3584"/>
      <c r="W6" s="3584"/>
      <c r="X6" s="1489"/>
      <c r="Y6" s="3582"/>
      <c r="Z6" s="3583"/>
      <c r="AA6" s="3567"/>
      <c r="AB6" s="3567"/>
      <c r="AC6" s="3567"/>
    </row>
    <row r="7" spans="1:29" s="113" customFormat="1" ht="15.75" thickBot="1">
      <c r="A7" s="367" t="s">
        <v>2128</v>
      </c>
      <c r="B7" s="368"/>
      <c r="C7" s="369">
        <f>'数据-取费表'!B2</f>
        <v>44820</v>
      </c>
      <c r="D7" s="370">
        <v>100</v>
      </c>
      <c r="E7" s="371"/>
      <c r="F7" s="372">
        <f>SUMIF(52:52,YEAR(E7)&amp;"-"&amp;MONTH(E7),53:53)</f>
        <v>0</v>
      </c>
      <c r="G7" s="371"/>
      <c r="H7" s="370">
        <f>SUMIF(52:52,YEAR(G7)&amp;"-"&amp;MONTH(G7),53:53)</f>
        <v>0</v>
      </c>
      <c r="I7" s="371"/>
      <c r="J7" s="370">
        <f>SUMIF(52:52,YEAR(I7)&amp;"-"&amp;MONTH(I7),53:53)</f>
        <v>0</v>
      </c>
      <c r="K7" s="567"/>
      <c r="L7" s="1026"/>
      <c r="M7" s="1027"/>
      <c r="N7" s="1027"/>
      <c r="O7" s="1027"/>
      <c r="P7" s="3589" t="s">
        <v>2129</v>
      </c>
      <c r="Q7" s="3591"/>
      <c r="R7" s="709" t="s">
        <v>17</v>
      </c>
      <c r="S7" s="710">
        <f t="shared" ref="S7:S15" si="0">F7</f>
        <v>0</v>
      </c>
      <c r="T7" s="709" t="s">
        <v>17</v>
      </c>
      <c r="U7" s="710">
        <f t="shared" ref="U7:U15" si="1">H7</f>
        <v>0</v>
      </c>
      <c r="V7" s="709" t="s">
        <v>17</v>
      </c>
      <c r="W7" s="710">
        <f t="shared" ref="W7:W15" si="2">J7</f>
        <v>0</v>
      </c>
      <c r="X7" s="711"/>
      <c r="Y7" s="3589" t="s">
        <v>2129</v>
      </c>
      <c r="Z7" s="3590"/>
      <c r="AA7" s="712" t="e">
        <f>D7/F7</f>
        <v>#DIV/0!</v>
      </c>
      <c r="AB7" s="712" t="e">
        <f>D7/H7</f>
        <v>#DIV/0!</v>
      </c>
      <c r="AC7" s="712" t="e">
        <f>D7/J7</f>
        <v>#DIV/0!</v>
      </c>
    </row>
    <row r="8" spans="1:29" s="113"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589" t="s">
        <v>2132</v>
      </c>
      <c r="Q8" s="3590"/>
      <c r="R8" s="709" t="s">
        <v>17</v>
      </c>
      <c r="S8" s="710">
        <f t="shared" si="0"/>
        <v>0</v>
      </c>
      <c r="T8" s="709" t="s">
        <v>17</v>
      </c>
      <c r="U8" s="710">
        <f t="shared" si="1"/>
        <v>0</v>
      </c>
      <c r="V8" s="709" t="s">
        <v>17</v>
      </c>
      <c r="W8" s="710">
        <f t="shared" si="2"/>
        <v>0</v>
      </c>
      <c r="X8" s="711"/>
      <c r="Y8" s="3589" t="s">
        <v>2132</v>
      </c>
      <c r="Z8" s="3590"/>
      <c r="AA8" s="712" t="e">
        <f t="shared" ref="AA8:AA40" si="3">D8/F8</f>
        <v>#DIV/0!</v>
      </c>
      <c r="AB8" s="712" t="e">
        <f t="shared" ref="AB8:AB40" si="4">D8/H8</f>
        <v>#DIV/0!</v>
      </c>
      <c r="AC8" s="712" t="e">
        <f t="shared" ref="AC8:AC40" si="5">D8/J8</f>
        <v>#DIV/0!</v>
      </c>
    </row>
    <row r="9" spans="1:29" s="113"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553" t="s">
        <v>2135</v>
      </c>
      <c r="Q9" s="1477" t="str">
        <f t="shared" ref="Q9:Q15" si="6">B9</f>
        <v>用途</v>
      </c>
      <c r="R9" s="709" t="s">
        <v>17</v>
      </c>
      <c r="S9" s="710">
        <f t="shared" si="0"/>
        <v>100</v>
      </c>
      <c r="T9" s="709" t="s">
        <v>17</v>
      </c>
      <c r="U9" s="710">
        <f t="shared" si="1"/>
        <v>100</v>
      </c>
      <c r="V9" s="709" t="s">
        <v>17</v>
      </c>
      <c r="W9" s="710">
        <f t="shared" si="2"/>
        <v>100</v>
      </c>
      <c r="X9" s="711"/>
      <c r="Y9" s="3425"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553"/>
      <c r="Q10" s="1477" t="str">
        <f t="shared" si="6"/>
        <v>土地使用年限（年）</v>
      </c>
      <c r="R10" s="709" t="s">
        <v>17</v>
      </c>
      <c r="S10" s="710">
        <f t="shared" si="0"/>
        <v>100</v>
      </c>
      <c r="T10" s="709" t="s">
        <v>17</v>
      </c>
      <c r="U10" s="710">
        <f t="shared" si="1"/>
        <v>100</v>
      </c>
      <c r="V10" s="709" t="s">
        <v>17</v>
      </c>
      <c r="W10" s="710">
        <f t="shared" si="2"/>
        <v>100</v>
      </c>
      <c r="X10" s="711"/>
      <c r="Y10" s="3425"/>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553"/>
      <c r="Q11" s="1477" t="str">
        <f t="shared" si="6"/>
        <v>容积率</v>
      </c>
      <c r="R11" s="709" t="s">
        <v>17</v>
      </c>
      <c r="S11" s="710" t="e">
        <f t="shared" si="0"/>
        <v>#N/A</v>
      </c>
      <c r="T11" s="709" t="s">
        <v>17</v>
      </c>
      <c r="U11" s="710" t="e">
        <f t="shared" si="1"/>
        <v>#N/A</v>
      </c>
      <c r="V11" s="709" t="s">
        <v>17</v>
      </c>
      <c r="W11" s="710" t="e">
        <f t="shared" si="2"/>
        <v>#N/A</v>
      </c>
      <c r="X11" s="711"/>
      <c r="Y11" s="3425"/>
      <c r="Z11" s="55" t="str">
        <f t="shared" si="7"/>
        <v>容积率</v>
      </c>
      <c r="AA11" s="712" t="e">
        <f t="shared" si="3"/>
        <v>#N/A</v>
      </c>
      <c r="AB11" s="712" t="e">
        <f t="shared" si="4"/>
        <v>#N/A</v>
      </c>
      <c r="AC11" s="712" t="e">
        <f t="shared" si="5"/>
        <v>#N/A</v>
      </c>
    </row>
    <row r="12" spans="1:29" s="113"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553"/>
      <c r="Q12" s="1477">
        <f t="shared" si="6"/>
        <v>111</v>
      </c>
      <c r="R12" s="709" t="s">
        <v>17</v>
      </c>
      <c r="S12" s="710">
        <f t="shared" si="0"/>
        <v>100</v>
      </c>
      <c r="T12" s="709" t="s">
        <v>17</v>
      </c>
      <c r="U12" s="710">
        <f t="shared" si="1"/>
        <v>100</v>
      </c>
      <c r="V12" s="709" t="s">
        <v>17</v>
      </c>
      <c r="W12" s="710">
        <f t="shared" si="2"/>
        <v>100</v>
      </c>
      <c r="X12" s="711"/>
      <c r="Y12" s="3425"/>
      <c r="Z12" s="55">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553"/>
      <c r="Q13" s="1477">
        <f t="shared" si="6"/>
        <v>111</v>
      </c>
      <c r="R13" s="709" t="s">
        <v>17</v>
      </c>
      <c r="S13" s="710">
        <f t="shared" si="0"/>
        <v>100</v>
      </c>
      <c r="T13" s="709" t="s">
        <v>17</v>
      </c>
      <c r="U13" s="710">
        <f t="shared" si="1"/>
        <v>100</v>
      </c>
      <c r="V13" s="709" t="s">
        <v>17</v>
      </c>
      <c r="W13" s="710">
        <f t="shared" si="2"/>
        <v>100</v>
      </c>
      <c r="X13" s="711"/>
      <c r="Y13" s="3425"/>
      <c r="Z13" s="55">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553"/>
      <c r="Q14" s="1477">
        <f t="shared" si="6"/>
        <v>111</v>
      </c>
      <c r="R14" s="709" t="s">
        <v>17</v>
      </c>
      <c r="S14" s="710">
        <f t="shared" si="0"/>
        <v>100</v>
      </c>
      <c r="T14" s="709" t="s">
        <v>17</v>
      </c>
      <c r="U14" s="710">
        <f t="shared" si="1"/>
        <v>100</v>
      </c>
      <c r="V14" s="709" t="s">
        <v>17</v>
      </c>
      <c r="W14" s="710">
        <f t="shared" si="2"/>
        <v>100</v>
      </c>
      <c r="X14" s="711"/>
      <c r="Y14" s="3425"/>
      <c r="Z14" s="55">
        <f t="shared" si="7"/>
        <v>111</v>
      </c>
      <c r="AA14" s="712">
        <f t="shared" si="3"/>
        <v>1</v>
      </c>
      <c r="AB14" s="712">
        <f t="shared" si="4"/>
        <v>1</v>
      </c>
      <c r="AC14" s="712">
        <f t="shared" si="5"/>
        <v>1</v>
      </c>
    </row>
    <row r="15" spans="1:29" ht="57">
      <c r="A15" s="398" t="s">
        <v>2139</v>
      </c>
      <c r="B15" s="65"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555" t="s">
        <v>2140</v>
      </c>
      <c r="Q15" s="1486" t="str">
        <f t="shared" si="6"/>
        <v>产业集聚程度</v>
      </c>
      <c r="R15" s="713" t="s">
        <v>17</v>
      </c>
      <c r="S15" s="714">
        <f t="shared" si="0"/>
        <v>100</v>
      </c>
      <c r="T15" s="713" t="s">
        <v>17</v>
      </c>
      <c r="U15" s="714">
        <f t="shared" si="1"/>
        <v>100</v>
      </c>
      <c r="V15" s="713" t="s">
        <v>17</v>
      </c>
      <c r="W15" s="714">
        <f t="shared" si="2"/>
        <v>100</v>
      </c>
      <c r="X15" s="1489"/>
      <c r="Y15" s="3555"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556"/>
      <c r="Q16" s="1486"/>
      <c r="R16" s="713"/>
      <c r="S16" s="714"/>
      <c r="T16" s="713"/>
      <c r="U16" s="714"/>
      <c r="V16" s="713"/>
      <c r="W16" s="714"/>
      <c r="X16" s="1489"/>
      <c r="Y16" s="3556"/>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556"/>
      <c r="Q17" s="1486" t="str">
        <f>B17</f>
        <v>交通便捷度</v>
      </c>
      <c r="R17" s="713" t="s">
        <v>17</v>
      </c>
      <c r="S17" s="714">
        <f>F17</f>
        <v>100</v>
      </c>
      <c r="T17" s="713" t="s">
        <v>17</v>
      </c>
      <c r="U17" s="714">
        <f>H17</f>
        <v>100</v>
      </c>
      <c r="V17" s="713" t="s">
        <v>17</v>
      </c>
      <c r="W17" s="714">
        <f>J17</f>
        <v>100</v>
      </c>
      <c r="X17" s="1489"/>
      <c r="Y17" s="3556"/>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556"/>
      <c r="Q18" s="1486"/>
      <c r="R18" s="713"/>
      <c r="S18" s="714"/>
      <c r="T18" s="713"/>
      <c r="U18" s="714"/>
      <c r="V18" s="713"/>
      <c r="W18" s="714"/>
      <c r="X18" s="1489"/>
      <c r="Y18" s="3556"/>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556"/>
      <c r="Q19" s="1486" t="str">
        <f>B19</f>
        <v>公共配套设施</v>
      </c>
      <c r="R19" s="713" t="s">
        <v>17</v>
      </c>
      <c r="S19" s="714">
        <f>F19</f>
        <v>100</v>
      </c>
      <c r="T19" s="713" t="s">
        <v>17</v>
      </c>
      <c r="U19" s="714">
        <f>H19</f>
        <v>100</v>
      </c>
      <c r="V19" s="713" t="s">
        <v>17</v>
      </c>
      <c r="W19" s="714">
        <f>J19</f>
        <v>100</v>
      </c>
      <c r="X19" s="1489"/>
      <c r="Y19" s="3556"/>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556"/>
      <c r="Q20" s="1486"/>
      <c r="R20" s="713"/>
      <c r="S20" s="714"/>
      <c r="T20" s="713"/>
      <c r="U20" s="714"/>
      <c r="V20" s="713"/>
      <c r="W20" s="714"/>
      <c r="X20" s="1489"/>
      <c r="Y20" s="3556"/>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556"/>
      <c r="Q21" s="1486" t="str">
        <f>B21</f>
        <v>基础设施水平</v>
      </c>
      <c r="R21" s="713" t="s">
        <v>17</v>
      </c>
      <c r="S21" s="714">
        <f>F21</f>
        <v>100</v>
      </c>
      <c r="T21" s="713" t="s">
        <v>17</v>
      </c>
      <c r="U21" s="714">
        <f>H21</f>
        <v>100</v>
      </c>
      <c r="V21" s="713" t="s">
        <v>17</v>
      </c>
      <c r="W21" s="714">
        <f>J21</f>
        <v>100</v>
      </c>
      <c r="X21" s="1489"/>
      <c r="Y21" s="3556"/>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556"/>
      <c r="Q22" s="1486"/>
      <c r="R22" s="713"/>
      <c r="S22" s="714"/>
      <c r="T22" s="713"/>
      <c r="U22" s="714"/>
      <c r="V22" s="713"/>
      <c r="W22" s="714"/>
      <c r="X22" s="1489"/>
      <c r="Y22" s="3556"/>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556"/>
      <c r="Q23" s="1486" t="str">
        <f>B23</f>
        <v>环境质量</v>
      </c>
      <c r="R23" s="713" t="s">
        <v>17</v>
      </c>
      <c r="S23" s="714">
        <f>F23</f>
        <v>100</v>
      </c>
      <c r="T23" s="713" t="s">
        <v>17</v>
      </c>
      <c r="U23" s="714">
        <f>H23</f>
        <v>100</v>
      </c>
      <c r="V23" s="713" t="s">
        <v>17</v>
      </c>
      <c r="W23" s="714">
        <f>J23</f>
        <v>100</v>
      </c>
      <c r="X23" s="1489"/>
      <c r="Y23" s="3556"/>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556"/>
      <c r="Q24" s="1486"/>
      <c r="R24" s="713"/>
      <c r="S24" s="714"/>
      <c r="T24" s="713"/>
      <c r="U24" s="714"/>
      <c r="V24" s="713"/>
      <c r="W24" s="714"/>
      <c r="X24" s="1489"/>
      <c r="Y24" s="3556"/>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556"/>
      <c r="Q25" s="1486">
        <f>B25</f>
        <v>111</v>
      </c>
      <c r="R25" s="713" t="s">
        <v>17</v>
      </c>
      <c r="S25" s="714">
        <f>F25</f>
        <v>100</v>
      </c>
      <c r="T25" s="713" t="s">
        <v>17</v>
      </c>
      <c r="U25" s="714">
        <f>H25</f>
        <v>100</v>
      </c>
      <c r="V25" s="713" t="s">
        <v>17</v>
      </c>
      <c r="W25" s="714">
        <f>J25</f>
        <v>100</v>
      </c>
      <c r="X25" s="1489"/>
      <c r="Y25" s="3556"/>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556"/>
      <c r="Q26" s="1486">
        <f t="shared" ref="Q26:Q40" si="11">B26</f>
        <v>111</v>
      </c>
      <c r="R26" s="713" t="s">
        <v>17</v>
      </c>
      <c r="S26" s="714">
        <f>F26</f>
        <v>100</v>
      </c>
      <c r="T26" s="713" t="s">
        <v>17</v>
      </c>
      <c r="U26" s="714">
        <f>H26</f>
        <v>100</v>
      </c>
      <c r="V26" s="713" t="s">
        <v>17</v>
      </c>
      <c r="W26" s="714">
        <f>J26</f>
        <v>100</v>
      </c>
      <c r="X26" s="1489"/>
      <c r="Y26" s="3556"/>
      <c r="Z26" s="1490">
        <f>Q26</f>
        <v>111</v>
      </c>
      <c r="AA26" s="1487">
        <f t="shared" si="3"/>
        <v>1</v>
      </c>
      <c r="AB26" s="1487">
        <f t="shared" si="4"/>
        <v>1</v>
      </c>
      <c r="AC26" s="1487">
        <f t="shared" si="5"/>
        <v>1</v>
      </c>
    </row>
    <row r="27" spans="1:29" s="113"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556"/>
      <c r="Q27" s="1477">
        <f t="shared" si="11"/>
        <v>111</v>
      </c>
      <c r="R27" s="709" t="s">
        <v>17</v>
      </c>
      <c r="S27" s="710">
        <f>F27</f>
        <v>100</v>
      </c>
      <c r="T27" s="709" t="s">
        <v>17</v>
      </c>
      <c r="U27" s="710">
        <f>H27</f>
        <v>100</v>
      </c>
      <c r="V27" s="709" t="s">
        <v>17</v>
      </c>
      <c r="W27" s="710">
        <f>J27</f>
        <v>100</v>
      </c>
      <c r="X27" s="711"/>
      <c r="Y27" s="3556"/>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556"/>
      <c r="Q28" s="1486">
        <f t="shared" si="11"/>
        <v>111</v>
      </c>
      <c r="R28" s="713" t="s">
        <v>17</v>
      </c>
      <c r="S28" s="714">
        <f t="shared" ref="S28:S40" si="12">F28</f>
        <v>100</v>
      </c>
      <c r="T28" s="713" t="s">
        <v>17</v>
      </c>
      <c r="U28" s="714">
        <f t="shared" ref="U28:U40" si="13">H28</f>
        <v>100</v>
      </c>
      <c r="V28" s="713" t="s">
        <v>17</v>
      </c>
      <c r="W28" s="714">
        <f t="shared" ref="W28:W40" si="14">J28</f>
        <v>100</v>
      </c>
      <c r="X28" s="1489"/>
      <c r="Y28" s="3556"/>
      <c r="Z28" s="1490">
        <f t="shared" ref="Z28:Z40" si="15">Q28</f>
        <v>111</v>
      </c>
      <c r="AA28" s="1487">
        <f t="shared" si="3"/>
        <v>1</v>
      </c>
      <c r="AB28" s="1487">
        <f t="shared" si="4"/>
        <v>1</v>
      </c>
      <c r="AC28" s="1487">
        <f t="shared" si="5"/>
        <v>1</v>
      </c>
    </row>
    <row r="29" spans="1:29" ht="28.5">
      <c r="A29" s="424" t="s">
        <v>2143</v>
      </c>
      <c r="B29" s="67"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613" t="s">
        <v>2145</v>
      </c>
      <c r="Q29" s="1486" t="str">
        <f t="shared" si="11"/>
        <v>建筑类型</v>
      </c>
      <c r="R29" s="713" t="s">
        <v>17</v>
      </c>
      <c r="S29" s="714">
        <f t="shared" si="12"/>
        <v>100</v>
      </c>
      <c r="T29" s="713" t="s">
        <v>17</v>
      </c>
      <c r="U29" s="714">
        <f t="shared" si="13"/>
        <v>100</v>
      </c>
      <c r="V29" s="713" t="s">
        <v>17</v>
      </c>
      <c r="W29" s="714">
        <f t="shared" si="14"/>
        <v>100</v>
      </c>
      <c r="X29" s="1489"/>
      <c r="Y29" s="3560"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560"/>
      <c r="Q30" s="715" t="str">
        <f t="shared" si="11"/>
        <v>项目建筑规模</v>
      </c>
      <c r="R30" s="716" t="s">
        <v>17</v>
      </c>
      <c r="S30" s="717" t="e">
        <f t="shared" si="12"/>
        <v>#N/A</v>
      </c>
      <c r="T30" s="716" t="s">
        <v>17</v>
      </c>
      <c r="U30" s="717" t="e">
        <f t="shared" si="13"/>
        <v>#N/A</v>
      </c>
      <c r="V30" s="716" t="s">
        <v>17</v>
      </c>
      <c r="W30" s="717" t="e">
        <f t="shared" si="14"/>
        <v>#N/A</v>
      </c>
      <c r="X30" s="718"/>
      <c r="Y30" s="3560"/>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560"/>
      <c r="Q31" s="1486" t="str">
        <f t="shared" si="11"/>
        <v>建筑结构</v>
      </c>
      <c r="R31" s="713" t="s">
        <v>17</v>
      </c>
      <c r="S31" s="714">
        <f t="shared" si="12"/>
        <v>100</v>
      </c>
      <c r="T31" s="713" t="s">
        <v>17</v>
      </c>
      <c r="U31" s="714">
        <f t="shared" si="13"/>
        <v>100</v>
      </c>
      <c r="V31" s="713" t="s">
        <v>17</v>
      </c>
      <c r="W31" s="714">
        <f t="shared" si="14"/>
        <v>100</v>
      </c>
      <c r="X31" s="1489"/>
      <c r="Y31" s="3560"/>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560"/>
      <c r="Q32" s="1486" t="str">
        <f t="shared" si="11"/>
        <v>公共部分装修</v>
      </c>
      <c r="R32" s="713" t="s">
        <v>17</v>
      </c>
      <c r="S32" s="714">
        <f t="shared" si="12"/>
        <v>100</v>
      </c>
      <c r="T32" s="713" t="s">
        <v>17</v>
      </c>
      <c r="U32" s="714">
        <f t="shared" si="13"/>
        <v>100</v>
      </c>
      <c r="V32" s="713" t="s">
        <v>17</v>
      </c>
      <c r="W32" s="714">
        <f t="shared" si="14"/>
        <v>100</v>
      </c>
      <c r="X32" s="1489"/>
      <c r="Y32" s="3560"/>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560"/>
      <c r="Q33" s="1486" t="str">
        <f t="shared" si="11"/>
        <v>成新度</v>
      </c>
      <c r="R33" s="713" t="s">
        <v>17</v>
      </c>
      <c r="S33" s="714" t="e">
        <f t="shared" si="12"/>
        <v>#N/A</v>
      </c>
      <c r="T33" s="713" t="s">
        <v>17</v>
      </c>
      <c r="U33" s="714" t="e">
        <f t="shared" si="13"/>
        <v>#N/A</v>
      </c>
      <c r="V33" s="713" t="s">
        <v>17</v>
      </c>
      <c r="W33" s="714" t="e">
        <f t="shared" si="14"/>
        <v>#N/A</v>
      </c>
      <c r="X33" s="1489"/>
      <c r="Y33" s="3560"/>
      <c r="Z33" s="1490" t="str">
        <f t="shared" si="15"/>
        <v>成新度</v>
      </c>
      <c r="AA33" s="1487" t="e">
        <f t="shared" si="3"/>
        <v>#N/A</v>
      </c>
      <c r="AB33" s="1487" t="e">
        <f t="shared" si="4"/>
        <v>#N/A</v>
      </c>
      <c r="AC33" s="1487" t="e">
        <f t="shared" si="5"/>
        <v>#N/A</v>
      </c>
    </row>
    <row r="34" spans="1:29" s="113"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560"/>
      <c r="Q34" s="1477" t="str">
        <f t="shared" si="11"/>
        <v>物业管理</v>
      </c>
      <c r="R34" s="709" t="s">
        <v>17</v>
      </c>
      <c r="S34" s="710">
        <f t="shared" si="12"/>
        <v>100</v>
      </c>
      <c r="T34" s="709" t="s">
        <v>17</v>
      </c>
      <c r="U34" s="710">
        <f t="shared" si="13"/>
        <v>100</v>
      </c>
      <c r="V34" s="709" t="s">
        <v>17</v>
      </c>
      <c r="W34" s="710">
        <f t="shared" si="14"/>
        <v>100</v>
      </c>
      <c r="X34" s="711"/>
      <c r="Y34" s="3560"/>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560" t="s">
        <v>2145</v>
      </c>
      <c r="Q35" s="1486" t="str">
        <f t="shared" si="11"/>
        <v>市政基础设施</v>
      </c>
      <c r="R35" s="713" t="s">
        <v>17</v>
      </c>
      <c r="S35" s="714">
        <f t="shared" si="12"/>
        <v>100</v>
      </c>
      <c r="T35" s="713" t="s">
        <v>17</v>
      </c>
      <c r="U35" s="714">
        <f t="shared" si="13"/>
        <v>100</v>
      </c>
      <c r="V35" s="713" t="s">
        <v>17</v>
      </c>
      <c r="W35" s="714">
        <f t="shared" si="14"/>
        <v>100</v>
      </c>
      <c r="X35" s="1489"/>
      <c r="Y35" s="3560"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560"/>
      <c r="Q36" s="1486" t="str">
        <f t="shared" si="11"/>
        <v>内部装修</v>
      </c>
      <c r="R36" s="713" t="s">
        <v>17</v>
      </c>
      <c r="S36" s="714">
        <f t="shared" si="12"/>
        <v>100</v>
      </c>
      <c r="T36" s="713" t="s">
        <v>17</v>
      </c>
      <c r="U36" s="714">
        <f t="shared" si="13"/>
        <v>100</v>
      </c>
      <c r="V36" s="713" t="s">
        <v>17</v>
      </c>
      <c r="W36" s="714">
        <f t="shared" si="14"/>
        <v>100</v>
      </c>
      <c r="X36" s="1489"/>
      <c r="Y36" s="3560"/>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560"/>
      <c r="Q37" s="1486" t="str">
        <f t="shared" si="11"/>
        <v>内部装修状况</v>
      </c>
      <c r="R37" s="713" t="s">
        <v>17</v>
      </c>
      <c r="S37" s="714">
        <f t="shared" si="12"/>
        <v>100</v>
      </c>
      <c r="T37" s="713" t="s">
        <v>17</v>
      </c>
      <c r="U37" s="714">
        <f t="shared" si="13"/>
        <v>100</v>
      </c>
      <c r="V37" s="713" t="s">
        <v>17</v>
      </c>
      <c r="W37" s="714">
        <f t="shared" si="14"/>
        <v>100</v>
      </c>
      <c r="X37" s="1489"/>
      <c r="Y37" s="3560"/>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560"/>
      <c r="Q38" s="715">
        <f t="shared" si="11"/>
        <v>111</v>
      </c>
      <c r="R38" s="716" t="s">
        <v>17</v>
      </c>
      <c r="S38" s="717">
        <f t="shared" si="12"/>
        <v>100</v>
      </c>
      <c r="T38" s="716" t="s">
        <v>17</v>
      </c>
      <c r="U38" s="717">
        <f t="shared" si="13"/>
        <v>100</v>
      </c>
      <c r="V38" s="716" t="s">
        <v>17</v>
      </c>
      <c r="W38" s="717">
        <f t="shared" si="14"/>
        <v>100</v>
      </c>
      <c r="X38" s="718"/>
      <c r="Y38" s="3560"/>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560"/>
      <c r="Q39" s="1486">
        <f t="shared" si="11"/>
        <v>111</v>
      </c>
      <c r="R39" s="713" t="s">
        <v>17</v>
      </c>
      <c r="S39" s="714">
        <f t="shared" si="12"/>
        <v>100</v>
      </c>
      <c r="T39" s="713" t="s">
        <v>17</v>
      </c>
      <c r="U39" s="714">
        <f t="shared" si="13"/>
        <v>100</v>
      </c>
      <c r="V39" s="713" t="s">
        <v>17</v>
      </c>
      <c r="W39" s="714">
        <f t="shared" si="14"/>
        <v>100</v>
      </c>
      <c r="X39" s="1489"/>
      <c r="Y39" s="3560"/>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61"/>
      <c r="Q40" s="1486">
        <f t="shared" si="11"/>
        <v>111</v>
      </c>
      <c r="R40" s="713" t="s">
        <v>17</v>
      </c>
      <c r="S40" s="714">
        <f t="shared" si="12"/>
        <v>100</v>
      </c>
      <c r="T40" s="713" t="s">
        <v>17</v>
      </c>
      <c r="U40" s="714">
        <f t="shared" si="13"/>
        <v>100</v>
      </c>
      <c r="V40" s="713" t="s">
        <v>17</v>
      </c>
      <c r="W40" s="714">
        <f t="shared" si="14"/>
        <v>100</v>
      </c>
      <c r="X40" s="1489"/>
      <c r="Y40" s="3561"/>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553" t="str">
        <f>A41</f>
        <v>成交单价（元/平方米）</v>
      </c>
      <c r="Q41" s="3553"/>
      <c r="R41" s="3554">
        <f>E41</f>
        <v>0</v>
      </c>
      <c r="S41" s="3554"/>
      <c r="T41" s="3554">
        <f>G41</f>
        <v>0</v>
      </c>
      <c r="U41" s="3554"/>
      <c r="V41" s="3554">
        <f>I41</f>
        <v>0</v>
      </c>
      <c r="W41" s="3554"/>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553" t="str">
        <f>A42</f>
        <v>比较价值（元/平方米）</v>
      </c>
      <c r="Q42" s="3553"/>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550" t="str">
        <f>A43</f>
        <v>估价对象XX用房的比较价值（楼面单价，元/平方米）</v>
      </c>
      <c r="Q43" s="3551"/>
      <c r="R43" s="3552" t="e">
        <f>IF(F1="售价",ROUND(IF(D42="简单平均",AVERAGE(R42:V42),R42*F42+T42*H42+V42*J42),0),ROUND(IF(D42="简单平均",AVERAGE(R42:V42),R42*F42+T42*H42+V42*J42),1))</f>
        <v>#DIV/0!</v>
      </c>
      <c r="S43" s="3552"/>
      <c r="T43" s="3552"/>
      <c r="U43" s="3552"/>
      <c r="V43" s="3552"/>
      <c r="W43" s="3552"/>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3"/>
    </row>
    <row r="53" spans="1:17" s="113" customFormat="1" ht="15">
      <c r="A53" s="465"/>
      <c r="B53" s="466"/>
      <c r="C53" s="1297">
        <v>100</v>
      </c>
      <c r="D53" s="468"/>
      <c r="E53" s="468"/>
      <c r="F53" s="468"/>
      <c r="G53" s="468"/>
      <c r="H53" s="468"/>
      <c r="I53" s="468"/>
      <c r="J53" s="468"/>
      <c r="K53" s="468"/>
      <c r="L53" s="468"/>
      <c r="M53" s="469"/>
      <c r="N53" s="468"/>
      <c r="O53" s="470"/>
      <c r="P53" s="460"/>
    </row>
    <row r="54" spans="1:17" s="113" customFormat="1" ht="15.75" thickBot="1">
      <c r="A54" s="471" t="s">
        <v>2165</v>
      </c>
      <c r="B54" s="472"/>
      <c r="C54" s="473"/>
      <c r="D54" s="474"/>
      <c r="E54" s="474"/>
      <c r="F54" s="474"/>
      <c r="G54" s="474"/>
      <c r="H54" s="474"/>
      <c r="I54" s="474"/>
      <c r="J54" s="474"/>
      <c r="K54" s="474"/>
      <c r="L54" s="474"/>
      <c r="M54" s="475"/>
      <c r="N54" s="2948"/>
      <c r="O54" s="2949"/>
      <c r="P54" s="460"/>
      <c r="Q54" s="460"/>
    </row>
    <row r="55" spans="1:17" s="113" customFormat="1" ht="15">
      <c r="A55" s="477" t="s">
        <v>2130</v>
      </c>
      <c r="B55" s="466"/>
      <c r="C55" s="478" t="s">
        <v>2232</v>
      </c>
      <c r="D55" s="479"/>
      <c r="E55" s="479"/>
      <c r="F55" s="479"/>
      <c r="G55" s="479"/>
      <c r="H55" s="479"/>
      <c r="I55" s="479"/>
      <c r="J55" s="479"/>
      <c r="K55" s="479"/>
      <c r="L55" s="480"/>
      <c r="M55" s="481"/>
      <c r="N55" s="1043"/>
      <c r="O55" s="1043"/>
      <c r="P55" s="482"/>
      <c r="Q55" s="460"/>
    </row>
    <row r="56" spans="1:17" s="113"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3" customFormat="1" ht="15.75" thickTop="1">
      <c r="A80" s="535"/>
      <c r="B80" s="494">
        <f>B25</f>
        <v>111</v>
      </c>
      <c r="C80" s="510"/>
      <c r="D80" s="510"/>
      <c r="E80" s="510"/>
      <c r="F80" s="510"/>
      <c r="G80" s="510"/>
      <c r="H80" s="510"/>
      <c r="I80" s="510"/>
      <c r="J80" s="510"/>
      <c r="K80" s="510"/>
      <c r="L80" s="536"/>
      <c r="M80" s="537"/>
      <c r="N80" s="1043"/>
      <c r="O80" s="1043"/>
      <c r="P80" s="45"/>
      <c r="Q80" s="460"/>
    </row>
    <row r="81" spans="1:17" s="113" customFormat="1" ht="15.75" thickBot="1">
      <c r="A81" s="535"/>
      <c r="B81" s="499"/>
      <c r="C81" s="516"/>
      <c r="D81" s="492"/>
      <c r="E81" s="492"/>
      <c r="F81" s="492"/>
      <c r="G81" s="492"/>
      <c r="H81" s="492"/>
      <c r="I81" s="492"/>
      <c r="J81" s="492"/>
      <c r="K81" s="492"/>
      <c r="L81" s="492"/>
      <c r="M81" s="493"/>
      <c r="N81" s="1045"/>
      <c r="O81" s="1045"/>
      <c r="P81" s="45"/>
      <c r="Q81" s="460"/>
    </row>
    <row r="82" spans="1:17" s="113" customFormat="1" ht="15.75" thickTop="1">
      <c r="A82" s="535"/>
      <c r="B82" s="494">
        <f>B26</f>
        <v>111</v>
      </c>
      <c r="C82" s="510"/>
      <c r="D82" s="510"/>
      <c r="E82" s="510"/>
      <c r="F82" s="510"/>
      <c r="G82" s="510"/>
      <c r="H82" s="510"/>
      <c r="I82" s="510"/>
      <c r="J82" s="510"/>
      <c r="K82" s="510"/>
      <c r="L82" s="536"/>
      <c r="M82" s="537"/>
      <c r="N82" s="1043"/>
      <c r="O82" s="1043"/>
      <c r="P82" s="45"/>
      <c r="Q82" s="460"/>
    </row>
    <row r="83" spans="1:17" s="113"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估价对象为北京市房地产，为所有。根据《国有土地使用证》[]，估价对象（分摊）出让国有建设用地使用权面积为801.32平方米，建筑面积为6192.79平方米。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估价对象为北京市房地产,属开发建设的，该项目尚在开发建设中。根据《国有土地使用证》[]，估价对象（分摊）出让国有建设用地使用权面积为801.32平方米，规划建筑面积为6192.79平方米。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75">
      <c r="A14" s="1620" t="s">
        <v>1342</v>
      </c>
    </row>
    <row r="15" spans="1:1" ht="18">
      <c r="A15" s="1621" t="str">
        <f>TEXT(项目基本情况!D3,"yyyy年m月d日;;")&amp;IF(项目基本情况!D3=项目基本情况!B3,"（评估专业人员实地查勘之日）","")</f>
        <v>2022年9月16日（评估专业人员实地查勘之日）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本次评估采用的主估价方法为比较法和收益法。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568" t="s">
        <v>2226</v>
      </c>
      <c r="D4" s="3569"/>
      <c r="E4" s="3570" t="s">
        <v>2227</v>
      </c>
      <c r="F4" s="3571"/>
      <c r="G4" s="3568" t="s">
        <v>2228</v>
      </c>
      <c r="H4" s="3569"/>
      <c r="I4" s="3568" t="s">
        <v>2229</v>
      </c>
      <c r="J4" s="3569"/>
      <c r="K4" s="566" t="s">
        <v>2230</v>
      </c>
      <c r="L4" s="2893"/>
      <c r="M4" s="2894"/>
      <c r="N4" s="2894"/>
      <c r="O4" s="2894"/>
      <c r="P4" s="3572" t="s">
        <v>2231</v>
      </c>
      <c r="Q4" s="3573"/>
      <c r="R4" s="3578" t="s">
        <v>2227</v>
      </c>
      <c r="S4" s="3579"/>
      <c r="T4" s="3578" t="s">
        <v>2228</v>
      </c>
      <c r="U4" s="3579"/>
      <c r="V4" s="3584" t="s">
        <v>2229</v>
      </c>
      <c r="W4" s="3584"/>
      <c r="X4" s="1489"/>
      <c r="Y4" s="3578" t="s">
        <v>2231</v>
      </c>
      <c r="Z4" s="3579"/>
      <c r="AA4" s="3565" t="s">
        <v>2227</v>
      </c>
      <c r="AB4" s="3566" t="s">
        <v>2228</v>
      </c>
      <c r="AC4" s="3565" t="s">
        <v>2229</v>
      </c>
    </row>
    <row r="5" spans="1:29" ht="15">
      <c r="A5" s="363"/>
      <c r="B5" s="364"/>
      <c r="C5" s="3587" t="s">
        <v>2122</v>
      </c>
      <c r="D5" s="3588"/>
      <c r="E5" s="3594" t="s">
        <v>2123</v>
      </c>
      <c r="F5" s="3595"/>
      <c r="G5" s="3587" t="s">
        <v>2124</v>
      </c>
      <c r="H5" s="3588"/>
      <c r="I5" s="3587" t="s">
        <v>2125</v>
      </c>
      <c r="J5" s="3588"/>
      <c r="K5" s="566"/>
      <c r="L5" s="2893"/>
      <c r="M5" s="2894"/>
      <c r="N5" s="2894"/>
      <c r="O5" s="2894"/>
      <c r="P5" s="3574"/>
      <c r="Q5" s="3575"/>
      <c r="R5" s="3580"/>
      <c r="S5" s="3581"/>
      <c r="T5" s="3580"/>
      <c r="U5" s="3581"/>
      <c r="V5" s="3584"/>
      <c r="W5" s="3584"/>
      <c r="X5" s="1489"/>
      <c r="Y5" s="3580"/>
      <c r="Z5" s="3581"/>
      <c r="AA5" s="3566"/>
      <c r="AB5" s="3566"/>
      <c r="AC5" s="3566"/>
    </row>
    <row r="6" spans="1:29" ht="15.75" thickBot="1">
      <c r="A6" s="365"/>
      <c r="B6" s="366"/>
      <c r="C6" s="3585" t="s">
        <v>2126</v>
      </c>
      <c r="D6" s="3586"/>
      <c r="E6" s="3592" t="s">
        <v>2126</v>
      </c>
      <c r="F6" s="3593"/>
      <c r="G6" s="3585" t="s">
        <v>2126</v>
      </c>
      <c r="H6" s="3586"/>
      <c r="I6" s="3585" t="s">
        <v>2126</v>
      </c>
      <c r="J6" s="3586"/>
      <c r="K6" s="566" t="s">
        <v>2127</v>
      </c>
      <c r="L6" s="2893"/>
      <c r="M6" s="2894"/>
      <c r="N6" s="2894"/>
      <c r="O6" s="2894"/>
      <c r="P6" s="3576"/>
      <c r="Q6" s="3577"/>
      <c r="R6" s="3580"/>
      <c r="S6" s="3581"/>
      <c r="T6" s="3582"/>
      <c r="U6" s="3583"/>
      <c r="V6" s="3584"/>
      <c r="W6" s="3584"/>
      <c r="X6" s="1489"/>
      <c r="Y6" s="3582"/>
      <c r="Z6" s="3583"/>
      <c r="AA6" s="3567"/>
      <c r="AB6" s="3567"/>
      <c r="AC6" s="3567"/>
    </row>
    <row r="7" spans="1:29" s="113" customFormat="1" ht="15.75" thickBot="1">
      <c r="A7" s="367" t="s">
        <v>2128</v>
      </c>
      <c r="B7" s="368"/>
      <c r="C7" s="369">
        <f>'数据-取费表'!B2</f>
        <v>44820</v>
      </c>
      <c r="D7" s="370">
        <v>100</v>
      </c>
      <c r="E7" s="371"/>
      <c r="F7" s="372">
        <f>SUMIF(48:48,YEAR(E7)&amp;"-"&amp;MONTH(E7),49:49)</f>
        <v>0</v>
      </c>
      <c r="G7" s="371"/>
      <c r="H7" s="370">
        <f>SUMIF(48:48,YEAR(G7)&amp;"-"&amp;MONTH(G7),49:49)</f>
        <v>0</v>
      </c>
      <c r="I7" s="371"/>
      <c r="J7" s="370">
        <f>SUMIF(48:48,YEAR(I7)&amp;"-"&amp;MONTH(I7),49:49)</f>
        <v>0</v>
      </c>
      <c r="K7" s="567"/>
      <c r="L7" s="2895"/>
      <c r="M7" s="2896"/>
      <c r="N7" s="2896"/>
      <c r="O7" s="2896"/>
      <c r="P7" s="3589" t="s">
        <v>2129</v>
      </c>
      <c r="Q7" s="3591"/>
      <c r="R7" s="709" t="s">
        <v>17</v>
      </c>
      <c r="S7" s="710">
        <f t="shared" ref="S7:S14" si="0">F7</f>
        <v>0</v>
      </c>
      <c r="T7" s="709" t="s">
        <v>17</v>
      </c>
      <c r="U7" s="710">
        <f t="shared" ref="U7:U14" si="1">H7</f>
        <v>0</v>
      </c>
      <c r="V7" s="709" t="s">
        <v>17</v>
      </c>
      <c r="W7" s="710">
        <f t="shared" ref="W7:W14" si="2">J7</f>
        <v>0</v>
      </c>
      <c r="X7" s="711"/>
      <c r="Y7" s="3589" t="s">
        <v>2129</v>
      </c>
      <c r="Z7" s="3590"/>
      <c r="AA7" s="712" t="e">
        <f>D7/F7</f>
        <v>#DIV/0!</v>
      </c>
      <c r="AB7" s="712" t="e">
        <f>D7/H7</f>
        <v>#DIV/0!</v>
      </c>
      <c r="AC7" s="712" t="e">
        <f>D7/J7</f>
        <v>#DIV/0!</v>
      </c>
    </row>
    <row r="8" spans="1:29" s="113"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589" t="s">
        <v>2132</v>
      </c>
      <c r="Q8" s="3590"/>
      <c r="R8" s="709" t="s">
        <v>17</v>
      </c>
      <c r="S8" s="710">
        <f t="shared" si="0"/>
        <v>0</v>
      </c>
      <c r="T8" s="709" t="s">
        <v>17</v>
      </c>
      <c r="U8" s="710">
        <f t="shared" si="1"/>
        <v>0</v>
      </c>
      <c r="V8" s="709" t="s">
        <v>17</v>
      </c>
      <c r="W8" s="710">
        <f t="shared" si="2"/>
        <v>0</v>
      </c>
      <c r="X8" s="711"/>
      <c r="Y8" s="3589" t="s">
        <v>2132</v>
      </c>
      <c r="Z8" s="3590"/>
      <c r="AA8" s="712" t="e">
        <f t="shared" ref="AA8:AA36" si="3">D8/F8</f>
        <v>#DIV/0!</v>
      </c>
      <c r="AB8" s="712" t="e">
        <f t="shared" ref="AB8:AB36" si="4">D8/H8</f>
        <v>#DIV/0!</v>
      </c>
      <c r="AC8" s="712" t="e">
        <f t="shared" ref="AC8:AC36" si="5">D8/J8</f>
        <v>#DIV/0!</v>
      </c>
    </row>
    <row r="9" spans="1:29" s="113"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553" t="s">
        <v>2135</v>
      </c>
      <c r="Q9" s="1477" t="str">
        <f t="shared" ref="Q9:Q14" si="6">B9</f>
        <v>用途</v>
      </c>
      <c r="R9" s="709" t="s">
        <v>17</v>
      </c>
      <c r="S9" s="710">
        <f t="shared" si="0"/>
        <v>100</v>
      </c>
      <c r="T9" s="709" t="s">
        <v>17</v>
      </c>
      <c r="U9" s="710">
        <f t="shared" si="1"/>
        <v>100</v>
      </c>
      <c r="V9" s="709" t="s">
        <v>17</v>
      </c>
      <c r="W9" s="710">
        <f t="shared" si="2"/>
        <v>100</v>
      </c>
      <c r="X9" s="711"/>
      <c r="Y9" s="3425"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553"/>
      <c r="Q10" s="1477" t="str">
        <f t="shared" si="6"/>
        <v>土地使用年限（年）</v>
      </c>
      <c r="R10" s="709" t="s">
        <v>17</v>
      </c>
      <c r="S10" s="710">
        <f t="shared" si="0"/>
        <v>100</v>
      </c>
      <c r="T10" s="709" t="s">
        <v>17</v>
      </c>
      <c r="U10" s="710">
        <f t="shared" si="1"/>
        <v>100</v>
      </c>
      <c r="V10" s="709" t="s">
        <v>17</v>
      </c>
      <c r="W10" s="710">
        <f t="shared" si="2"/>
        <v>100</v>
      </c>
      <c r="X10" s="711"/>
      <c r="Y10" s="3425"/>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553"/>
      <c r="Q11" s="1477">
        <f t="shared" si="6"/>
        <v>111</v>
      </c>
      <c r="R11" s="709" t="s">
        <v>17</v>
      </c>
      <c r="S11" s="710">
        <f t="shared" si="0"/>
        <v>100</v>
      </c>
      <c r="T11" s="709" t="s">
        <v>17</v>
      </c>
      <c r="U11" s="710">
        <f t="shared" si="1"/>
        <v>100</v>
      </c>
      <c r="V11" s="709" t="s">
        <v>17</v>
      </c>
      <c r="W11" s="710">
        <f t="shared" si="2"/>
        <v>100</v>
      </c>
      <c r="X11" s="711"/>
      <c r="Y11" s="3425"/>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553"/>
      <c r="Q12" s="1477">
        <f t="shared" si="6"/>
        <v>111</v>
      </c>
      <c r="R12" s="709" t="s">
        <v>17</v>
      </c>
      <c r="S12" s="710">
        <f t="shared" si="0"/>
        <v>100</v>
      </c>
      <c r="T12" s="709" t="s">
        <v>17</v>
      </c>
      <c r="U12" s="710">
        <f t="shared" si="1"/>
        <v>100</v>
      </c>
      <c r="V12" s="709" t="s">
        <v>17</v>
      </c>
      <c r="W12" s="710">
        <f t="shared" si="2"/>
        <v>100</v>
      </c>
      <c r="X12" s="711"/>
      <c r="Y12" s="3425"/>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553"/>
      <c r="Q13" s="1477">
        <f t="shared" si="6"/>
        <v>111</v>
      </c>
      <c r="R13" s="709" t="s">
        <v>17</v>
      </c>
      <c r="S13" s="710">
        <f t="shared" si="0"/>
        <v>100</v>
      </c>
      <c r="T13" s="709" t="s">
        <v>17</v>
      </c>
      <c r="U13" s="710">
        <f t="shared" si="1"/>
        <v>100</v>
      </c>
      <c r="V13" s="709" t="s">
        <v>17</v>
      </c>
      <c r="W13" s="710">
        <f t="shared" si="2"/>
        <v>100</v>
      </c>
      <c r="X13" s="711"/>
      <c r="Y13" s="3425"/>
      <c r="Z13" s="55">
        <f t="shared" si="7"/>
        <v>111</v>
      </c>
      <c r="AA13" s="712">
        <f t="shared" si="3"/>
        <v>1</v>
      </c>
      <c r="AB13" s="712">
        <f t="shared" si="4"/>
        <v>1</v>
      </c>
      <c r="AC13" s="712">
        <f t="shared" si="5"/>
        <v>1</v>
      </c>
    </row>
    <row r="14" spans="1:29" ht="171">
      <c r="A14" s="360" t="s">
        <v>2139</v>
      </c>
      <c r="B14" s="584" t="s">
        <v>2289</v>
      </c>
      <c r="C14" s="2107" t="str">
        <f>IF(B1="工业",估价对象房地状况!G4,估价对象房地状况!C6)</f>
        <v>估价对象为距离东二环约600米，北侧临近工人体育场北路，周边有3路、4路、113路、115录吧、406路等公交通行，距离地铁2号线东四十条站约700米，交通便捷度较好。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555" t="s">
        <v>2140</v>
      </c>
      <c r="Q14" s="1486" t="str">
        <f t="shared" si="6"/>
        <v>交通便捷度</v>
      </c>
      <c r="R14" s="713" t="s">
        <v>17</v>
      </c>
      <c r="S14" s="714">
        <f t="shared" si="0"/>
        <v>100</v>
      </c>
      <c r="T14" s="713" t="s">
        <v>17</v>
      </c>
      <c r="U14" s="714">
        <f t="shared" si="1"/>
        <v>100</v>
      </c>
      <c r="V14" s="713" t="s">
        <v>17</v>
      </c>
      <c r="W14" s="714">
        <f t="shared" si="2"/>
        <v>100</v>
      </c>
      <c r="X14" s="1489"/>
      <c r="Y14" s="3555"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556"/>
      <c r="Q15" s="1486"/>
      <c r="R15" s="713"/>
      <c r="S15" s="714"/>
      <c r="T15" s="713"/>
      <c r="U15" s="714"/>
      <c r="V15" s="713"/>
      <c r="W15" s="714"/>
      <c r="X15" s="1489"/>
      <c r="Y15" s="3556"/>
      <c r="Z15" s="1490"/>
      <c r="AA15" s="1487">
        <v>1</v>
      </c>
      <c r="AB15" s="1487">
        <v>1</v>
      </c>
      <c r="AC15" s="1487">
        <v>1</v>
      </c>
    </row>
    <row r="16" spans="1:29" ht="313.5">
      <c r="A16" s="363"/>
      <c r="B16" s="586" t="s">
        <v>2268</v>
      </c>
      <c r="C16" s="2036" t="str">
        <f>IF(B1="工业",估价对象房地状况!G5,估价对象房地状况!C7)</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556"/>
      <c r="Q16" s="1486" t="str">
        <f>B16</f>
        <v>公共配套设施</v>
      </c>
      <c r="R16" s="713" t="s">
        <v>17</v>
      </c>
      <c r="S16" s="714">
        <f>F16</f>
        <v>100</v>
      </c>
      <c r="T16" s="713" t="s">
        <v>17</v>
      </c>
      <c r="U16" s="714">
        <f>H16</f>
        <v>100</v>
      </c>
      <c r="V16" s="713" t="s">
        <v>17</v>
      </c>
      <c r="W16" s="714">
        <f>J16</f>
        <v>100</v>
      </c>
      <c r="X16" s="1489"/>
      <c r="Y16" s="3556"/>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556"/>
      <c r="Q17" s="1486"/>
      <c r="R17" s="713"/>
      <c r="S17" s="714"/>
      <c r="T17" s="713"/>
      <c r="U17" s="714"/>
      <c r="V17" s="713"/>
      <c r="W17" s="714"/>
      <c r="X17" s="1489"/>
      <c r="Y17" s="3556"/>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556"/>
      <c r="Q18" s="1486" t="str">
        <f>B18</f>
        <v>基础设施水平</v>
      </c>
      <c r="R18" s="713" t="s">
        <v>17</v>
      </c>
      <c r="S18" s="714">
        <f>F18</f>
        <v>100</v>
      </c>
      <c r="T18" s="713" t="s">
        <v>17</v>
      </c>
      <c r="U18" s="714">
        <f>H18</f>
        <v>100</v>
      </c>
      <c r="V18" s="713" t="s">
        <v>17</v>
      </c>
      <c r="W18" s="714">
        <f>J18</f>
        <v>100</v>
      </c>
      <c r="X18" s="1489"/>
      <c r="Y18" s="3556"/>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556"/>
      <c r="Q19" s="1486"/>
      <c r="R19" s="713"/>
      <c r="S19" s="714"/>
      <c r="T19" s="713"/>
      <c r="U19" s="714"/>
      <c r="V19" s="713"/>
      <c r="W19" s="714"/>
      <c r="X19" s="1489"/>
      <c r="Y19" s="3556"/>
      <c r="Z19" s="1490"/>
      <c r="AA19" s="1487">
        <v>1</v>
      </c>
      <c r="AB19" s="1487">
        <v>1</v>
      </c>
      <c r="AC19" s="1487">
        <v>1</v>
      </c>
    </row>
    <row r="20" spans="1:29" ht="85.5">
      <c r="A20" s="363"/>
      <c r="B20" s="586" t="s">
        <v>2290</v>
      </c>
      <c r="C20" s="2036" t="str">
        <f>IF(B1="工业",估价对象房地状况!G7,估价对象房地状况!C9)</f>
        <v>区域自然环境：东岳庙；人文环境：北京工人体育场、保利剧院；综合评价环境状况较好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556"/>
      <c r="Q20" s="1486" t="str">
        <f>B20</f>
        <v>自然及人文环境</v>
      </c>
      <c r="R20" s="713" t="s">
        <v>17</v>
      </c>
      <c r="S20" s="714">
        <f>F20</f>
        <v>100</v>
      </c>
      <c r="T20" s="713" t="s">
        <v>17</v>
      </c>
      <c r="U20" s="714">
        <f>H20</f>
        <v>100</v>
      </c>
      <c r="V20" s="713" t="s">
        <v>17</v>
      </c>
      <c r="W20" s="714">
        <f>J20</f>
        <v>100</v>
      </c>
      <c r="X20" s="1489"/>
      <c r="Y20" s="3556"/>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556"/>
      <c r="Q21" s="1486"/>
      <c r="R21" s="713"/>
      <c r="S21" s="714"/>
      <c r="T21" s="713"/>
      <c r="U21" s="714"/>
      <c r="V21" s="713"/>
      <c r="W21" s="714"/>
      <c r="X21" s="1489"/>
      <c r="Y21" s="3556"/>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556"/>
      <c r="Q22" s="1486" t="str">
        <f>B22</f>
        <v>楼层</v>
      </c>
      <c r="R22" s="713" t="s">
        <v>17</v>
      </c>
      <c r="S22" s="714">
        <f>F22</f>
        <v>100</v>
      </c>
      <c r="T22" s="713" t="s">
        <v>17</v>
      </c>
      <c r="U22" s="714">
        <f>H22</f>
        <v>100</v>
      </c>
      <c r="V22" s="713" t="s">
        <v>17</v>
      </c>
      <c r="W22" s="714">
        <f>J22</f>
        <v>100</v>
      </c>
      <c r="X22" s="1489"/>
      <c r="Y22" s="3556"/>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556"/>
      <c r="Q23" s="1486">
        <f>B23</f>
        <v>111</v>
      </c>
      <c r="R23" s="713" t="s">
        <v>17</v>
      </c>
      <c r="S23" s="714">
        <f>F23</f>
        <v>100</v>
      </c>
      <c r="T23" s="713" t="s">
        <v>17</v>
      </c>
      <c r="U23" s="714">
        <f>H23</f>
        <v>100</v>
      </c>
      <c r="V23" s="713" t="s">
        <v>17</v>
      </c>
      <c r="W23" s="714">
        <f>J23</f>
        <v>100</v>
      </c>
      <c r="X23" s="1489"/>
      <c r="Y23" s="3556"/>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556"/>
      <c r="Q24" s="1486">
        <f t="shared" ref="Q24:Q36" si="11">B24</f>
        <v>111</v>
      </c>
      <c r="R24" s="713" t="s">
        <v>17</v>
      </c>
      <c r="S24" s="714">
        <f>F24</f>
        <v>100</v>
      </c>
      <c r="T24" s="713" t="s">
        <v>17</v>
      </c>
      <c r="U24" s="714">
        <f>H24</f>
        <v>100</v>
      </c>
      <c r="V24" s="713" t="s">
        <v>17</v>
      </c>
      <c r="W24" s="714">
        <f>J24</f>
        <v>100</v>
      </c>
      <c r="X24" s="1489"/>
      <c r="Y24" s="3556"/>
      <c r="Z24" s="1490">
        <f>Q24</f>
        <v>111</v>
      </c>
      <c r="AA24" s="1487">
        <f t="shared" si="3"/>
        <v>1</v>
      </c>
      <c r="AB24" s="1487">
        <f t="shared" si="4"/>
        <v>1</v>
      </c>
      <c r="AC24" s="148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556"/>
      <c r="Q25" s="1477">
        <f t="shared" si="11"/>
        <v>111</v>
      </c>
      <c r="R25" s="709" t="s">
        <v>17</v>
      </c>
      <c r="S25" s="710">
        <f>F25</f>
        <v>100</v>
      </c>
      <c r="T25" s="709" t="s">
        <v>17</v>
      </c>
      <c r="U25" s="710">
        <f>H25</f>
        <v>100</v>
      </c>
      <c r="V25" s="709" t="s">
        <v>17</v>
      </c>
      <c r="W25" s="710">
        <f>J25</f>
        <v>100</v>
      </c>
      <c r="X25" s="711"/>
      <c r="Y25" s="3556"/>
      <c r="Z25" s="55">
        <f>Q25</f>
        <v>111</v>
      </c>
      <c r="AA25" s="1487">
        <f>D25/F25</f>
        <v>1</v>
      </c>
      <c r="AB25" s="1487">
        <f>D25/H25</f>
        <v>1</v>
      </c>
      <c r="AC25" s="1487">
        <f>D25/J25</f>
        <v>1</v>
      </c>
    </row>
    <row r="26" spans="1:29" ht="28.5">
      <c r="A26" s="607" t="s">
        <v>2143</v>
      </c>
      <c r="B26" s="66"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613"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60"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560"/>
      <c r="Q27" s="715" t="str">
        <f t="shared" si="11"/>
        <v>项目停车位配比</v>
      </c>
      <c r="R27" s="716" t="s">
        <v>17</v>
      </c>
      <c r="S27" s="717">
        <f t="shared" si="12"/>
        <v>100</v>
      </c>
      <c r="T27" s="716" t="s">
        <v>17</v>
      </c>
      <c r="U27" s="717">
        <f t="shared" si="13"/>
        <v>100</v>
      </c>
      <c r="V27" s="716" t="s">
        <v>17</v>
      </c>
      <c r="W27" s="717">
        <f t="shared" si="14"/>
        <v>100</v>
      </c>
      <c r="X27" s="718"/>
      <c r="Y27" s="3560"/>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560"/>
      <c r="Q28" s="1486" t="str">
        <f t="shared" si="11"/>
        <v>公共部分装修</v>
      </c>
      <c r="R28" s="713" t="s">
        <v>17</v>
      </c>
      <c r="S28" s="714">
        <f t="shared" si="12"/>
        <v>100</v>
      </c>
      <c r="T28" s="713" t="s">
        <v>17</v>
      </c>
      <c r="U28" s="714">
        <f t="shared" si="13"/>
        <v>100</v>
      </c>
      <c r="V28" s="713" t="s">
        <v>17</v>
      </c>
      <c r="W28" s="714">
        <f t="shared" si="14"/>
        <v>100</v>
      </c>
      <c r="X28" s="1489"/>
      <c r="Y28" s="3560"/>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560"/>
      <c r="Q29" s="1486" t="str">
        <f t="shared" si="11"/>
        <v>成新率</v>
      </c>
      <c r="R29" s="713" t="s">
        <v>17</v>
      </c>
      <c r="S29" s="714" t="e">
        <f t="shared" si="12"/>
        <v>#N/A</v>
      </c>
      <c r="T29" s="713" t="s">
        <v>17</v>
      </c>
      <c r="U29" s="714" t="e">
        <f t="shared" si="13"/>
        <v>#N/A</v>
      </c>
      <c r="V29" s="713" t="s">
        <v>17</v>
      </c>
      <c r="W29" s="714" t="e">
        <f t="shared" si="14"/>
        <v>#N/A</v>
      </c>
      <c r="X29" s="1489"/>
      <c r="Y29" s="3560"/>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560"/>
      <c r="Q30" s="1486" t="str">
        <f t="shared" si="11"/>
        <v>物业等级</v>
      </c>
      <c r="R30" s="713" t="s">
        <v>17</v>
      </c>
      <c r="S30" s="714">
        <f t="shared" si="12"/>
        <v>100</v>
      </c>
      <c r="T30" s="713" t="s">
        <v>17</v>
      </c>
      <c r="U30" s="714">
        <f t="shared" si="13"/>
        <v>100</v>
      </c>
      <c r="V30" s="713" t="s">
        <v>17</v>
      </c>
      <c r="W30" s="714">
        <f t="shared" si="14"/>
        <v>100</v>
      </c>
      <c r="X30" s="1489"/>
      <c r="Y30" s="3560"/>
      <c r="Z30" s="1490" t="str">
        <f t="shared" si="15"/>
        <v>物业等级</v>
      </c>
      <c r="AA30" s="1487">
        <f t="shared" si="3"/>
        <v>1</v>
      </c>
      <c r="AB30" s="1487">
        <f t="shared" si="4"/>
        <v>1</v>
      </c>
      <c r="AC30" s="1487">
        <f t="shared" si="5"/>
        <v>1</v>
      </c>
    </row>
    <row r="31" spans="1:29" s="113"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560"/>
      <c r="Q31" s="1477" t="str">
        <f t="shared" si="11"/>
        <v>停车位面积</v>
      </c>
      <c r="R31" s="709" t="s">
        <v>17</v>
      </c>
      <c r="S31" s="710" t="e">
        <f t="shared" si="12"/>
        <v>#N/A</v>
      </c>
      <c r="T31" s="709" t="s">
        <v>17</v>
      </c>
      <c r="U31" s="710" t="e">
        <f t="shared" si="13"/>
        <v>#N/A</v>
      </c>
      <c r="V31" s="709" t="s">
        <v>17</v>
      </c>
      <c r="W31" s="710" t="e">
        <f t="shared" si="14"/>
        <v>#N/A</v>
      </c>
      <c r="X31" s="711"/>
      <c r="Y31" s="3560"/>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560" t="s">
        <v>2145</v>
      </c>
      <c r="Q32" s="1486" t="str">
        <f t="shared" si="11"/>
        <v>车位类型</v>
      </c>
      <c r="R32" s="713" t="s">
        <v>17</v>
      </c>
      <c r="S32" s="714">
        <f t="shared" si="12"/>
        <v>100</v>
      </c>
      <c r="T32" s="713" t="s">
        <v>17</v>
      </c>
      <c r="U32" s="714">
        <f t="shared" si="13"/>
        <v>100</v>
      </c>
      <c r="V32" s="713" t="s">
        <v>17</v>
      </c>
      <c r="W32" s="714">
        <f t="shared" si="14"/>
        <v>100</v>
      </c>
      <c r="X32" s="1489"/>
      <c r="Y32" s="3560"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560"/>
      <c r="Q33" s="1486" t="str">
        <f t="shared" si="11"/>
        <v>是否直接入户</v>
      </c>
      <c r="R33" s="713" t="s">
        <v>17</v>
      </c>
      <c r="S33" s="714">
        <f t="shared" si="12"/>
        <v>100</v>
      </c>
      <c r="T33" s="713" t="s">
        <v>17</v>
      </c>
      <c r="U33" s="714">
        <f t="shared" si="13"/>
        <v>100</v>
      </c>
      <c r="V33" s="713" t="s">
        <v>17</v>
      </c>
      <c r="W33" s="714">
        <f t="shared" si="14"/>
        <v>100</v>
      </c>
      <c r="X33" s="1489"/>
      <c r="Y33" s="3560"/>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560"/>
      <c r="Q34" s="1486">
        <f t="shared" si="11"/>
        <v>111</v>
      </c>
      <c r="R34" s="713" t="s">
        <v>17</v>
      </c>
      <c r="S34" s="714">
        <f t="shared" si="12"/>
        <v>100</v>
      </c>
      <c r="T34" s="713" t="s">
        <v>17</v>
      </c>
      <c r="U34" s="714">
        <f t="shared" si="13"/>
        <v>100</v>
      </c>
      <c r="V34" s="713" t="s">
        <v>17</v>
      </c>
      <c r="W34" s="714">
        <f t="shared" si="14"/>
        <v>100</v>
      </c>
      <c r="X34" s="1489"/>
      <c r="Y34" s="3560"/>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560"/>
      <c r="Q35" s="715">
        <f t="shared" si="11"/>
        <v>111</v>
      </c>
      <c r="R35" s="716" t="s">
        <v>17</v>
      </c>
      <c r="S35" s="717">
        <f t="shared" si="12"/>
        <v>100</v>
      </c>
      <c r="T35" s="716" t="s">
        <v>17</v>
      </c>
      <c r="U35" s="717">
        <f t="shared" si="13"/>
        <v>100</v>
      </c>
      <c r="V35" s="716" t="s">
        <v>17</v>
      </c>
      <c r="W35" s="717">
        <f t="shared" si="14"/>
        <v>100</v>
      </c>
      <c r="X35" s="718"/>
      <c r="Y35" s="3560"/>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560"/>
      <c r="Q36" s="1486">
        <f t="shared" si="11"/>
        <v>111</v>
      </c>
      <c r="R36" s="713" t="s">
        <v>17</v>
      </c>
      <c r="S36" s="714">
        <f t="shared" si="12"/>
        <v>100</v>
      </c>
      <c r="T36" s="713" t="s">
        <v>17</v>
      </c>
      <c r="U36" s="714">
        <f t="shared" si="13"/>
        <v>100</v>
      </c>
      <c r="V36" s="713" t="s">
        <v>17</v>
      </c>
      <c r="W36" s="714">
        <f t="shared" si="14"/>
        <v>100</v>
      </c>
      <c r="X36" s="1489"/>
      <c r="Y36" s="3560"/>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553" t="str">
        <f>A37</f>
        <v>成交单价</v>
      </c>
      <c r="Q37" s="3553"/>
      <c r="R37" s="3554">
        <f>E37</f>
        <v>0</v>
      </c>
      <c r="S37" s="3554"/>
      <c r="T37" s="3554">
        <f>G37</f>
        <v>0</v>
      </c>
      <c r="U37" s="3554"/>
      <c r="V37" s="3554">
        <f>I37</f>
        <v>0</v>
      </c>
      <c r="W37" s="3554"/>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553" t="str">
        <f>A38</f>
        <v>比较价值（元/平方米）</v>
      </c>
      <c r="Q38" s="3553"/>
      <c r="R38" s="3554" t="e">
        <f>IF(F1="售价",ROUND(PRODUCT(R37,AA7:AA36),0),ROUND(PRODUCT(R37,AA7:AA36),1))</f>
        <v>#DIV/0!</v>
      </c>
      <c r="S38" s="3554"/>
      <c r="T38" s="3554" t="e">
        <f>IF(F1="售价",ROUND(PRODUCT(T37,AB7:AB36),0),ROUND(PRODUCT(T37,AB7:AB36),1))</f>
        <v>#DIV/0!</v>
      </c>
      <c r="U38" s="3554"/>
      <c r="V38" s="3554" t="e">
        <f>IF(F1="售价",ROUND(PRODUCT(V37,AC7:AC36),0),ROUND(PRODUCT(V37,AC7:AC36),1))</f>
        <v>#DIV/0!</v>
      </c>
      <c r="W38" s="3554"/>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550" t="str">
        <f>A39</f>
        <v>估价对象XX用房的比较价值（楼面单价，元/平方米）</v>
      </c>
      <c r="Q39" s="3551"/>
      <c r="R39" s="3614" t="e">
        <f>IF(F1="售价",ROUND(IF(D38="简单平均",AVERAGE(R38:W38),R38*F38+T38*H38+V38*J38),0),ROUND(IF(D38="简单平均",AVERAGE(R38:V38),R38*F38+T38*H38+V38*J38),1))</f>
        <v>#DIV/0!</v>
      </c>
      <c r="S39" s="3614"/>
      <c r="T39" s="3614"/>
      <c r="U39" s="3614"/>
      <c r="V39" s="3614"/>
      <c r="W39" s="3614"/>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3"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3"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3"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3"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3"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3"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3"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568" t="s">
        <v>2226</v>
      </c>
      <c r="D4" s="3569"/>
      <c r="E4" s="3570" t="s">
        <v>2227</v>
      </c>
      <c r="F4" s="3571"/>
      <c r="G4" s="3568" t="s">
        <v>2228</v>
      </c>
      <c r="H4" s="3569"/>
      <c r="I4" s="3568" t="s">
        <v>2229</v>
      </c>
      <c r="J4" s="3569"/>
      <c r="K4" s="566" t="s">
        <v>2230</v>
      </c>
      <c r="L4" s="2893"/>
      <c r="M4" s="2894"/>
      <c r="N4" s="2894"/>
      <c r="O4" s="2894"/>
      <c r="P4" s="3572" t="s">
        <v>2231</v>
      </c>
      <c r="Q4" s="3573"/>
      <c r="R4" s="3578" t="s">
        <v>2227</v>
      </c>
      <c r="S4" s="3579"/>
      <c r="T4" s="3578" t="s">
        <v>2228</v>
      </c>
      <c r="U4" s="3579"/>
      <c r="V4" s="3584" t="s">
        <v>2229</v>
      </c>
      <c r="W4" s="3584"/>
      <c r="X4" s="1489"/>
      <c r="Y4" s="3578" t="s">
        <v>2231</v>
      </c>
      <c r="Z4" s="3579"/>
      <c r="AA4" s="3565" t="s">
        <v>2227</v>
      </c>
      <c r="AB4" s="3566" t="s">
        <v>2228</v>
      </c>
      <c r="AC4" s="3565" t="s">
        <v>2229</v>
      </c>
    </row>
    <row r="5" spans="1:29" ht="15">
      <c r="A5" s="363"/>
      <c r="B5" s="364"/>
      <c r="C5" s="3587" t="s">
        <v>2122</v>
      </c>
      <c r="D5" s="3588"/>
      <c r="E5" s="3594" t="s">
        <v>2123</v>
      </c>
      <c r="F5" s="3595"/>
      <c r="G5" s="3587" t="s">
        <v>2124</v>
      </c>
      <c r="H5" s="3588"/>
      <c r="I5" s="3587" t="s">
        <v>2125</v>
      </c>
      <c r="J5" s="3588"/>
      <c r="K5" s="566"/>
      <c r="L5" s="2893"/>
      <c r="M5" s="2894"/>
      <c r="N5" s="2894"/>
      <c r="O5" s="2894"/>
      <c r="P5" s="3574"/>
      <c r="Q5" s="3575"/>
      <c r="R5" s="3580"/>
      <c r="S5" s="3581"/>
      <c r="T5" s="3580"/>
      <c r="U5" s="3581"/>
      <c r="V5" s="3584"/>
      <c r="W5" s="3584"/>
      <c r="X5" s="1489"/>
      <c r="Y5" s="3580"/>
      <c r="Z5" s="3581"/>
      <c r="AA5" s="3566"/>
      <c r="AB5" s="3566"/>
      <c r="AC5" s="3566"/>
    </row>
    <row r="6" spans="1:29" ht="15.75" thickBot="1">
      <c r="A6" s="365"/>
      <c r="B6" s="366"/>
      <c r="C6" s="3585" t="s">
        <v>2126</v>
      </c>
      <c r="D6" s="3586"/>
      <c r="E6" s="3592" t="s">
        <v>2126</v>
      </c>
      <c r="F6" s="3593"/>
      <c r="G6" s="3585" t="s">
        <v>2126</v>
      </c>
      <c r="H6" s="3586"/>
      <c r="I6" s="3585" t="s">
        <v>2126</v>
      </c>
      <c r="J6" s="3586"/>
      <c r="K6" s="566" t="s">
        <v>2127</v>
      </c>
      <c r="L6" s="2893"/>
      <c r="M6" s="2894"/>
      <c r="N6" s="2894"/>
      <c r="O6" s="2894"/>
      <c r="P6" s="3576"/>
      <c r="Q6" s="3577"/>
      <c r="R6" s="3580"/>
      <c r="S6" s="3581"/>
      <c r="T6" s="3582"/>
      <c r="U6" s="3583"/>
      <c r="V6" s="3584"/>
      <c r="W6" s="3584"/>
      <c r="X6" s="1489"/>
      <c r="Y6" s="3582"/>
      <c r="Z6" s="3583"/>
      <c r="AA6" s="3567"/>
      <c r="AB6" s="3567"/>
      <c r="AC6" s="3567"/>
    </row>
    <row r="7" spans="1:29" s="113" customFormat="1" ht="15.75" thickBot="1">
      <c r="A7" s="367" t="s">
        <v>2128</v>
      </c>
      <c r="B7" s="368"/>
      <c r="C7" s="369">
        <f>'数据-取费表'!B2</f>
        <v>44820</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589" t="s">
        <v>2129</v>
      </c>
      <c r="Q7" s="3591"/>
      <c r="R7" s="709" t="s">
        <v>17</v>
      </c>
      <c r="S7" s="710">
        <f t="shared" ref="S7:S14" si="0">F7</f>
        <v>0</v>
      </c>
      <c r="T7" s="709" t="s">
        <v>17</v>
      </c>
      <c r="U7" s="710">
        <f t="shared" ref="U7:U14" si="1">H7</f>
        <v>0</v>
      </c>
      <c r="V7" s="709" t="s">
        <v>17</v>
      </c>
      <c r="W7" s="710">
        <f t="shared" ref="W7:W14" si="2">J7</f>
        <v>0</v>
      </c>
      <c r="X7" s="711"/>
      <c r="Y7" s="3589" t="s">
        <v>2129</v>
      </c>
      <c r="Z7" s="3590"/>
      <c r="AA7" s="712" t="e">
        <f>D7/F7</f>
        <v>#DIV/0!</v>
      </c>
      <c r="AB7" s="712" t="e">
        <f>D7/H7</f>
        <v>#DIV/0!</v>
      </c>
      <c r="AC7" s="712" t="e">
        <f>D7/J7</f>
        <v>#DIV/0!</v>
      </c>
    </row>
    <row r="8" spans="1:29" s="113"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589" t="s">
        <v>2132</v>
      </c>
      <c r="Q8" s="3590"/>
      <c r="R8" s="709" t="s">
        <v>17</v>
      </c>
      <c r="S8" s="710">
        <f t="shared" si="0"/>
        <v>0</v>
      </c>
      <c r="T8" s="709" t="s">
        <v>17</v>
      </c>
      <c r="U8" s="710">
        <f t="shared" si="1"/>
        <v>0</v>
      </c>
      <c r="V8" s="709" t="s">
        <v>17</v>
      </c>
      <c r="W8" s="710">
        <f t="shared" si="2"/>
        <v>0</v>
      </c>
      <c r="X8" s="711"/>
      <c r="Y8" s="3589" t="s">
        <v>2132</v>
      </c>
      <c r="Z8" s="3590"/>
      <c r="AA8" s="712" t="e">
        <f t="shared" ref="AA8:AA34" si="3">D8/F8</f>
        <v>#DIV/0!</v>
      </c>
      <c r="AB8" s="712" t="e">
        <f t="shared" ref="AB8:AB34" si="4">D8/H8</f>
        <v>#DIV/0!</v>
      </c>
      <c r="AC8" s="712" t="e">
        <f t="shared" ref="AC8:AC34" si="5">D8/J8</f>
        <v>#DIV/0!</v>
      </c>
    </row>
    <row r="9" spans="1:29" s="113"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553" t="s">
        <v>2135</v>
      </c>
      <c r="Q9" s="1477" t="str">
        <f t="shared" ref="Q9:Q14" si="6">B9</f>
        <v>用途</v>
      </c>
      <c r="R9" s="709" t="s">
        <v>17</v>
      </c>
      <c r="S9" s="710">
        <f t="shared" si="0"/>
        <v>100</v>
      </c>
      <c r="T9" s="709" t="s">
        <v>17</v>
      </c>
      <c r="U9" s="710">
        <f t="shared" si="1"/>
        <v>100</v>
      </c>
      <c r="V9" s="709" t="s">
        <v>17</v>
      </c>
      <c r="W9" s="710">
        <f t="shared" si="2"/>
        <v>100</v>
      </c>
      <c r="X9" s="711"/>
      <c r="Y9" s="3425"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553"/>
      <c r="Q10" s="1477" t="str">
        <f t="shared" si="6"/>
        <v>土地使用年限（年）</v>
      </c>
      <c r="R10" s="709" t="s">
        <v>17</v>
      </c>
      <c r="S10" s="710">
        <f t="shared" si="0"/>
        <v>100</v>
      </c>
      <c r="T10" s="709" t="s">
        <v>17</v>
      </c>
      <c r="U10" s="710">
        <f t="shared" si="1"/>
        <v>100</v>
      </c>
      <c r="V10" s="709" t="s">
        <v>17</v>
      </c>
      <c r="W10" s="710">
        <f t="shared" si="2"/>
        <v>100</v>
      </c>
      <c r="X10" s="711"/>
      <c r="Y10" s="3425"/>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553"/>
      <c r="Q11" s="1477">
        <f t="shared" si="6"/>
        <v>111</v>
      </c>
      <c r="R11" s="709" t="s">
        <v>17</v>
      </c>
      <c r="S11" s="710">
        <f t="shared" si="0"/>
        <v>100</v>
      </c>
      <c r="T11" s="709" t="s">
        <v>17</v>
      </c>
      <c r="U11" s="710">
        <f t="shared" si="1"/>
        <v>100</v>
      </c>
      <c r="V11" s="709" t="s">
        <v>17</v>
      </c>
      <c r="W11" s="710">
        <f t="shared" si="2"/>
        <v>100</v>
      </c>
      <c r="X11" s="711"/>
      <c r="Y11" s="3425"/>
      <c r="Z11" s="55">
        <f t="shared" si="7"/>
        <v>111</v>
      </c>
      <c r="AA11" s="712">
        <f t="shared" si="3"/>
        <v>1</v>
      </c>
      <c r="AB11" s="712">
        <f t="shared" si="4"/>
        <v>1</v>
      </c>
      <c r="AC11" s="712">
        <f t="shared" si="5"/>
        <v>1</v>
      </c>
    </row>
    <row r="12" spans="1:29" s="113"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553"/>
      <c r="Q12" s="1477">
        <f t="shared" si="6"/>
        <v>111</v>
      </c>
      <c r="R12" s="709" t="s">
        <v>17</v>
      </c>
      <c r="S12" s="710">
        <f t="shared" si="0"/>
        <v>100</v>
      </c>
      <c r="T12" s="709" t="s">
        <v>17</v>
      </c>
      <c r="U12" s="710">
        <f t="shared" si="1"/>
        <v>100</v>
      </c>
      <c r="V12" s="709" t="s">
        <v>17</v>
      </c>
      <c r="W12" s="710">
        <f t="shared" si="2"/>
        <v>100</v>
      </c>
      <c r="X12" s="711"/>
      <c r="Y12" s="3425"/>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553"/>
      <c r="Q13" s="1477">
        <f t="shared" si="6"/>
        <v>111</v>
      </c>
      <c r="R13" s="709" t="s">
        <v>17</v>
      </c>
      <c r="S13" s="710">
        <f t="shared" si="0"/>
        <v>100</v>
      </c>
      <c r="T13" s="709" t="s">
        <v>17</v>
      </c>
      <c r="U13" s="710">
        <f t="shared" si="1"/>
        <v>100</v>
      </c>
      <c r="V13" s="709" t="s">
        <v>17</v>
      </c>
      <c r="W13" s="710">
        <f t="shared" si="2"/>
        <v>100</v>
      </c>
      <c r="X13" s="711"/>
      <c r="Y13" s="3425"/>
      <c r="Z13" s="55">
        <f t="shared" si="7"/>
        <v>111</v>
      </c>
      <c r="AA13" s="712">
        <f t="shared" si="3"/>
        <v>1</v>
      </c>
      <c r="AB13" s="712">
        <f t="shared" si="4"/>
        <v>1</v>
      </c>
      <c r="AC13" s="712">
        <f t="shared" si="5"/>
        <v>1</v>
      </c>
    </row>
    <row r="14" spans="1:29" ht="171">
      <c r="A14" s="398" t="s">
        <v>2139</v>
      </c>
      <c r="B14" s="65" t="s">
        <v>2289</v>
      </c>
      <c r="C14" s="2107" t="str">
        <f>IF(B1="工业",估价对象房地状况!G4,估价对象房地状况!C6)</f>
        <v>估价对象为距离东二环约600米，北侧临近工人体育场北路，周边有3路、4路、113路、115录吧、406路等公交通行，距离地铁2号线东四十条站约700米，交通便捷度较好。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555" t="s">
        <v>2140</v>
      </c>
      <c r="Q14" s="1486" t="str">
        <f t="shared" si="6"/>
        <v>交通便捷度</v>
      </c>
      <c r="R14" s="713" t="s">
        <v>17</v>
      </c>
      <c r="S14" s="714">
        <f t="shared" si="0"/>
        <v>100</v>
      </c>
      <c r="T14" s="713" t="s">
        <v>17</v>
      </c>
      <c r="U14" s="714">
        <f t="shared" si="1"/>
        <v>100</v>
      </c>
      <c r="V14" s="713" t="s">
        <v>17</v>
      </c>
      <c r="W14" s="714">
        <f t="shared" si="2"/>
        <v>100</v>
      </c>
      <c r="X14" s="1489"/>
      <c r="Y14" s="3555"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556"/>
      <c r="Q15" s="1486"/>
      <c r="R15" s="713"/>
      <c r="S15" s="714"/>
      <c r="T15" s="713"/>
      <c r="U15" s="714"/>
      <c r="V15" s="713"/>
      <c r="W15" s="714"/>
      <c r="X15" s="1489"/>
      <c r="Y15" s="3556"/>
      <c r="Z15" s="1490"/>
      <c r="AA15" s="1487">
        <v>1</v>
      </c>
      <c r="AB15" s="1487">
        <v>1</v>
      </c>
      <c r="AC15" s="1487">
        <v>1</v>
      </c>
    </row>
    <row r="16" spans="1:29" ht="313.5">
      <c r="A16" s="386"/>
      <c r="B16" s="409" t="s">
        <v>2268</v>
      </c>
      <c r="C16" s="2036" t="str">
        <f>IF(B1="工业",估价对象房地状况!G5,估价对象房地状况!C7)</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556"/>
      <c r="Q16" s="1486" t="str">
        <f>B16</f>
        <v>公共配套设施</v>
      </c>
      <c r="R16" s="713" t="s">
        <v>17</v>
      </c>
      <c r="S16" s="714">
        <f>F16</f>
        <v>100</v>
      </c>
      <c r="T16" s="713" t="s">
        <v>17</v>
      </c>
      <c r="U16" s="714">
        <f>H16</f>
        <v>100</v>
      </c>
      <c r="V16" s="713" t="s">
        <v>17</v>
      </c>
      <c r="W16" s="714">
        <f>J16</f>
        <v>100</v>
      </c>
      <c r="X16" s="1489"/>
      <c r="Y16" s="3556"/>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556"/>
      <c r="Q17" s="1486"/>
      <c r="R17" s="713"/>
      <c r="S17" s="714"/>
      <c r="T17" s="713"/>
      <c r="U17" s="714"/>
      <c r="V17" s="713"/>
      <c r="W17" s="714"/>
      <c r="X17" s="1489"/>
      <c r="Y17" s="3556"/>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556"/>
      <c r="Q18" s="1486" t="str">
        <f>B18</f>
        <v>基础设施水平</v>
      </c>
      <c r="R18" s="713" t="s">
        <v>17</v>
      </c>
      <c r="S18" s="714">
        <f>F18</f>
        <v>100</v>
      </c>
      <c r="T18" s="713" t="s">
        <v>17</v>
      </c>
      <c r="U18" s="714">
        <f>H18</f>
        <v>100</v>
      </c>
      <c r="V18" s="713" t="s">
        <v>17</v>
      </c>
      <c r="W18" s="714">
        <f>J18</f>
        <v>100</v>
      </c>
      <c r="X18" s="1489"/>
      <c r="Y18" s="3556"/>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556"/>
      <c r="Q19" s="1486"/>
      <c r="R19" s="713"/>
      <c r="S19" s="714"/>
      <c r="T19" s="713"/>
      <c r="U19" s="714"/>
      <c r="V19" s="713"/>
      <c r="W19" s="714"/>
      <c r="X19" s="1489"/>
      <c r="Y19" s="3556"/>
      <c r="Z19" s="1490"/>
      <c r="AA19" s="1487">
        <v>1</v>
      </c>
      <c r="AB19" s="1487">
        <v>1</v>
      </c>
      <c r="AC19" s="1487">
        <v>1</v>
      </c>
    </row>
    <row r="20" spans="1:29" ht="85.5">
      <c r="A20" s="386"/>
      <c r="B20" s="409" t="s">
        <v>2290</v>
      </c>
      <c r="C20" s="2036" t="str">
        <f>IF(B1="工业",估价对象房地状况!G7,估价对象房地状况!C9)</f>
        <v>区域自然环境：东岳庙；人文环境：北京工人体育场、保利剧院；综合评价环境状况较好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556"/>
      <c r="Q20" s="1486" t="str">
        <f>B20</f>
        <v>自然及人文环境</v>
      </c>
      <c r="R20" s="713" t="s">
        <v>17</v>
      </c>
      <c r="S20" s="714">
        <f>F20</f>
        <v>100</v>
      </c>
      <c r="T20" s="713" t="s">
        <v>17</v>
      </c>
      <c r="U20" s="714">
        <f>H20</f>
        <v>100</v>
      </c>
      <c r="V20" s="713" t="s">
        <v>17</v>
      </c>
      <c r="W20" s="714">
        <f>J20</f>
        <v>100</v>
      </c>
      <c r="X20" s="1489"/>
      <c r="Y20" s="3556"/>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556"/>
      <c r="Q21" s="1486"/>
      <c r="R21" s="713"/>
      <c r="S21" s="714"/>
      <c r="T21" s="713"/>
      <c r="U21" s="714"/>
      <c r="V21" s="713"/>
      <c r="W21" s="714"/>
      <c r="X21" s="1489"/>
      <c r="Y21" s="3556"/>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556"/>
      <c r="Q22" s="1486" t="str">
        <f>B22</f>
        <v>楼层</v>
      </c>
      <c r="R22" s="713" t="s">
        <v>17</v>
      </c>
      <c r="S22" s="714">
        <f>F22</f>
        <v>100</v>
      </c>
      <c r="T22" s="713" t="s">
        <v>17</v>
      </c>
      <c r="U22" s="714">
        <f>H22</f>
        <v>100</v>
      </c>
      <c r="V22" s="713" t="s">
        <v>17</v>
      </c>
      <c r="W22" s="714">
        <f>J22</f>
        <v>100</v>
      </c>
      <c r="X22" s="1489"/>
      <c r="Y22" s="3556"/>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556"/>
      <c r="Q23" s="1486">
        <f>B23</f>
        <v>111</v>
      </c>
      <c r="R23" s="713" t="s">
        <v>17</v>
      </c>
      <c r="S23" s="714">
        <f>F23</f>
        <v>100</v>
      </c>
      <c r="T23" s="713" t="s">
        <v>17</v>
      </c>
      <c r="U23" s="714">
        <f>H23</f>
        <v>100</v>
      </c>
      <c r="V23" s="713" t="s">
        <v>17</v>
      </c>
      <c r="W23" s="714">
        <f>J23</f>
        <v>100</v>
      </c>
      <c r="X23" s="1489"/>
      <c r="Y23" s="3556"/>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556"/>
      <c r="Q24" s="1486">
        <f t="shared" ref="Q24:Q34" si="11">B24</f>
        <v>111</v>
      </c>
      <c r="R24" s="713" t="s">
        <v>17</v>
      </c>
      <c r="S24" s="714">
        <f>F24</f>
        <v>100</v>
      </c>
      <c r="T24" s="713" t="s">
        <v>17</v>
      </c>
      <c r="U24" s="714">
        <f>H24</f>
        <v>100</v>
      </c>
      <c r="V24" s="713" t="s">
        <v>17</v>
      </c>
      <c r="W24" s="714">
        <f>J24</f>
        <v>100</v>
      </c>
      <c r="X24" s="1489"/>
      <c r="Y24" s="3556"/>
      <c r="Z24" s="1490">
        <f>Q24</f>
        <v>111</v>
      </c>
      <c r="AA24" s="1487">
        <f t="shared" si="3"/>
        <v>1</v>
      </c>
      <c r="AB24" s="1487">
        <f t="shared" si="4"/>
        <v>1</v>
      </c>
      <c r="AC24" s="1487">
        <f t="shared" si="5"/>
        <v>1</v>
      </c>
    </row>
    <row r="25" spans="1:29" s="113"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556"/>
      <c r="Q25" s="1477">
        <f t="shared" si="11"/>
        <v>111</v>
      </c>
      <c r="R25" s="709" t="s">
        <v>17</v>
      </c>
      <c r="S25" s="710">
        <f>F25</f>
        <v>100</v>
      </c>
      <c r="T25" s="709" t="s">
        <v>17</v>
      </c>
      <c r="U25" s="710">
        <f>H25</f>
        <v>100</v>
      </c>
      <c r="V25" s="709" t="s">
        <v>17</v>
      </c>
      <c r="W25" s="710">
        <f>J25</f>
        <v>100</v>
      </c>
      <c r="X25" s="711"/>
      <c r="Y25" s="3556"/>
      <c r="Z25" s="55">
        <f>Q25</f>
        <v>111</v>
      </c>
      <c r="AA25" s="1487">
        <f>D25/F25</f>
        <v>1</v>
      </c>
      <c r="AB25" s="1487">
        <f>D25/H25</f>
        <v>1</v>
      </c>
      <c r="AC25" s="1487">
        <f>D25/J25</f>
        <v>1</v>
      </c>
    </row>
    <row r="26" spans="1:29" ht="28.5">
      <c r="A26" s="424" t="s">
        <v>2143</v>
      </c>
      <c r="B26" s="67"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613"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60"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560"/>
      <c r="Q27" s="715" t="str">
        <f t="shared" si="11"/>
        <v>成新率</v>
      </c>
      <c r="R27" s="716" t="s">
        <v>17</v>
      </c>
      <c r="S27" s="717" t="e">
        <f t="shared" si="12"/>
        <v>#N/A</v>
      </c>
      <c r="T27" s="716" t="s">
        <v>17</v>
      </c>
      <c r="U27" s="717" t="e">
        <f t="shared" si="13"/>
        <v>#N/A</v>
      </c>
      <c r="V27" s="716" t="s">
        <v>17</v>
      </c>
      <c r="W27" s="717" t="e">
        <f t="shared" si="14"/>
        <v>#N/A</v>
      </c>
      <c r="X27" s="718"/>
      <c r="Y27" s="3560"/>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560"/>
      <c r="Q28" s="1486" t="str">
        <f t="shared" si="11"/>
        <v>物业等级</v>
      </c>
      <c r="R28" s="713" t="s">
        <v>17</v>
      </c>
      <c r="S28" s="714">
        <f t="shared" si="12"/>
        <v>100</v>
      </c>
      <c r="T28" s="713" t="s">
        <v>17</v>
      </c>
      <c r="U28" s="714">
        <f t="shared" si="13"/>
        <v>100</v>
      </c>
      <c r="V28" s="713" t="s">
        <v>17</v>
      </c>
      <c r="W28" s="714">
        <f t="shared" si="14"/>
        <v>100</v>
      </c>
      <c r="X28" s="1489"/>
      <c r="Y28" s="3560"/>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560"/>
      <c r="Q29" s="1486" t="str">
        <f t="shared" si="11"/>
        <v>有无电梯</v>
      </c>
      <c r="R29" s="713" t="s">
        <v>17</v>
      </c>
      <c r="S29" s="714">
        <f t="shared" si="12"/>
        <v>100</v>
      </c>
      <c r="T29" s="713" t="s">
        <v>17</v>
      </c>
      <c r="U29" s="714">
        <f t="shared" si="13"/>
        <v>100</v>
      </c>
      <c r="V29" s="713" t="s">
        <v>17</v>
      </c>
      <c r="W29" s="714">
        <f t="shared" si="14"/>
        <v>100</v>
      </c>
      <c r="X29" s="1489"/>
      <c r="Y29" s="3560"/>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560"/>
      <c r="Q30" s="1486" t="str">
        <f t="shared" si="11"/>
        <v>建筑面积</v>
      </c>
      <c r="R30" s="713" t="s">
        <v>17</v>
      </c>
      <c r="S30" s="714" t="e">
        <f t="shared" si="12"/>
        <v>#N/A</v>
      </c>
      <c r="T30" s="713" t="s">
        <v>17</v>
      </c>
      <c r="U30" s="714" t="e">
        <f t="shared" si="13"/>
        <v>#N/A</v>
      </c>
      <c r="V30" s="713" t="s">
        <v>17</v>
      </c>
      <c r="W30" s="714" t="e">
        <f t="shared" si="14"/>
        <v>#N/A</v>
      </c>
      <c r="X30" s="1489"/>
      <c r="Y30" s="3560"/>
      <c r="Z30" s="1490" t="str">
        <f t="shared" si="15"/>
        <v>建筑面积</v>
      </c>
      <c r="AA30" s="1487" t="e">
        <f t="shared" si="3"/>
        <v>#N/A</v>
      </c>
      <c r="AB30" s="1487" t="e">
        <f t="shared" si="4"/>
        <v>#N/A</v>
      </c>
      <c r="AC30" s="1487" t="e">
        <f t="shared" si="5"/>
        <v>#N/A</v>
      </c>
    </row>
    <row r="31" spans="1:29" s="113"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560"/>
      <c r="Q31" s="1477" t="str">
        <f t="shared" si="11"/>
        <v>是否封闭</v>
      </c>
      <c r="R31" s="709" t="s">
        <v>17</v>
      </c>
      <c r="S31" s="710">
        <f t="shared" si="12"/>
        <v>100</v>
      </c>
      <c r="T31" s="709" t="s">
        <v>17</v>
      </c>
      <c r="U31" s="710">
        <f t="shared" si="13"/>
        <v>100</v>
      </c>
      <c r="V31" s="709" t="s">
        <v>17</v>
      </c>
      <c r="W31" s="710">
        <f t="shared" si="14"/>
        <v>100</v>
      </c>
      <c r="X31" s="711"/>
      <c r="Y31" s="3560"/>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560" t="s">
        <v>2145</v>
      </c>
      <c r="Q32" s="1486">
        <f t="shared" si="11"/>
        <v>111</v>
      </c>
      <c r="R32" s="713" t="s">
        <v>17</v>
      </c>
      <c r="S32" s="714">
        <f t="shared" si="12"/>
        <v>100</v>
      </c>
      <c r="T32" s="713" t="s">
        <v>17</v>
      </c>
      <c r="U32" s="714">
        <f t="shared" si="13"/>
        <v>100</v>
      </c>
      <c r="V32" s="713" t="s">
        <v>17</v>
      </c>
      <c r="W32" s="714">
        <f t="shared" si="14"/>
        <v>100</v>
      </c>
      <c r="X32" s="1489"/>
      <c r="Y32" s="3560"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560"/>
      <c r="Q33" s="1486">
        <f t="shared" si="11"/>
        <v>111</v>
      </c>
      <c r="R33" s="713" t="s">
        <v>17</v>
      </c>
      <c r="S33" s="714">
        <f t="shared" si="12"/>
        <v>100</v>
      </c>
      <c r="T33" s="713" t="s">
        <v>17</v>
      </c>
      <c r="U33" s="714">
        <f t="shared" si="13"/>
        <v>100</v>
      </c>
      <c r="V33" s="713" t="s">
        <v>17</v>
      </c>
      <c r="W33" s="714">
        <f t="shared" si="14"/>
        <v>100</v>
      </c>
      <c r="X33" s="1489"/>
      <c r="Y33" s="3560"/>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560"/>
      <c r="Q34" s="1486">
        <f t="shared" si="11"/>
        <v>111</v>
      </c>
      <c r="R34" s="713" t="s">
        <v>17</v>
      </c>
      <c r="S34" s="714">
        <f t="shared" si="12"/>
        <v>100</v>
      </c>
      <c r="T34" s="713" t="s">
        <v>17</v>
      </c>
      <c r="U34" s="714">
        <f t="shared" si="13"/>
        <v>100</v>
      </c>
      <c r="V34" s="713" t="s">
        <v>17</v>
      </c>
      <c r="W34" s="714">
        <f t="shared" si="14"/>
        <v>100</v>
      </c>
      <c r="X34" s="1489"/>
      <c r="Y34" s="3560"/>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553" t="str">
        <f>A35</f>
        <v>成交单价（元/平方米）</v>
      </c>
      <c r="Q35" s="3553"/>
      <c r="R35" s="3554">
        <f>E35</f>
        <v>0</v>
      </c>
      <c r="S35" s="3554"/>
      <c r="T35" s="3554">
        <f>G35</f>
        <v>0</v>
      </c>
      <c r="U35" s="3554"/>
      <c r="V35" s="3554">
        <f>I35</f>
        <v>0</v>
      </c>
      <c r="W35" s="3554"/>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553" t="str">
        <f>A36</f>
        <v>比较价值（元/平方米）</v>
      </c>
      <c r="Q36" s="3553"/>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550" t="str">
        <f>A37</f>
        <v>估价对象XX用房的比较价值（楼面单价，元/平方米）</v>
      </c>
      <c r="Q37" s="3551"/>
      <c r="R37" s="3614" t="e">
        <f>IF(F1="售价",ROUND(IF(D36="简单平均",AVERAGE(R36:W36),R36*F36+T36*H36+V36*J36),0),ROUND(IF(D36="简单平均",AVERAGE(R36:V36),R36*F36+T36*H36+V36*J36),1))</f>
        <v>#DIV/0!</v>
      </c>
      <c r="S37" s="3614"/>
      <c r="T37" s="3614"/>
      <c r="U37" s="3614"/>
      <c r="V37" s="3614"/>
      <c r="W37" s="3614"/>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3"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3"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568" t="s">
        <v>2226</v>
      </c>
      <c r="D4" s="3569"/>
      <c r="E4" s="3570" t="s">
        <v>2227</v>
      </c>
      <c r="F4" s="3571"/>
      <c r="G4" s="3568" t="s">
        <v>2228</v>
      </c>
      <c r="H4" s="3569"/>
      <c r="I4" s="3568" t="s">
        <v>2229</v>
      </c>
      <c r="J4" s="3569"/>
      <c r="K4" s="566" t="s">
        <v>2230</v>
      </c>
      <c r="L4" s="2893"/>
      <c r="M4" s="2894"/>
      <c r="N4" s="2894"/>
      <c r="O4" s="2894"/>
      <c r="P4" s="3572" t="s">
        <v>2231</v>
      </c>
      <c r="Q4" s="3573"/>
      <c r="R4" s="3578" t="s">
        <v>2227</v>
      </c>
      <c r="S4" s="3579"/>
      <c r="T4" s="3578" t="s">
        <v>2228</v>
      </c>
      <c r="U4" s="3579"/>
      <c r="V4" s="3584" t="s">
        <v>2229</v>
      </c>
      <c r="W4" s="3584"/>
      <c r="X4" s="1489"/>
      <c r="Y4" s="3578" t="s">
        <v>2231</v>
      </c>
      <c r="Z4" s="3579"/>
      <c r="AA4" s="3565" t="s">
        <v>2227</v>
      </c>
      <c r="AB4" s="3566" t="s">
        <v>2228</v>
      </c>
      <c r="AC4" s="3565" t="s">
        <v>2229</v>
      </c>
    </row>
    <row r="5" spans="1:30" ht="15">
      <c r="A5" s="363"/>
      <c r="B5" s="364"/>
      <c r="C5" s="3587" t="s">
        <v>2122</v>
      </c>
      <c r="D5" s="3588"/>
      <c r="E5" s="3594" t="s">
        <v>2123</v>
      </c>
      <c r="F5" s="3595"/>
      <c r="G5" s="3587" t="s">
        <v>2124</v>
      </c>
      <c r="H5" s="3588"/>
      <c r="I5" s="3587" t="s">
        <v>2125</v>
      </c>
      <c r="J5" s="3588"/>
      <c r="K5" s="566"/>
      <c r="L5" s="2893"/>
      <c r="M5" s="2894"/>
      <c r="N5" s="2894"/>
      <c r="O5" s="2894"/>
      <c r="P5" s="3574"/>
      <c r="Q5" s="3575"/>
      <c r="R5" s="3580"/>
      <c r="S5" s="3581"/>
      <c r="T5" s="3580"/>
      <c r="U5" s="3581"/>
      <c r="V5" s="3584"/>
      <c r="W5" s="3584"/>
      <c r="X5" s="1489"/>
      <c r="Y5" s="3580"/>
      <c r="Z5" s="3581"/>
      <c r="AA5" s="3566"/>
      <c r="AB5" s="3566"/>
      <c r="AC5" s="3566"/>
    </row>
    <row r="6" spans="1:30" ht="15.75" thickBot="1">
      <c r="A6" s="365"/>
      <c r="B6" s="366"/>
      <c r="C6" s="3585" t="s">
        <v>2126</v>
      </c>
      <c r="D6" s="3586"/>
      <c r="E6" s="3592" t="s">
        <v>2126</v>
      </c>
      <c r="F6" s="3593"/>
      <c r="G6" s="3585" t="s">
        <v>2126</v>
      </c>
      <c r="H6" s="3586"/>
      <c r="I6" s="3585" t="s">
        <v>2126</v>
      </c>
      <c r="J6" s="3586"/>
      <c r="K6" s="566" t="s">
        <v>2127</v>
      </c>
      <c r="L6" s="2893"/>
      <c r="M6" s="2894"/>
      <c r="N6" s="2894"/>
      <c r="O6" s="2894"/>
      <c r="P6" s="3576"/>
      <c r="Q6" s="3577"/>
      <c r="R6" s="3580"/>
      <c r="S6" s="3581"/>
      <c r="T6" s="3582"/>
      <c r="U6" s="3583"/>
      <c r="V6" s="3584"/>
      <c r="W6" s="3584"/>
      <c r="X6" s="1489"/>
      <c r="Y6" s="3582"/>
      <c r="Z6" s="3583"/>
      <c r="AA6" s="3567"/>
      <c r="AB6" s="3567"/>
      <c r="AC6" s="3567"/>
    </row>
    <row r="7" spans="1:30" s="113" customFormat="1" ht="15.75" thickBot="1">
      <c r="A7" s="367" t="s">
        <v>2128</v>
      </c>
      <c r="B7" s="368"/>
      <c r="C7" s="369">
        <f>'数据-取费表'!B2</f>
        <v>44820</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589" t="s">
        <v>2129</v>
      </c>
      <c r="Q7" s="3591"/>
      <c r="R7" s="709" t="s">
        <v>17</v>
      </c>
      <c r="S7" s="710">
        <f t="shared" ref="S7:S15" si="0">F7</f>
        <v>0</v>
      </c>
      <c r="T7" s="709" t="s">
        <v>17</v>
      </c>
      <c r="U7" s="710">
        <f t="shared" ref="U7:U15" si="1">H7</f>
        <v>0</v>
      </c>
      <c r="V7" s="709" t="s">
        <v>17</v>
      </c>
      <c r="W7" s="710">
        <f t="shared" ref="W7:W15" si="2">J7</f>
        <v>0</v>
      </c>
      <c r="X7" s="711"/>
      <c r="Y7" s="3589" t="s">
        <v>2129</v>
      </c>
      <c r="Z7" s="3590"/>
      <c r="AA7" s="712" t="e">
        <f>D7/F7</f>
        <v>#DIV/0!</v>
      </c>
      <c r="AB7" s="712" t="e">
        <f>D7/H7</f>
        <v>#DIV/0!</v>
      </c>
      <c r="AC7" s="712" t="e">
        <f>D7/J7</f>
        <v>#DIV/0!</v>
      </c>
    </row>
    <row r="8" spans="1:30" s="113"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589" t="s">
        <v>2132</v>
      </c>
      <c r="Q8" s="3590"/>
      <c r="R8" s="709" t="s">
        <v>17</v>
      </c>
      <c r="S8" s="710">
        <f t="shared" si="0"/>
        <v>0</v>
      </c>
      <c r="T8" s="709" t="s">
        <v>17</v>
      </c>
      <c r="U8" s="710">
        <f t="shared" si="1"/>
        <v>0</v>
      </c>
      <c r="V8" s="709" t="s">
        <v>17</v>
      </c>
      <c r="W8" s="710">
        <f t="shared" si="2"/>
        <v>0</v>
      </c>
      <c r="X8" s="711"/>
      <c r="Y8" s="3589" t="s">
        <v>2132</v>
      </c>
      <c r="Z8" s="3590"/>
      <c r="AA8" s="712" t="e">
        <f t="shared" ref="AA8:AA45" si="3">D8/F8</f>
        <v>#DIV/0!</v>
      </c>
      <c r="AB8" s="712" t="e">
        <f t="shared" ref="AB8:AB45" si="4">D8/H8</f>
        <v>#DIV/0!</v>
      </c>
      <c r="AC8" s="712" t="e">
        <f t="shared" ref="AC8:AC45" si="5">D8/J8</f>
        <v>#DIV/0!</v>
      </c>
    </row>
    <row r="9" spans="1:30" s="113" customFormat="1">
      <c r="A9" s="374" t="s">
        <v>2133</v>
      </c>
      <c r="B9" s="67"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553" t="s">
        <v>2135</v>
      </c>
      <c r="Q9" s="1477" t="str">
        <f t="shared" ref="Q9:Q15" si="6">B9</f>
        <v>用途</v>
      </c>
      <c r="R9" s="709" t="s">
        <v>17</v>
      </c>
      <c r="S9" s="710">
        <f t="shared" si="0"/>
        <v>100</v>
      </c>
      <c r="T9" s="709" t="s">
        <v>17</v>
      </c>
      <c r="U9" s="710">
        <f t="shared" si="1"/>
        <v>100</v>
      </c>
      <c r="V9" s="709" t="s">
        <v>17</v>
      </c>
      <c r="W9" s="710">
        <f t="shared" si="2"/>
        <v>100</v>
      </c>
      <c r="X9" s="711"/>
      <c r="Y9" s="3425" t="s">
        <v>2136</v>
      </c>
      <c r="Z9" s="55"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129</v>
      </c>
      <c r="G10" s="421"/>
      <c r="H10" s="131">
        <f>ROUND(100/'数据-取费表'!G16,0)</f>
        <v>129</v>
      </c>
      <c r="I10" s="421"/>
      <c r="J10" s="131">
        <f>ROUND(100/'数据-取费表'!G16,0)</f>
        <v>129</v>
      </c>
      <c r="K10" s="627"/>
      <c r="L10" s="2897"/>
      <c r="M10" s="2898"/>
      <c r="N10" s="2898"/>
      <c r="O10" s="2951"/>
      <c r="P10" s="3553"/>
      <c r="Q10" s="1477" t="str">
        <f t="shared" si="6"/>
        <v>土地使用年限（年）</v>
      </c>
      <c r="R10" s="709" t="s">
        <v>17</v>
      </c>
      <c r="S10" s="710">
        <f t="shared" si="0"/>
        <v>129</v>
      </c>
      <c r="T10" s="709" t="s">
        <v>17</v>
      </c>
      <c r="U10" s="710">
        <f t="shared" si="1"/>
        <v>129</v>
      </c>
      <c r="V10" s="709" t="s">
        <v>17</v>
      </c>
      <c r="W10" s="710">
        <f t="shared" si="2"/>
        <v>129</v>
      </c>
      <c r="X10" s="711"/>
      <c r="Y10" s="3425"/>
      <c r="Z10" s="55" t="str">
        <f t="shared" si="7"/>
        <v>土地使用年限（年）</v>
      </c>
      <c r="AA10" s="712">
        <f t="shared" si="3"/>
        <v>0.77519379844961245</v>
      </c>
      <c r="AB10" s="712">
        <f t="shared" si="4"/>
        <v>0.77519379844961245</v>
      </c>
      <c r="AC10" s="712">
        <f t="shared" si="5"/>
        <v>0.77519379844961245</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553"/>
      <c r="Q11" s="1477" t="str">
        <f t="shared" si="6"/>
        <v>容积率</v>
      </c>
      <c r="R11" s="709" t="s">
        <v>17</v>
      </c>
      <c r="S11" s="710" t="e">
        <f t="shared" si="0"/>
        <v>#N/A</v>
      </c>
      <c r="T11" s="709" t="s">
        <v>17</v>
      </c>
      <c r="U11" s="710" t="e">
        <f t="shared" si="1"/>
        <v>#N/A</v>
      </c>
      <c r="V11" s="709" t="s">
        <v>17</v>
      </c>
      <c r="W11" s="710" t="e">
        <f t="shared" si="2"/>
        <v>#N/A</v>
      </c>
      <c r="X11" s="711"/>
      <c r="Y11" s="3425"/>
      <c r="Z11" s="55" t="str">
        <f t="shared" si="7"/>
        <v>容积率</v>
      </c>
      <c r="AA11" s="712" t="e">
        <f t="shared" si="3"/>
        <v>#N/A</v>
      </c>
      <c r="AB11" s="712" t="e">
        <f t="shared" si="4"/>
        <v>#N/A</v>
      </c>
      <c r="AC11" s="712" t="e">
        <f t="shared" si="5"/>
        <v>#N/A</v>
      </c>
    </row>
    <row r="12" spans="1:30" s="113"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553"/>
      <c r="Q12" s="1477" t="str">
        <f t="shared" si="6"/>
        <v>配建</v>
      </c>
      <c r="R12" s="709" t="s">
        <v>17</v>
      </c>
      <c r="S12" s="710">
        <f t="shared" si="0"/>
        <v>100</v>
      </c>
      <c r="T12" s="709" t="s">
        <v>17</v>
      </c>
      <c r="U12" s="710">
        <f t="shared" si="1"/>
        <v>100</v>
      </c>
      <c r="V12" s="709" t="s">
        <v>17</v>
      </c>
      <c r="W12" s="710">
        <f t="shared" si="2"/>
        <v>100</v>
      </c>
      <c r="X12" s="711"/>
      <c r="Y12" s="3425"/>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553"/>
      <c r="Q13" s="1477">
        <f t="shared" si="6"/>
        <v>111</v>
      </c>
      <c r="R13" s="709" t="s">
        <v>17</v>
      </c>
      <c r="S13" s="710">
        <f t="shared" si="0"/>
        <v>100</v>
      </c>
      <c r="T13" s="709" t="s">
        <v>17</v>
      </c>
      <c r="U13" s="710">
        <f t="shared" si="1"/>
        <v>100</v>
      </c>
      <c r="V13" s="709" t="s">
        <v>17</v>
      </c>
      <c r="W13" s="710">
        <f t="shared" si="2"/>
        <v>100</v>
      </c>
      <c r="X13" s="711"/>
      <c r="Y13" s="3425"/>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553"/>
      <c r="Q14" s="1477">
        <f t="shared" si="6"/>
        <v>111</v>
      </c>
      <c r="R14" s="709" t="s">
        <v>17</v>
      </c>
      <c r="S14" s="710">
        <f t="shared" si="0"/>
        <v>100</v>
      </c>
      <c r="T14" s="709" t="s">
        <v>17</v>
      </c>
      <c r="U14" s="710">
        <f t="shared" si="1"/>
        <v>100</v>
      </c>
      <c r="V14" s="709" t="s">
        <v>17</v>
      </c>
      <c r="W14" s="710">
        <f t="shared" si="2"/>
        <v>100</v>
      </c>
      <c r="X14" s="711"/>
      <c r="Y14" s="3425"/>
      <c r="Z14" s="55">
        <f t="shared" si="7"/>
        <v>111</v>
      </c>
      <c r="AA14" s="712">
        <f>D14/F14</f>
        <v>1</v>
      </c>
      <c r="AB14" s="712">
        <f>D14/H14</f>
        <v>1</v>
      </c>
      <c r="AC14" s="712">
        <f>D14/J14</f>
        <v>1</v>
      </c>
    </row>
    <row r="15" spans="1:30" ht="99.75">
      <c r="A15" s="398" t="s">
        <v>2139</v>
      </c>
      <c r="B15" s="65"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555" t="s">
        <v>2140</v>
      </c>
      <c r="Q15" s="1486" t="str">
        <f t="shared" si="6"/>
        <v>居住社区成熟度</v>
      </c>
      <c r="R15" s="713" t="s">
        <v>17</v>
      </c>
      <c r="S15" s="714">
        <f t="shared" si="0"/>
        <v>100</v>
      </c>
      <c r="T15" s="713" t="s">
        <v>17</v>
      </c>
      <c r="U15" s="714">
        <f t="shared" si="1"/>
        <v>100</v>
      </c>
      <c r="V15" s="713" t="s">
        <v>17</v>
      </c>
      <c r="W15" s="714">
        <f t="shared" si="2"/>
        <v>100</v>
      </c>
      <c r="X15" s="1489"/>
      <c r="Y15" s="3555"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556"/>
      <c r="Q16" s="1486"/>
      <c r="R16" s="713"/>
      <c r="S16" s="714"/>
      <c r="T16" s="713"/>
      <c r="U16" s="714"/>
      <c r="V16" s="713"/>
      <c r="W16" s="714"/>
      <c r="X16" s="1489"/>
      <c r="Y16" s="3556"/>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556"/>
      <c r="Q17" s="1486" t="str">
        <f>B17</f>
        <v>商业繁华度</v>
      </c>
      <c r="R17" s="713" t="s">
        <v>17</v>
      </c>
      <c r="S17" s="714">
        <f>F17</f>
        <v>100</v>
      </c>
      <c r="T17" s="713" t="s">
        <v>17</v>
      </c>
      <c r="U17" s="714">
        <f>H17</f>
        <v>100</v>
      </c>
      <c r="V17" s="713" t="s">
        <v>17</v>
      </c>
      <c r="W17" s="714">
        <f>J17</f>
        <v>100</v>
      </c>
      <c r="X17" s="1489"/>
      <c r="Y17" s="3556"/>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556"/>
      <c r="Q18" s="1486"/>
      <c r="R18" s="713"/>
      <c r="S18" s="714"/>
      <c r="T18" s="713"/>
      <c r="U18" s="714"/>
      <c r="V18" s="713"/>
      <c r="W18" s="714"/>
      <c r="X18" s="1489"/>
      <c r="Y18" s="3556"/>
      <c r="Z18" s="1490"/>
      <c r="AA18" s="1487">
        <v>1</v>
      </c>
      <c r="AB18" s="1487">
        <v>1</v>
      </c>
      <c r="AC18" s="1487">
        <v>1</v>
      </c>
    </row>
    <row r="19" spans="1:29" ht="71.25">
      <c r="A19" s="386"/>
      <c r="B19" s="409" t="s">
        <v>2267</v>
      </c>
      <c r="C19" s="2091" t="str">
        <f>估价对象房地状况!C17</f>
        <v>估价对象地处东城区，周边办公楼项目较多，入驻率高，办公集聚程度较好。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556"/>
      <c r="Q19" s="1486" t="str">
        <f>B19</f>
        <v>办公集聚程度</v>
      </c>
      <c r="R19" s="713" t="s">
        <v>17</v>
      </c>
      <c r="S19" s="714">
        <f>F19</f>
        <v>100</v>
      </c>
      <c r="T19" s="713" t="s">
        <v>17</v>
      </c>
      <c r="U19" s="714">
        <f>H19</f>
        <v>100</v>
      </c>
      <c r="V19" s="713" t="s">
        <v>17</v>
      </c>
      <c r="W19" s="714">
        <f>J19</f>
        <v>100</v>
      </c>
      <c r="X19" s="1489"/>
      <c r="Y19" s="3556"/>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556"/>
      <c r="Q20" s="1486"/>
      <c r="R20" s="713"/>
      <c r="S20" s="714"/>
      <c r="T20" s="713"/>
      <c r="U20" s="714"/>
      <c r="V20" s="713"/>
      <c r="W20" s="714"/>
      <c r="X20" s="1489"/>
      <c r="Y20" s="3556"/>
      <c r="Z20" s="1490"/>
      <c r="AA20" s="1487">
        <v>1</v>
      </c>
      <c r="AB20" s="1487">
        <v>1</v>
      </c>
      <c r="AC20" s="1487">
        <v>1</v>
      </c>
    </row>
    <row r="21" spans="1:29" ht="171">
      <c r="A21" s="386"/>
      <c r="B21" s="409" t="s">
        <v>2289</v>
      </c>
      <c r="C21" s="2036" t="str">
        <f>估价对象房地状况!C18</f>
        <v>估价对象为距离东二环约600米，北侧临近工人体育场北路，周边有3路、4路、113路、115录吧、406路等公交通行，距离地铁2号线东四十条站约700米，交通便捷度较好。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556"/>
      <c r="Q21" s="1486" t="str">
        <f>B21</f>
        <v>交通便捷度</v>
      </c>
      <c r="R21" s="713" t="s">
        <v>17</v>
      </c>
      <c r="S21" s="714">
        <f>F21</f>
        <v>100</v>
      </c>
      <c r="T21" s="713" t="s">
        <v>17</v>
      </c>
      <c r="U21" s="714">
        <f>H21</f>
        <v>100</v>
      </c>
      <c r="V21" s="713" t="s">
        <v>17</v>
      </c>
      <c r="W21" s="714">
        <f>J21</f>
        <v>100</v>
      </c>
      <c r="X21" s="1489"/>
      <c r="Y21" s="3556"/>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556"/>
      <c r="Q22" s="1486"/>
      <c r="R22" s="713"/>
      <c r="S22" s="714"/>
      <c r="T22" s="713"/>
      <c r="U22" s="714"/>
      <c r="V22" s="713"/>
      <c r="W22" s="714"/>
      <c r="X22" s="1489"/>
      <c r="Y22" s="3556"/>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556"/>
      <c r="Q23" s="1486" t="str">
        <f t="shared" ref="Q23:Q37" si="8">B23</f>
        <v>区域土地利用方向</v>
      </c>
      <c r="R23" s="713" t="s">
        <v>17</v>
      </c>
      <c r="S23" s="714">
        <f>F23</f>
        <v>100</v>
      </c>
      <c r="T23" s="713" t="s">
        <v>17</v>
      </c>
      <c r="U23" s="714">
        <f>H23</f>
        <v>100</v>
      </c>
      <c r="V23" s="713" t="s">
        <v>17</v>
      </c>
      <c r="W23" s="714">
        <f>J23</f>
        <v>100</v>
      </c>
      <c r="X23" s="1489"/>
      <c r="Y23" s="3556"/>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556"/>
      <c r="Q24" s="1486"/>
      <c r="R24" s="713"/>
      <c r="S24" s="714"/>
      <c r="T24" s="713"/>
      <c r="U24" s="714"/>
      <c r="V24" s="713"/>
      <c r="W24" s="714"/>
      <c r="X24" s="1489"/>
      <c r="Y24" s="3556"/>
      <c r="Z24" s="1490"/>
      <c r="AA24" s="1487"/>
      <c r="AB24" s="1487"/>
      <c r="AC24" s="1487"/>
    </row>
    <row r="25" spans="1:29" ht="85.5">
      <c r="A25" s="363"/>
      <c r="B25" s="1245" t="s">
        <v>2329</v>
      </c>
      <c r="C25" s="2091" t="str">
        <f>估价对象房地状况!C20</f>
        <v>区域自然环境：东岳庙；人文环境：北京工人体育场、保利剧院；综合评价环境状况较好</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556"/>
      <c r="Q25" s="1486" t="str">
        <f t="shared" si="8"/>
        <v>自然及人文环境状况</v>
      </c>
      <c r="R25" s="713" t="s">
        <v>17</v>
      </c>
      <c r="S25" s="714">
        <f>F25</f>
        <v>100</v>
      </c>
      <c r="T25" s="713" t="s">
        <v>17</v>
      </c>
      <c r="U25" s="714">
        <f>H25</f>
        <v>100</v>
      </c>
      <c r="V25" s="713" t="s">
        <v>17</v>
      </c>
      <c r="W25" s="714">
        <f>J25</f>
        <v>100</v>
      </c>
      <c r="X25" s="1489"/>
      <c r="Y25" s="3556"/>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556"/>
      <c r="Q26" s="1486"/>
      <c r="R26" s="713"/>
      <c r="S26" s="714"/>
      <c r="T26" s="713"/>
      <c r="U26" s="714"/>
      <c r="V26" s="713"/>
      <c r="W26" s="714"/>
      <c r="X26" s="1489"/>
      <c r="Y26" s="3556"/>
      <c r="Z26" s="1490"/>
      <c r="AA26" s="1487">
        <v>1</v>
      </c>
      <c r="AB26" s="1487">
        <v>1</v>
      </c>
      <c r="AC26" s="1487">
        <v>1</v>
      </c>
    </row>
    <row r="27" spans="1:29" s="113" customFormat="1" ht="313.5">
      <c r="A27" s="604"/>
      <c r="B27" s="1245" t="s">
        <v>2234</v>
      </c>
      <c r="C27" s="2036" t="str">
        <f>估价对象房地状况!C21</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556"/>
      <c r="Q27" s="1477" t="str">
        <f t="shared" si="8"/>
        <v>公共配套设施</v>
      </c>
      <c r="R27" s="709" t="s">
        <v>17</v>
      </c>
      <c r="S27" s="710">
        <f>F27</f>
        <v>100</v>
      </c>
      <c r="T27" s="709" t="s">
        <v>17</v>
      </c>
      <c r="U27" s="710">
        <f>H27</f>
        <v>100</v>
      </c>
      <c r="V27" s="709" t="s">
        <v>17</v>
      </c>
      <c r="W27" s="710">
        <f>J27</f>
        <v>100</v>
      </c>
      <c r="X27" s="711"/>
      <c r="Y27" s="3556"/>
      <c r="Z27" s="55" t="str">
        <f>Q27</f>
        <v>公共配套设施</v>
      </c>
      <c r="AA27" s="1487">
        <f>D27/F27</f>
        <v>1</v>
      </c>
      <c r="AB27" s="1487">
        <f>D27/H27</f>
        <v>1</v>
      </c>
      <c r="AC27" s="1487">
        <f>D27/J27</f>
        <v>1</v>
      </c>
    </row>
    <row r="28" spans="1:29" s="113" customFormat="1" ht="15">
      <c r="A28" s="604"/>
      <c r="B28" s="414"/>
      <c r="C28" s="2114"/>
      <c r="D28" s="406"/>
      <c r="E28" s="2040"/>
      <c r="F28" s="406"/>
      <c r="G28" s="2040"/>
      <c r="H28" s="406"/>
      <c r="I28" s="405"/>
      <c r="J28" s="406"/>
      <c r="K28" s="627"/>
      <c r="L28" s="2895"/>
      <c r="M28" s="2896"/>
      <c r="N28" s="2896"/>
      <c r="O28" s="2950"/>
      <c r="P28" s="3556"/>
      <c r="Q28" s="1477"/>
      <c r="R28" s="709"/>
      <c r="S28" s="710"/>
      <c r="T28" s="709"/>
      <c r="U28" s="710"/>
      <c r="V28" s="709"/>
      <c r="W28" s="710"/>
      <c r="X28" s="711"/>
      <c r="Y28" s="3556"/>
      <c r="Z28" s="55"/>
      <c r="AA28" s="1487">
        <v>1</v>
      </c>
      <c r="AB28" s="1487">
        <v>1</v>
      </c>
      <c r="AC28" s="1487">
        <v>1</v>
      </c>
    </row>
    <row r="29" spans="1:29" s="113"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556"/>
      <c r="Q29" s="1477" t="str">
        <f t="shared" ref="Q29" si="9">B29</f>
        <v>基础设施水平</v>
      </c>
      <c r="R29" s="709" t="s">
        <v>17</v>
      </c>
      <c r="S29" s="710">
        <f>F29</f>
        <v>100</v>
      </c>
      <c r="T29" s="709" t="s">
        <v>17</v>
      </c>
      <c r="U29" s="710">
        <f>H29</f>
        <v>100</v>
      </c>
      <c r="V29" s="709" t="s">
        <v>17</v>
      </c>
      <c r="W29" s="710">
        <f>J29</f>
        <v>100</v>
      </c>
      <c r="X29" s="711"/>
      <c r="Y29" s="3556"/>
      <c r="Z29" s="55" t="str">
        <f>Q29</f>
        <v>基础设施水平</v>
      </c>
      <c r="AA29" s="1487">
        <f>D29/F29</f>
        <v>1</v>
      </c>
      <c r="AB29" s="1487">
        <f>D29/H29</f>
        <v>1</v>
      </c>
      <c r="AC29" s="1487">
        <f>D29/J29</f>
        <v>1</v>
      </c>
    </row>
    <row r="30" spans="1:29" s="113" customFormat="1" ht="15">
      <c r="A30" s="604"/>
      <c r="B30" s="414"/>
      <c r="C30" s="2114"/>
      <c r="D30" s="406"/>
      <c r="E30" s="2115"/>
      <c r="F30" s="406"/>
      <c r="G30" s="2115"/>
      <c r="H30" s="406"/>
      <c r="I30" s="2115"/>
      <c r="J30" s="406"/>
      <c r="K30" s="627"/>
      <c r="L30" s="2895"/>
      <c r="M30" s="2896"/>
      <c r="N30" s="2896"/>
      <c r="O30" s="2950"/>
      <c r="P30" s="3556"/>
      <c r="Q30" s="1477"/>
      <c r="R30" s="709"/>
      <c r="S30" s="710"/>
      <c r="T30" s="709"/>
      <c r="U30" s="710"/>
      <c r="V30" s="709"/>
      <c r="W30" s="710"/>
      <c r="X30" s="711"/>
      <c r="Y30" s="3556"/>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556"/>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56"/>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556"/>
      <c r="Q32" s="1486" t="str">
        <f t="shared" si="8"/>
        <v>毗邻道路的类型与等级</v>
      </c>
      <c r="R32" s="713" t="s">
        <v>17</v>
      </c>
      <c r="S32" s="714">
        <f t="shared" si="10"/>
        <v>100</v>
      </c>
      <c r="T32" s="713" t="s">
        <v>17</v>
      </c>
      <c r="U32" s="714">
        <f t="shared" si="11"/>
        <v>100</v>
      </c>
      <c r="V32" s="713" t="s">
        <v>17</v>
      </c>
      <c r="W32" s="714">
        <f t="shared" si="12"/>
        <v>100</v>
      </c>
      <c r="X32" s="1489"/>
      <c r="Y32" s="3556"/>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556"/>
      <c r="Q33" s="1486"/>
      <c r="R33" s="713"/>
      <c r="S33" s="714"/>
      <c r="T33" s="713"/>
      <c r="U33" s="714"/>
      <c r="V33" s="713"/>
      <c r="W33" s="714"/>
      <c r="X33" s="1489"/>
      <c r="Y33" s="3556"/>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556"/>
      <c r="Q34" s="1486" t="str">
        <f t="shared" si="8"/>
        <v>土地级别</v>
      </c>
      <c r="R34" s="713" t="s">
        <v>17</v>
      </c>
      <c r="S34" s="714">
        <f t="shared" si="10"/>
        <v>100</v>
      </c>
      <c r="T34" s="713" t="s">
        <v>17</v>
      </c>
      <c r="U34" s="714">
        <f t="shared" si="11"/>
        <v>100</v>
      </c>
      <c r="V34" s="713" t="s">
        <v>17</v>
      </c>
      <c r="W34" s="714">
        <f t="shared" si="12"/>
        <v>100</v>
      </c>
      <c r="X34" s="1489"/>
      <c r="Y34" s="3556"/>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556"/>
      <c r="Q35" s="1486">
        <f t="shared" si="8"/>
        <v>111</v>
      </c>
      <c r="R35" s="713" t="s">
        <v>17</v>
      </c>
      <c r="S35" s="714">
        <f t="shared" si="10"/>
        <v>100</v>
      </c>
      <c r="T35" s="713" t="s">
        <v>17</v>
      </c>
      <c r="U35" s="714">
        <f t="shared" si="11"/>
        <v>100</v>
      </c>
      <c r="V35" s="713" t="s">
        <v>17</v>
      </c>
      <c r="W35" s="714">
        <f t="shared" si="12"/>
        <v>100</v>
      </c>
      <c r="X35" s="1489"/>
      <c r="Y35" s="3556"/>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613" t="s">
        <v>2145</v>
      </c>
      <c r="Q36" s="1486">
        <f t="shared" si="8"/>
        <v>111</v>
      </c>
      <c r="R36" s="713" t="s">
        <v>17</v>
      </c>
      <c r="S36" s="714">
        <f t="shared" si="10"/>
        <v>100</v>
      </c>
      <c r="T36" s="713" t="s">
        <v>17</v>
      </c>
      <c r="U36" s="714">
        <f t="shared" si="11"/>
        <v>100</v>
      </c>
      <c r="V36" s="713" t="s">
        <v>17</v>
      </c>
      <c r="W36" s="714">
        <f t="shared" si="12"/>
        <v>100</v>
      </c>
      <c r="X36" s="1489"/>
      <c r="Y36" s="3560"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560"/>
      <c r="Q37" s="1486">
        <f t="shared" si="8"/>
        <v>111</v>
      </c>
      <c r="R37" s="716" t="s">
        <v>17</v>
      </c>
      <c r="S37" s="717">
        <f t="shared" si="10"/>
        <v>100</v>
      </c>
      <c r="T37" s="716" t="s">
        <v>17</v>
      </c>
      <c r="U37" s="717">
        <f t="shared" si="11"/>
        <v>100</v>
      </c>
      <c r="V37" s="716" t="s">
        <v>17</v>
      </c>
      <c r="W37" s="717">
        <f t="shared" si="12"/>
        <v>100</v>
      </c>
      <c r="X37" s="718"/>
      <c r="Y37" s="3560"/>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560"/>
      <c r="Q38" s="1486" t="str">
        <f>B38</f>
        <v>宗地面积</v>
      </c>
      <c r="R38" s="713" t="s">
        <v>17</v>
      </c>
      <c r="S38" s="714" t="e">
        <f t="shared" si="10"/>
        <v>#N/A</v>
      </c>
      <c r="T38" s="713" t="s">
        <v>17</v>
      </c>
      <c r="U38" s="714" t="e">
        <f t="shared" si="11"/>
        <v>#N/A</v>
      </c>
      <c r="V38" s="713" t="s">
        <v>17</v>
      </c>
      <c r="W38" s="714" t="e">
        <f t="shared" si="12"/>
        <v>#N/A</v>
      </c>
      <c r="X38" s="1489"/>
      <c r="Y38" s="3560"/>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560"/>
      <c r="Q39" s="1486" t="str">
        <f t="shared" ref="Q39:Q45" si="14">B39</f>
        <v>宗地形状</v>
      </c>
      <c r="R39" s="713" t="s">
        <v>17</v>
      </c>
      <c r="S39" s="714">
        <f t="shared" si="10"/>
        <v>100</v>
      </c>
      <c r="T39" s="713" t="s">
        <v>17</v>
      </c>
      <c r="U39" s="714">
        <f t="shared" si="11"/>
        <v>100</v>
      </c>
      <c r="V39" s="713" t="s">
        <v>17</v>
      </c>
      <c r="W39" s="714">
        <f t="shared" si="12"/>
        <v>100</v>
      </c>
      <c r="X39" s="1489"/>
      <c r="Y39" s="3560"/>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560"/>
      <c r="Q40" s="1486" t="str">
        <f t="shared" si="14"/>
        <v>临街宽度及深度</v>
      </c>
      <c r="R40" s="713" t="s">
        <v>17</v>
      </c>
      <c r="S40" s="714">
        <f t="shared" si="10"/>
        <v>100</v>
      </c>
      <c r="T40" s="713" t="s">
        <v>17</v>
      </c>
      <c r="U40" s="714">
        <f t="shared" si="11"/>
        <v>100</v>
      </c>
      <c r="V40" s="713" t="s">
        <v>17</v>
      </c>
      <c r="W40" s="714">
        <f t="shared" si="12"/>
        <v>100</v>
      </c>
      <c r="X40" s="1489"/>
      <c r="Y40" s="3560"/>
      <c r="Z40" s="1490" t="str">
        <f t="shared" si="13"/>
        <v>临街宽度及深度</v>
      </c>
      <c r="AA40" s="1487">
        <f t="shared" si="3"/>
        <v>1</v>
      </c>
      <c r="AB40" s="1487">
        <f t="shared" si="4"/>
        <v>1</v>
      </c>
      <c r="AC40" s="1487">
        <f t="shared" si="5"/>
        <v>1</v>
      </c>
    </row>
    <row r="41" spans="1:29" s="113"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560"/>
      <c r="Q41" s="1486" t="str">
        <f t="shared" si="14"/>
        <v>宗地开发程度</v>
      </c>
      <c r="R41" s="709" t="s">
        <v>17</v>
      </c>
      <c r="S41" s="710">
        <f t="shared" si="10"/>
        <v>100</v>
      </c>
      <c r="T41" s="709" t="s">
        <v>17</v>
      </c>
      <c r="U41" s="710">
        <f t="shared" si="11"/>
        <v>100</v>
      </c>
      <c r="V41" s="709" t="s">
        <v>17</v>
      </c>
      <c r="W41" s="710">
        <f t="shared" si="12"/>
        <v>100</v>
      </c>
      <c r="X41" s="711"/>
      <c r="Y41" s="3560"/>
      <c r="Z41" s="55"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560" t="s">
        <v>2145</v>
      </c>
      <c r="Q42" s="1486" t="str">
        <f t="shared" si="14"/>
        <v>工程地质条件</v>
      </c>
      <c r="R42" s="713" t="s">
        <v>17</v>
      </c>
      <c r="S42" s="714">
        <f t="shared" si="10"/>
        <v>100</v>
      </c>
      <c r="T42" s="713" t="s">
        <v>17</v>
      </c>
      <c r="U42" s="714">
        <f t="shared" si="11"/>
        <v>100</v>
      </c>
      <c r="V42" s="713" t="s">
        <v>17</v>
      </c>
      <c r="W42" s="714">
        <f t="shared" si="12"/>
        <v>100</v>
      </c>
      <c r="X42" s="1489"/>
      <c r="Y42" s="3560"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560"/>
      <c r="Q43" s="1486">
        <f t="shared" si="14"/>
        <v>111</v>
      </c>
      <c r="R43" s="713" t="s">
        <v>17</v>
      </c>
      <c r="S43" s="714">
        <f t="shared" si="10"/>
        <v>100</v>
      </c>
      <c r="T43" s="713" t="s">
        <v>17</v>
      </c>
      <c r="U43" s="714">
        <f t="shared" si="11"/>
        <v>100</v>
      </c>
      <c r="V43" s="713" t="s">
        <v>17</v>
      </c>
      <c r="W43" s="714">
        <f t="shared" si="12"/>
        <v>100</v>
      </c>
      <c r="X43" s="1489"/>
      <c r="Y43" s="3560"/>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560"/>
      <c r="Q44" s="1486">
        <f t="shared" si="14"/>
        <v>111</v>
      </c>
      <c r="R44" s="713" t="s">
        <v>17</v>
      </c>
      <c r="S44" s="714">
        <f t="shared" si="10"/>
        <v>100</v>
      </c>
      <c r="T44" s="713" t="s">
        <v>17</v>
      </c>
      <c r="U44" s="714">
        <f t="shared" si="11"/>
        <v>100</v>
      </c>
      <c r="V44" s="713" t="s">
        <v>17</v>
      </c>
      <c r="W44" s="714">
        <f t="shared" si="12"/>
        <v>100</v>
      </c>
      <c r="X44" s="1489"/>
      <c r="Y44" s="3560"/>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560"/>
      <c r="Q45" s="1486">
        <f t="shared" si="14"/>
        <v>111</v>
      </c>
      <c r="R45" s="716" t="s">
        <v>17</v>
      </c>
      <c r="S45" s="717">
        <f t="shared" si="10"/>
        <v>100</v>
      </c>
      <c r="T45" s="716" t="s">
        <v>17</v>
      </c>
      <c r="U45" s="717">
        <f t="shared" si="11"/>
        <v>100</v>
      </c>
      <c r="V45" s="716" t="s">
        <v>17</v>
      </c>
      <c r="W45" s="717">
        <f t="shared" si="12"/>
        <v>100</v>
      </c>
      <c r="X45" s="718"/>
      <c r="Y45" s="3560"/>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553" t="str">
        <f>A46</f>
        <v>成交单价</v>
      </c>
      <c r="Q46" s="3553"/>
      <c r="R46" s="3584">
        <f>E46</f>
        <v>0</v>
      </c>
      <c r="S46" s="3584"/>
      <c r="T46" s="3584">
        <f>G46</f>
        <v>0</v>
      </c>
      <c r="U46" s="3584"/>
      <c r="V46" s="3584">
        <f>I46</f>
        <v>0</v>
      </c>
      <c r="W46" s="3584"/>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553" t="str">
        <f>A47</f>
        <v>比较价值（元/平方米）</v>
      </c>
      <c r="Q47" s="3553"/>
      <c r="R47" s="3615" t="e">
        <f>ROUND(PRODUCT(R46,AA7:AA45),0)</f>
        <v>#DIV/0!</v>
      </c>
      <c r="S47" s="3615"/>
      <c r="T47" s="3615" t="e">
        <f>ROUND(PRODUCT(T46,AB7:AB45),0)</f>
        <v>#DIV/0!</v>
      </c>
      <c r="U47" s="3615"/>
      <c r="V47" s="3615" t="e">
        <f>ROUND(PRODUCT(V46,AC7:AC45),0)</f>
        <v>#DIV/0!</v>
      </c>
      <c r="W47" s="3615"/>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550" t="str">
        <f>A48</f>
        <v>估价对象XX用房的比较价值（楼面单价，元/平方米）</v>
      </c>
      <c r="Q48" s="3551"/>
      <c r="R48" s="3616" t="e">
        <f>ROUND(IF(D47="简单平均",AVERAGE(R47:W47),R47*F47+T47*H47+V47*J47),0)</f>
        <v>#DIV/0!</v>
      </c>
      <c r="S48" s="3616"/>
      <c r="T48" s="3616"/>
      <c r="U48" s="3616"/>
      <c r="V48" s="3616"/>
      <c r="W48" s="3616"/>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568" t="s">
        <v>2344</v>
      </c>
      <c r="H55" s="3617"/>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6192.7899999999991</v>
      </c>
      <c r="F56" s="997" t="e">
        <f t="shared" ref="F56:F64" si="15">ROUND(B56*E56/10000,0)</f>
        <v>#DIV/0!</v>
      </c>
      <c r="G56" s="3564"/>
      <c r="H56" s="3553"/>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6192.7899999999991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2022-9-1</v>
      </c>
      <c r="D67" s="700">
        <f>EDATE(C67,-3)</f>
        <v>44713</v>
      </c>
      <c r="E67" s="700">
        <f>EDATE(D67,-3)</f>
        <v>44621</v>
      </c>
      <c r="F67" s="700">
        <f t="shared" ref="F67:O67" si="18">EDATE(E67,-3)</f>
        <v>44531</v>
      </c>
      <c r="G67" s="700">
        <f t="shared" si="18"/>
        <v>44440</v>
      </c>
      <c r="H67" s="700">
        <f t="shared" si="18"/>
        <v>44348</v>
      </c>
      <c r="I67" s="700">
        <f t="shared" si="18"/>
        <v>44256</v>
      </c>
      <c r="J67" s="700">
        <f t="shared" si="18"/>
        <v>44166</v>
      </c>
      <c r="K67" s="700">
        <f t="shared" si="18"/>
        <v>44075</v>
      </c>
      <c r="L67" s="700">
        <f t="shared" si="18"/>
        <v>43983</v>
      </c>
      <c r="M67" s="700">
        <f t="shared" si="18"/>
        <v>43891</v>
      </c>
      <c r="N67" s="700">
        <f t="shared" si="18"/>
        <v>43800</v>
      </c>
      <c r="O67" s="700">
        <f t="shared" si="18"/>
        <v>43709</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3"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3"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3"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3"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3"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568" t="s">
        <v>2226</v>
      </c>
      <c r="D4" s="3569"/>
      <c r="E4" s="3570" t="s">
        <v>2227</v>
      </c>
      <c r="F4" s="3571"/>
      <c r="G4" s="3568" t="s">
        <v>2228</v>
      </c>
      <c r="H4" s="3569"/>
      <c r="I4" s="3568" t="s">
        <v>2229</v>
      </c>
      <c r="J4" s="3569"/>
      <c r="K4" s="566" t="s">
        <v>2230</v>
      </c>
      <c r="L4" s="2893"/>
      <c r="M4" s="2894"/>
      <c r="N4" s="2894"/>
      <c r="O4" s="2894"/>
      <c r="P4" s="3572" t="s">
        <v>2231</v>
      </c>
      <c r="Q4" s="3573"/>
      <c r="R4" s="3578" t="s">
        <v>2227</v>
      </c>
      <c r="S4" s="3579"/>
      <c r="T4" s="3578" t="s">
        <v>2228</v>
      </c>
      <c r="U4" s="3579"/>
      <c r="V4" s="3584" t="s">
        <v>2229</v>
      </c>
      <c r="W4" s="3584"/>
      <c r="X4" s="1489"/>
      <c r="Y4" s="3578" t="s">
        <v>2231</v>
      </c>
      <c r="Z4" s="3579"/>
      <c r="AA4" s="3565" t="s">
        <v>2227</v>
      </c>
      <c r="AB4" s="3566" t="s">
        <v>2228</v>
      </c>
      <c r="AC4" s="3565" t="s">
        <v>2229</v>
      </c>
    </row>
    <row r="5" spans="1:29" ht="15">
      <c r="A5" s="363"/>
      <c r="B5" s="364"/>
      <c r="C5" s="3587" t="s">
        <v>2122</v>
      </c>
      <c r="D5" s="3588"/>
      <c r="E5" s="3594" t="s">
        <v>2123</v>
      </c>
      <c r="F5" s="3595"/>
      <c r="G5" s="3587" t="s">
        <v>2124</v>
      </c>
      <c r="H5" s="3588"/>
      <c r="I5" s="3587" t="s">
        <v>2125</v>
      </c>
      <c r="J5" s="3588"/>
      <c r="K5" s="566"/>
      <c r="L5" s="2893"/>
      <c r="M5" s="2894"/>
      <c r="N5" s="2894"/>
      <c r="O5" s="2894"/>
      <c r="P5" s="3574"/>
      <c r="Q5" s="3575"/>
      <c r="R5" s="3580"/>
      <c r="S5" s="3581"/>
      <c r="T5" s="3580"/>
      <c r="U5" s="3581"/>
      <c r="V5" s="3584"/>
      <c r="W5" s="3584"/>
      <c r="X5" s="1489"/>
      <c r="Y5" s="3580"/>
      <c r="Z5" s="3581"/>
      <c r="AA5" s="3566"/>
      <c r="AB5" s="3566"/>
      <c r="AC5" s="3566"/>
    </row>
    <row r="6" spans="1:29" ht="15.75" thickBot="1">
      <c r="A6" s="365"/>
      <c r="B6" s="366"/>
      <c r="C6" s="3618" t="s">
        <v>2376</v>
      </c>
      <c r="D6" s="3619"/>
      <c r="E6" s="3620" t="s">
        <v>2376</v>
      </c>
      <c r="F6" s="3621"/>
      <c r="G6" s="3618" t="s">
        <v>2376</v>
      </c>
      <c r="H6" s="3619"/>
      <c r="I6" s="3618" t="s">
        <v>2376</v>
      </c>
      <c r="J6" s="3619"/>
      <c r="K6" s="566" t="s">
        <v>2127</v>
      </c>
      <c r="L6" s="2893"/>
      <c r="M6" s="2894"/>
      <c r="N6" s="2894"/>
      <c r="O6" s="2894"/>
      <c r="P6" s="3576"/>
      <c r="Q6" s="3577"/>
      <c r="R6" s="3580"/>
      <c r="S6" s="3581"/>
      <c r="T6" s="3582"/>
      <c r="U6" s="3583"/>
      <c r="V6" s="3584"/>
      <c r="W6" s="3584"/>
      <c r="X6" s="1489"/>
      <c r="Y6" s="3582"/>
      <c r="Z6" s="3583"/>
      <c r="AA6" s="3567"/>
      <c r="AB6" s="3567"/>
      <c r="AC6" s="3567"/>
    </row>
    <row r="7" spans="1:29" s="113" customFormat="1" ht="15.75" thickBot="1">
      <c r="A7" s="367" t="s">
        <v>2128</v>
      </c>
      <c r="B7" s="368"/>
      <c r="C7" s="369">
        <f>'数据-取费表'!B2</f>
        <v>44820</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589" t="s">
        <v>2129</v>
      </c>
      <c r="Q7" s="3591"/>
      <c r="R7" s="709" t="s">
        <v>17</v>
      </c>
      <c r="S7" s="710">
        <f t="shared" ref="S7:S15" si="0">F7</f>
        <v>0</v>
      </c>
      <c r="T7" s="709" t="s">
        <v>17</v>
      </c>
      <c r="U7" s="710">
        <f t="shared" ref="U7:U15" si="1">H7</f>
        <v>0</v>
      </c>
      <c r="V7" s="709" t="s">
        <v>17</v>
      </c>
      <c r="W7" s="710">
        <f t="shared" ref="W7:W15" si="2">J7</f>
        <v>0</v>
      </c>
      <c r="X7" s="711"/>
      <c r="Y7" s="3589" t="s">
        <v>2129</v>
      </c>
      <c r="Z7" s="3590"/>
      <c r="AA7" s="712" t="e">
        <f>D7/F7</f>
        <v>#DIV/0!</v>
      </c>
      <c r="AB7" s="712" t="e">
        <f>D7/H7</f>
        <v>#DIV/0!</v>
      </c>
      <c r="AC7" s="712" t="e">
        <f>D7/J7</f>
        <v>#DIV/0!</v>
      </c>
    </row>
    <row r="8" spans="1:29" s="113"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589" t="s">
        <v>2132</v>
      </c>
      <c r="Q8" s="3590"/>
      <c r="R8" s="709" t="s">
        <v>17</v>
      </c>
      <c r="S8" s="710">
        <f t="shared" si="0"/>
        <v>0</v>
      </c>
      <c r="T8" s="709" t="s">
        <v>17</v>
      </c>
      <c r="U8" s="710">
        <f t="shared" si="1"/>
        <v>0</v>
      </c>
      <c r="V8" s="709" t="s">
        <v>17</v>
      </c>
      <c r="W8" s="710">
        <f t="shared" si="2"/>
        <v>0</v>
      </c>
      <c r="X8" s="711"/>
      <c r="Y8" s="3589" t="s">
        <v>2132</v>
      </c>
      <c r="Z8" s="3590"/>
      <c r="AA8" s="712" t="e">
        <f t="shared" ref="AA8:AA40" si="3">D8/F8</f>
        <v>#DIV/0!</v>
      </c>
      <c r="AB8" s="712" t="e">
        <f t="shared" ref="AB8:AB40" si="4">D8/H8</f>
        <v>#DIV/0!</v>
      </c>
      <c r="AC8" s="712" t="e">
        <f t="shared" ref="AC8:AC40" si="5">D8/J8</f>
        <v>#DIV/0!</v>
      </c>
    </row>
    <row r="9" spans="1:29" s="113" customFormat="1">
      <c r="A9" s="374" t="s">
        <v>2133</v>
      </c>
      <c r="B9" s="67"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553" t="s">
        <v>2135</v>
      </c>
      <c r="Q9" s="1477" t="str">
        <f t="shared" ref="Q9:Q15" si="6">B9</f>
        <v>用途</v>
      </c>
      <c r="R9" s="709" t="s">
        <v>17</v>
      </c>
      <c r="S9" s="710">
        <f t="shared" si="0"/>
        <v>100</v>
      </c>
      <c r="T9" s="709" t="s">
        <v>17</v>
      </c>
      <c r="U9" s="710">
        <f t="shared" si="1"/>
        <v>100</v>
      </c>
      <c r="V9" s="709" t="s">
        <v>17</v>
      </c>
      <c r="W9" s="710">
        <f t="shared" si="2"/>
        <v>100</v>
      </c>
      <c r="X9" s="711"/>
      <c r="Y9" s="3425"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129</v>
      </c>
      <c r="G10" s="390"/>
      <c r="H10" s="131">
        <f>ROUND(100/'数据-取费表'!G16,0)</f>
        <v>129</v>
      </c>
      <c r="I10" s="390"/>
      <c r="J10" s="131">
        <f>ROUND(100/'数据-取费表'!G16,0)</f>
        <v>129</v>
      </c>
      <c r="K10" s="627"/>
      <c r="L10" s="2897"/>
      <c r="M10" s="2898"/>
      <c r="N10" s="2898"/>
      <c r="O10" s="2951"/>
      <c r="P10" s="3553"/>
      <c r="Q10" s="1477" t="str">
        <f t="shared" si="6"/>
        <v>土地使用年限（年）</v>
      </c>
      <c r="R10" s="709" t="s">
        <v>17</v>
      </c>
      <c r="S10" s="710">
        <f t="shared" si="0"/>
        <v>129</v>
      </c>
      <c r="T10" s="709" t="s">
        <v>17</v>
      </c>
      <c r="U10" s="710">
        <f t="shared" si="1"/>
        <v>129</v>
      </c>
      <c r="V10" s="709" t="s">
        <v>17</v>
      </c>
      <c r="W10" s="710">
        <f t="shared" si="2"/>
        <v>129</v>
      </c>
      <c r="X10" s="711"/>
      <c r="Y10" s="3425"/>
      <c r="Z10" s="55" t="str">
        <f t="shared" si="7"/>
        <v>土地使用年限（年）</v>
      </c>
      <c r="AA10" s="712">
        <f t="shared" si="3"/>
        <v>0.77519379844961245</v>
      </c>
      <c r="AB10" s="712">
        <f t="shared" si="4"/>
        <v>0.77519379844961245</v>
      </c>
      <c r="AC10" s="712">
        <f t="shared" si="5"/>
        <v>0.77519379844961245</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553"/>
      <c r="Q11" s="1477" t="str">
        <f t="shared" si="6"/>
        <v>容积率</v>
      </c>
      <c r="R11" s="709" t="s">
        <v>17</v>
      </c>
      <c r="S11" s="710" t="e">
        <f t="shared" si="0"/>
        <v>#N/A</v>
      </c>
      <c r="T11" s="709" t="s">
        <v>17</v>
      </c>
      <c r="U11" s="710" t="e">
        <f t="shared" si="1"/>
        <v>#N/A</v>
      </c>
      <c r="V11" s="709" t="s">
        <v>17</v>
      </c>
      <c r="W11" s="710" t="e">
        <f t="shared" si="2"/>
        <v>#N/A</v>
      </c>
      <c r="X11" s="711"/>
      <c r="Y11" s="3425"/>
      <c r="Z11" s="55" t="str">
        <f t="shared" si="7"/>
        <v>容积率</v>
      </c>
      <c r="AA11" s="712" t="e">
        <f t="shared" si="3"/>
        <v>#N/A</v>
      </c>
      <c r="AB11" s="712" t="e">
        <f t="shared" si="4"/>
        <v>#N/A</v>
      </c>
      <c r="AC11" s="712" t="e">
        <f t="shared" si="5"/>
        <v>#N/A</v>
      </c>
    </row>
    <row r="12" spans="1:29" s="113"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553"/>
      <c r="Q12" s="1477">
        <f t="shared" si="6"/>
        <v>111</v>
      </c>
      <c r="R12" s="709" t="s">
        <v>17</v>
      </c>
      <c r="S12" s="710">
        <f t="shared" si="0"/>
        <v>100</v>
      </c>
      <c r="T12" s="709" t="s">
        <v>17</v>
      </c>
      <c r="U12" s="710">
        <f t="shared" si="1"/>
        <v>100</v>
      </c>
      <c r="V12" s="709" t="s">
        <v>17</v>
      </c>
      <c r="W12" s="710">
        <f t="shared" si="2"/>
        <v>100</v>
      </c>
      <c r="X12" s="711"/>
      <c r="Y12" s="3425"/>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553"/>
      <c r="Q13" s="1477">
        <f t="shared" si="6"/>
        <v>111</v>
      </c>
      <c r="R13" s="709" t="s">
        <v>17</v>
      </c>
      <c r="S13" s="710">
        <f t="shared" si="0"/>
        <v>100</v>
      </c>
      <c r="T13" s="709" t="s">
        <v>17</v>
      </c>
      <c r="U13" s="710">
        <f t="shared" si="1"/>
        <v>100</v>
      </c>
      <c r="V13" s="709" t="s">
        <v>17</v>
      </c>
      <c r="W13" s="710">
        <f t="shared" si="2"/>
        <v>100</v>
      </c>
      <c r="X13" s="711"/>
      <c r="Y13" s="3425"/>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553"/>
      <c r="Q14" s="1477">
        <f t="shared" si="6"/>
        <v>111</v>
      </c>
      <c r="R14" s="709" t="s">
        <v>17</v>
      </c>
      <c r="S14" s="710">
        <f t="shared" si="0"/>
        <v>100</v>
      </c>
      <c r="T14" s="709" t="s">
        <v>17</v>
      </c>
      <c r="U14" s="710">
        <f t="shared" si="1"/>
        <v>100</v>
      </c>
      <c r="V14" s="709" t="s">
        <v>17</v>
      </c>
      <c r="W14" s="710">
        <f t="shared" si="2"/>
        <v>100</v>
      </c>
      <c r="X14" s="711"/>
      <c r="Y14" s="3425"/>
      <c r="Z14" s="55">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555" t="s">
        <v>2140</v>
      </c>
      <c r="Q15" s="1486" t="str">
        <f t="shared" si="6"/>
        <v>产业集聚程度</v>
      </c>
      <c r="R15" s="713" t="s">
        <v>17</v>
      </c>
      <c r="S15" s="714">
        <f t="shared" si="0"/>
        <v>100</v>
      </c>
      <c r="T15" s="713" t="s">
        <v>17</v>
      </c>
      <c r="U15" s="714">
        <f t="shared" si="1"/>
        <v>100</v>
      </c>
      <c r="V15" s="713" t="s">
        <v>17</v>
      </c>
      <c r="W15" s="714">
        <f t="shared" si="2"/>
        <v>100</v>
      </c>
      <c r="X15" s="1489"/>
      <c r="Y15" s="3555"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556"/>
      <c r="Q16" s="1486"/>
      <c r="R16" s="713"/>
      <c r="S16" s="714"/>
      <c r="T16" s="713"/>
      <c r="U16" s="714"/>
      <c r="V16" s="713"/>
      <c r="W16" s="714"/>
      <c r="X16" s="1489"/>
      <c r="Y16" s="3556"/>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556"/>
      <c r="Q17" s="1486" t="str">
        <f>B17</f>
        <v>交通便捷度</v>
      </c>
      <c r="R17" s="713" t="s">
        <v>17</v>
      </c>
      <c r="S17" s="714">
        <f>F17</f>
        <v>100</v>
      </c>
      <c r="T17" s="713" t="s">
        <v>17</v>
      </c>
      <c r="U17" s="714">
        <f>H17</f>
        <v>100</v>
      </c>
      <c r="V17" s="713" t="s">
        <v>17</v>
      </c>
      <c r="W17" s="714">
        <f>J17</f>
        <v>100</v>
      </c>
      <c r="X17" s="1489"/>
      <c r="Y17" s="3556"/>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556"/>
      <c r="Q18" s="1486"/>
      <c r="R18" s="713"/>
      <c r="S18" s="714"/>
      <c r="T18" s="713"/>
      <c r="U18" s="714"/>
      <c r="V18" s="713"/>
      <c r="W18" s="714"/>
      <c r="X18" s="1489"/>
      <c r="Y18" s="3556"/>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556"/>
      <c r="Q19" s="1486" t="str">
        <f t="shared" ref="Q19:Q33" si="8">B19</f>
        <v>区域土地利用方向</v>
      </c>
      <c r="R19" s="713" t="s">
        <v>17</v>
      </c>
      <c r="S19" s="714">
        <f>F19</f>
        <v>100</v>
      </c>
      <c r="T19" s="713" t="s">
        <v>17</v>
      </c>
      <c r="U19" s="714">
        <f>H19</f>
        <v>100</v>
      </c>
      <c r="V19" s="713" t="s">
        <v>17</v>
      </c>
      <c r="W19" s="714">
        <f>J19</f>
        <v>100</v>
      </c>
      <c r="X19" s="1489"/>
      <c r="Y19" s="3556"/>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556"/>
      <c r="Q20" s="1486"/>
      <c r="R20" s="713"/>
      <c r="S20" s="714"/>
      <c r="T20" s="713"/>
      <c r="U20" s="714"/>
      <c r="V20" s="713"/>
      <c r="W20" s="714"/>
      <c r="X20" s="1489"/>
      <c r="Y20" s="3556"/>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556"/>
      <c r="Q21" s="1486" t="str">
        <f t="shared" si="8"/>
        <v>环境状况</v>
      </c>
      <c r="R21" s="713" t="s">
        <v>17</v>
      </c>
      <c r="S21" s="714">
        <f>F21</f>
        <v>100</v>
      </c>
      <c r="T21" s="713" t="s">
        <v>17</v>
      </c>
      <c r="U21" s="714">
        <f>H21</f>
        <v>100</v>
      </c>
      <c r="V21" s="713" t="s">
        <v>17</v>
      </c>
      <c r="W21" s="714">
        <f>J21</f>
        <v>100</v>
      </c>
      <c r="X21" s="1489"/>
      <c r="Y21" s="3556"/>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556"/>
      <c r="Q22" s="1486"/>
      <c r="R22" s="713"/>
      <c r="S22" s="714"/>
      <c r="T22" s="713"/>
      <c r="U22" s="714"/>
      <c r="V22" s="713"/>
      <c r="W22" s="714"/>
      <c r="X22" s="1489"/>
      <c r="Y22" s="3556"/>
      <c r="Z22" s="1490"/>
      <c r="AA22" s="1487">
        <v>1</v>
      </c>
      <c r="AB22" s="1487">
        <v>1</v>
      </c>
      <c r="AC22" s="1487">
        <v>1</v>
      </c>
    </row>
    <row r="23" spans="1:29" s="113"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556"/>
      <c r="Q23" s="1477" t="str">
        <f t="shared" si="8"/>
        <v>公共配套设施</v>
      </c>
      <c r="R23" s="709" t="s">
        <v>17</v>
      </c>
      <c r="S23" s="710">
        <f>F23</f>
        <v>100</v>
      </c>
      <c r="T23" s="709" t="s">
        <v>17</v>
      </c>
      <c r="U23" s="710">
        <f>H23</f>
        <v>100</v>
      </c>
      <c r="V23" s="709" t="s">
        <v>17</v>
      </c>
      <c r="W23" s="710">
        <f>J23</f>
        <v>100</v>
      </c>
      <c r="X23" s="711"/>
      <c r="Y23" s="3556"/>
      <c r="Z23" s="55" t="str">
        <f>Q23</f>
        <v>公共配套设施</v>
      </c>
      <c r="AA23" s="1487">
        <f>D23/F23</f>
        <v>1</v>
      </c>
      <c r="AB23" s="1487">
        <f>D23/H23</f>
        <v>1</v>
      </c>
      <c r="AC23" s="1487">
        <f>D23/J23</f>
        <v>1</v>
      </c>
    </row>
    <row r="24" spans="1:29" s="113" customFormat="1" ht="15">
      <c r="A24" s="604"/>
      <c r="B24" s="587"/>
      <c r="C24" s="2114"/>
      <c r="D24" s="406"/>
      <c r="E24" s="2040"/>
      <c r="F24" s="406"/>
      <c r="G24" s="2040"/>
      <c r="H24" s="406"/>
      <c r="I24" s="405"/>
      <c r="J24" s="406"/>
      <c r="K24" s="627"/>
      <c r="L24" s="2895"/>
      <c r="M24" s="2896"/>
      <c r="N24" s="2896"/>
      <c r="O24" s="2950"/>
      <c r="P24" s="3556"/>
      <c r="Q24" s="1477"/>
      <c r="R24" s="709"/>
      <c r="S24" s="710"/>
      <c r="T24" s="709"/>
      <c r="U24" s="710"/>
      <c r="V24" s="709"/>
      <c r="W24" s="710"/>
      <c r="X24" s="711"/>
      <c r="Y24" s="3556"/>
      <c r="Z24" s="55"/>
      <c r="AA24" s="712">
        <v>1</v>
      </c>
      <c r="AB24" s="712">
        <v>1</v>
      </c>
      <c r="AC24" s="712">
        <v>1</v>
      </c>
    </row>
    <row r="25" spans="1:29" s="113"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556"/>
      <c r="Q25" s="1477" t="str">
        <f t="shared" ref="Q25" si="9">B25</f>
        <v>基础设施水平</v>
      </c>
      <c r="R25" s="709" t="s">
        <v>17</v>
      </c>
      <c r="S25" s="710">
        <f>F25</f>
        <v>100</v>
      </c>
      <c r="T25" s="709" t="s">
        <v>17</v>
      </c>
      <c r="U25" s="710">
        <f>H25</f>
        <v>100</v>
      </c>
      <c r="V25" s="709" t="s">
        <v>17</v>
      </c>
      <c r="W25" s="710">
        <f>J25</f>
        <v>100</v>
      </c>
      <c r="X25" s="711"/>
      <c r="Y25" s="3556"/>
      <c r="Z25" s="55" t="str">
        <f>Q25</f>
        <v>基础设施水平</v>
      </c>
      <c r="AA25" s="1487">
        <f>D25/F25</f>
        <v>1</v>
      </c>
      <c r="AB25" s="1487">
        <f>D25/H25</f>
        <v>1</v>
      </c>
      <c r="AC25" s="1487">
        <f>D25/J25</f>
        <v>1</v>
      </c>
    </row>
    <row r="26" spans="1:29" s="113" customFormat="1" ht="15">
      <c r="A26" s="604"/>
      <c r="B26" s="587"/>
      <c r="C26" s="2114"/>
      <c r="D26" s="406"/>
      <c r="E26" s="2115"/>
      <c r="F26" s="406"/>
      <c r="G26" s="2115"/>
      <c r="H26" s="406"/>
      <c r="I26" s="2115"/>
      <c r="J26" s="406"/>
      <c r="K26" s="627"/>
      <c r="L26" s="2895"/>
      <c r="M26" s="2896"/>
      <c r="N26" s="2896"/>
      <c r="O26" s="2950"/>
      <c r="P26" s="3556"/>
      <c r="Q26" s="1477"/>
      <c r="R26" s="709"/>
      <c r="S26" s="710"/>
      <c r="T26" s="709"/>
      <c r="U26" s="710"/>
      <c r="V26" s="709"/>
      <c r="W26" s="710"/>
      <c r="X26" s="711"/>
      <c r="Y26" s="3556"/>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556"/>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56"/>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556"/>
      <c r="Q28" s="1486" t="str">
        <f t="shared" si="8"/>
        <v>毗邻道路的类型与等级</v>
      </c>
      <c r="R28" s="713" t="s">
        <v>17</v>
      </c>
      <c r="S28" s="714">
        <f t="shared" si="10"/>
        <v>100</v>
      </c>
      <c r="T28" s="713" t="s">
        <v>17</v>
      </c>
      <c r="U28" s="714">
        <f t="shared" si="11"/>
        <v>100</v>
      </c>
      <c r="V28" s="713" t="s">
        <v>17</v>
      </c>
      <c r="W28" s="714">
        <f t="shared" si="12"/>
        <v>100</v>
      </c>
      <c r="X28" s="1489"/>
      <c r="Y28" s="3556"/>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556"/>
      <c r="Q29" s="1486"/>
      <c r="R29" s="713"/>
      <c r="S29" s="714"/>
      <c r="T29" s="713"/>
      <c r="U29" s="714"/>
      <c r="V29" s="713"/>
      <c r="W29" s="714"/>
      <c r="X29" s="1489"/>
      <c r="Y29" s="3556"/>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556"/>
      <c r="Q30" s="1486" t="str">
        <f t="shared" si="8"/>
        <v>土地级别</v>
      </c>
      <c r="R30" s="713" t="s">
        <v>17</v>
      </c>
      <c r="S30" s="714">
        <f t="shared" si="10"/>
        <v>100</v>
      </c>
      <c r="T30" s="713" t="s">
        <v>17</v>
      </c>
      <c r="U30" s="714">
        <f t="shared" si="11"/>
        <v>100</v>
      </c>
      <c r="V30" s="713" t="s">
        <v>17</v>
      </c>
      <c r="W30" s="714">
        <f t="shared" si="12"/>
        <v>100</v>
      </c>
      <c r="X30" s="1489"/>
      <c r="Y30" s="3556"/>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556"/>
      <c r="Q31" s="1486">
        <f t="shared" si="8"/>
        <v>111</v>
      </c>
      <c r="R31" s="713" t="s">
        <v>17</v>
      </c>
      <c r="S31" s="714">
        <f t="shared" si="10"/>
        <v>100</v>
      </c>
      <c r="T31" s="713" t="s">
        <v>17</v>
      </c>
      <c r="U31" s="714">
        <f t="shared" si="11"/>
        <v>100</v>
      </c>
      <c r="V31" s="713" t="s">
        <v>17</v>
      </c>
      <c r="W31" s="714">
        <f t="shared" si="12"/>
        <v>100</v>
      </c>
      <c r="X31" s="1489"/>
      <c r="Y31" s="3556"/>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613" t="s">
        <v>2145</v>
      </c>
      <c r="Q32" s="1486">
        <f t="shared" si="8"/>
        <v>111</v>
      </c>
      <c r="R32" s="713" t="s">
        <v>17</v>
      </c>
      <c r="S32" s="714">
        <f t="shared" si="10"/>
        <v>100</v>
      </c>
      <c r="T32" s="713" t="s">
        <v>17</v>
      </c>
      <c r="U32" s="714">
        <f t="shared" si="11"/>
        <v>100</v>
      </c>
      <c r="V32" s="713" t="s">
        <v>17</v>
      </c>
      <c r="W32" s="714">
        <f t="shared" si="12"/>
        <v>100</v>
      </c>
      <c r="X32" s="1489"/>
      <c r="Y32" s="3560"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560"/>
      <c r="Q33" s="1486">
        <f t="shared" si="8"/>
        <v>111</v>
      </c>
      <c r="R33" s="716" t="s">
        <v>17</v>
      </c>
      <c r="S33" s="717">
        <f t="shared" si="10"/>
        <v>100</v>
      </c>
      <c r="T33" s="716" t="s">
        <v>17</v>
      </c>
      <c r="U33" s="717">
        <f t="shared" si="11"/>
        <v>100</v>
      </c>
      <c r="V33" s="716" t="s">
        <v>17</v>
      </c>
      <c r="W33" s="717">
        <f t="shared" si="12"/>
        <v>100</v>
      </c>
      <c r="X33" s="718"/>
      <c r="Y33" s="3560"/>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560"/>
      <c r="Q34" s="1486" t="str">
        <f>B34</f>
        <v>宗地面积</v>
      </c>
      <c r="R34" s="713" t="s">
        <v>17</v>
      </c>
      <c r="S34" s="714" t="e">
        <f t="shared" si="10"/>
        <v>#N/A</v>
      </c>
      <c r="T34" s="713" t="s">
        <v>17</v>
      </c>
      <c r="U34" s="714" t="e">
        <f t="shared" si="11"/>
        <v>#N/A</v>
      </c>
      <c r="V34" s="713" t="s">
        <v>17</v>
      </c>
      <c r="W34" s="714" t="e">
        <f t="shared" si="12"/>
        <v>#N/A</v>
      </c>
      <c r="X34" s="1489"/>
      <c r="Y34" s="3560"/>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560"/>
      <c r="Q35" s="1486" t="str">
        <f t="shared" ref="Q35:Q40" si="14">B35</f>
        <v>宗地形状</v>
      </c>
      <c r="R35" s="713" t="s">
        <v>17</v>
      </c>
      <c r="S35" s="714">
        <f t="shared" si="10"/>
        <v>100</v>
      </c>
      <c r="T35" s="713" t="s">
        <v>17</v>
      </c>
      <c r="U35" s="714">
        <f t="shared" si="11"/>
        <v>100</v>
      </c>
      <c r="V35" s="713" t="s">
        <v>17</v>
      </c>
      <c r="W35" s="714">
        <f t="shared" si="12"/>
        <v>100</v>
      </c>
      <c r="X35" s="1489"/>
      <c r="Y35" s="3560"/>
      <c r="Z35" s="1490" t="str">
        <f t="shared" si="13"/>
        <v>宗地形状</v>
      </c>
      <c r="AA35" s="1487">
        <f t="shared" si="3"/>
        <v>1</v>
      </c>
      <c r="AB35" s="1487">
        <f t="shared" si="4"/>
        <v>1</v>
      </c>
      <c r="AC35" s="1487">
        <f t="shared" si="5"/>
        <v>1</v>
      </c>
    </row>
    <row r="36" spans="1:31" s="113"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560"/>
      <c r="Q36" s="1486" t="str">
        <f t="shared" si="14"/>
        <v>宗地开发程度</v>
      </c>
      <c r="R36" s="709" t="s">
        <v>17</v>
      </c>
      <c r="S36" s="710">
        <f t="shared" si="10"/>
        <v>100</v>
      </c>
      <c r="T36" s="709" t="s">
        <v>17</v>
      </c>
      <c r="U36" s="710">
        <f t="shared" si="11"/>
        <v>100</v>
      </c>
      <c r="V36" s="709" t="s">
        <v>17</v>
      </c>
      <c r="W36" s="710">
        <f t="shared" si="12"/>
        <v>100</v>
      </c>
      <c r="X36" s="711"/>
      <c r="Y36" s="3560"/>
      <c r="Z36" s="55"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560" t="s">
        <v>2145</v>
      </c>
      <c r="Q37" s="1486" t="str">
        <f t="shared" si="14"/>
        <v>工程地质条件</v>
      </c>
      <c r="R37" s="713" t="s">
        <v>17</v>
      </c>
      <c r="S37" s="714">
        <f t="shared" si="10"/>
        <v>100</v>
      </c>
      <c r="T37" s="713" t="s">
        <v>17</v>
      </c>
      <c r="U37" s="714">
        <f t="shared" si="11"/>
        <v>100</v>
      </c>
      <c r="V37" s="713" t="s">
        <v>17</v>
      </c>
      <c r="W37" s="714">
        <f t="shared" si="12"/>
        <v>100</v>
      </c>
      <c r="X37" s="1489"/>
      <c r="Y37" s="3560"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560"/>
      <c r="Q38" s="1486">
        <f t="shared" si="14"/>
        <v>111</v>
      </c>
      <c r="R38" s="713" t="s">
        <v>17</v>
      </c>
      <c r="S38" s="714">
        <f t="shared" si="10"/>
        <v>100</v>
      </c>
      <c r="T38" s="713" t="s">
        <v>17</v>
      </c>
      <c r="U38" s="714">
        <f t="shared" si="11"/>
        <v>100</v>
      </c>
      <c r="V38" s="713" t="s">
        <v>17</v>
      </c>
      <c r="W38" s="714">
        <f t="shared" si="12"/>
        <v>100</v>
      </c>
      <c r="X38" s="1489"/>
      <c r="Y38" s="3560"/>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560"/>
      <c r="Q39" s="1486">
        <f t="shared" si="14"/>
        <v>111</v>
      </c>
      <c r="R39" s="713" t="s">
        <v>17</v>
      </c>
      <c r="S39" s="714">
        <f t="shared" si="10"/>
        <v>100</v>
      </c>
      <c r="T39" s="713" t="s">
        <v>17</v>
      </c>
      <c r="U39" s="714">
        <f t="shared" si="11"/>
        <v>100</v>
      </c>
      <c r="V39" s="713" t="s">
        <v>17</v>
      </c>
      <c r="W39" s="714">
        <f t="shared" si="12"/>
        <v>100</v>
      </c>
      <c r="X39" s="1489"/>
      <c r="Y39" s="3560"/>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560"/>
      <c r="Q40" s="1486">
        <f t="shared" si="14"/>
        <v>111</v>
      </c>
      <c r="R40" s="716" t="s">
        <v>17</v>
      </c>
      <c r="S40" s="717">
        <f t="shared" si="10"/>
        <v>100</v>
      </c>
      <c r="T40" s="716" t="s">
        <v>17</v>
      </c>
      <c r="U40" s="717">
        <f t="shared" si="11"/>
        <v>100</v>
      </c>
      <c r="V40" s="716" t="s">
        <v>17</v>
      </c>
      <c r="W40" s="717">
        <f t="shared" si="12"/>
        <v>100</v>
      </c>
      <c r="X40" s="718"/>
      <c r="Y40" s="3560"/>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553" t="str">
        <f>A41</f>
        <v>成交单价</v>
      </c>
      <c r="Q41" s="3553"/>
      <c r="R41" s="3584">
        <f>E41</f>
        <v>0</v>
      </c>
      <c r="S41" s="3584"/>
      <c r="T41" s="3584">
        <f>G41</f>
        <v>0</v>
      </c>
      <c r="U41" s="3584"/>
      <c r="V41" s="3584">
        <f>I41</f>
        <v>0</v>
      </c>
      <c r="W41" s="3584"/>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553" t="str">
        <f>A42</f>
        <v>比较价值（元/平方米）</v>
      </c>
      <c r="Q42" s="3553"/>
      <c r="R42" s="3615" t="e">
        <f>ROUND(PRODUCT(R41,AA7:AA40),0)</f>
        <v>#DIV/0!</v>
      </c>
      <c r="S42" s="3615"/>
      <c r="T42" s="3615" t="e">
        <f>ROUND(PRODUCT(T41,AB7:AB40),0)</f>
        <v>#DIV/0!</v>
      </c>
      <c r="U42" s="3615"/>
      <c r="V42" s="3615" t="e">
        <f>ROUND(PRODUCT(V41,AC7:AC40),0)</f>
        <v>#DIV/0!</v>
      </c>
      <c r="W42" s="3615"/>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550" t="str">
        <f>A43</f>
        <v>估价对象XX用房的比较价值（楼面单价，元/平方米）</v>
      </c>
      <c r="Q43" s="3551"/>
      <c r="R43" s="3616" t="e">
        <f>ROUND(IF(D42="简单平均",AVERAGE(R42:W42),R42*F42+T42*H42+V42*J42),0)</f>
        <v>#DIV/0!</v>
      </c>
      <c r="S43" s="3616"/>
      <c r="T43" s="3616"/>
      <c r="U43" s="3616"/>
      <c r="V43" s="3616"/>
      <c r="W43" s="3616"/>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568" t="s">
        <v>2344</v>
      </c>
      <c r="H50" s="3617"/>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6192.7899999999991</v>
      </c>
      <c r="F51" s="646" t="e">
        <f t="shared" ref="F51:F60" si="15">ROUND(B51*E51/10000,0)</f>
        <v>#DIV/0!</v>
      </c>
      <c r="G51" s="3564"/>
      <c r="H51" s="3553"/>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801.32</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2022-9-1</v>
      </c>
      <c r="D63" s="700">
        <f>EDATE(C63,-3)</f>
        <v>44713</v>
      </c>
      <c r="E63" s="700">
        <f>EDATE(D63,-3)</f>
        <v>44621</v>
      </c>
      <c r="F63" s="700">
        <f t="shared" ref="F63:O63" si="18">EDATE(E63,-3)</f>
        <v>44531</v>
      </c>
      <c r="G63" s="700">
        <f t="shared" si="18"/>
        <v>44440</v>
      </c>
      <c r="H63" s="700">
        <f t="shared" si="18"/>
        <v>44348</v>
      </c>
      <c r="I63" s="700">
        <f t="shared" si="18"/>
        <v>44256</v>
      </c>
      <c r="J63" s="700">
        <f t="shared" si="18"/>
        <v>44166</v>
      </c>
      <c r="K63" s="700">
        <f t="shared" si="18"/>
        <v>44075</v>
      </c>
      <c r="L63" s="700">
        <f t="shared" si="18"/>
        <v>43983</v>
      </c>
      <c r="M63" s="700">
        <f t="shared" si="18"/>
        <v>43891</v>
      </c>
      <c r="N63" s="700">
        <f t="shared" si="18"/>
        <v>43800</v>
      </c>
      <c r="O63" s="700">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3"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7.73</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625"/>
      <c r="B4" s="3626"/>
      <c r="C4" s="3626"/>
      <c r="D4" s="3627"/>
      <c r="E4" s="3627"/>
      <c r="F4" s="3627"/>
      <c r="G4" s="3627"/>
      <c r="H4" s="3627"/>
      <c r="I4" s="3627"/>
      <c r="J4" s="3628"/>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629"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7.73</v>
      </c>
      <c r="AA7" s="1330"/>
      <c r="AB7" s="1330"/>
      <c r="AC7" s="1331"/>
      <c r="AD7" s="1332"/>
      <c r="AE7" s="1332"/>
      <c r="AF7" s="1332"/>
      <c r="AG7" s="1332"/>
      <c r="AH7" s="1332"/>
      <c r="AI7" s="1332"/>
      <c r="AJ7" s="1333"/>
    </row>
    <row r="8" spans="1:36" ht="15">
      <c r="A8" s="3630"/>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622" t="s">
        <v>2419</v>
      </c>
      <c r="X8" s="3623"/>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630"/>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624"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630"/>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62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630"/>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624" t="s">
        <v>2443</v>
      </c>
      <c r="X11" s="1338" t="s">
        <v>2444</v>
      </c>
      <c r="Y11" s="1339">
        <f>$G$3</f>
        <v>7.73</v>
      </c>
      <c r="Z11" s="1339">
        <f t="shared" ref="Z11:AJ11" si="3">$G$3</f>
        <v>7.73</v>
      </c>
      <c r="AA11" s="1339">
        <f t="shared" si="3"/>
        <v>7.73</v>
      </c>
      <c r="AB11" s="1339">
        <f t="shared" si="3"/>
        <v>7.73</v>
      </c>
      <c r="AC11" s="1339">
        <f t="shared" si="3"/>
        <v>7.73</v>
      </c>
      <c r="AD11" s="1339">
        <f t="shared" si="3"/>
        <v>7.73</v>
      </c>
      <c r="AE11" s="1339">
        <f t="shared" si="3"/>
        <v>7.73</v>
      </c>
      <c r="AF11" s="1339">
        <f t="shared" si="3"/>
        <v>7.73</v>
      </c>
      <c r="AG11" s="1339">
        <f t="shared" si="3"/>
        <v>7.73</v>
      </c>
      <c r="AH11" s="1339">
        <f t="shared" si="3"/>
        <v>7.73</v>
      </c>
      <c r="AI11" s="1339">
        <f t="shared" si="3"/>
        <v>7.73</v>
      </c>
      <c r="AJ11" s="1339">
        <f t="shared" si="3"/>
        <v>7.73</v>
      </c>
    </row>
    <row r="12" spans="1:36" ht="25.5" thickBot="1">
      <c r="A12" s="3629"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624"/>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631"/>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624"/>
      <c r="X13" s="1340"/>
      <c r="Y13" s="1337">
        <f>(-0.163*(Y12^2)-0.59*Y12+7617)*(10^(-4))/Y11</f>
        <v>9.8538163001293658E-2</v>
      </c>
      <c r="Z13" s="1337">
        <f t="shared" ref="Z13:AJ13" si="5">(-0.163*(Z12^2)-0.59*Z12+7617)*(10^(-4))/Z11</f>
        <v>9.8538163001293658E-2</v>
      </c>
      <c r="AA13" s="1337">
        <f t="shared" si="5"/>
        <v>9.8538163001293658E-2</v>
      </c>
      <c r="AB13" s="1337">
        <f t="shared" si="5"/>
        <v>9.8538163001293658E-2</v>
      </c>
      <c r="AC13" s="1337">
        <f t="shared" si="5"/>
        <v>9.8538163001293658E-2</v>
      </c>
      <c r="AD13" s="1337">
        <f t="shared" si="5"/>
        <v>9.8538163001293658E-2</v>
      </c>
      <c r="AE13" s="1337">
        <f t="shared" si="5"/>
        <v>9.8538163001293658E-2</v>
      </c>
      <c r="AF13" s="1337">
        <f t="shared" si="5"/>
        <v>9.8538163001293658E-2</v>
      </c>
      <c r="AG13" s="1337">
        <f t="shared" si="5"/>
        <v>9.8538163001293658E-2</v>
      </c>
      <c r="AH13" s="1337">
        <f t="shared" si="5"/>
        <v>9.8538163001293658E-2</v>
      </c>
      <c r="AI13" s="1337">
        <f t="shared" si="5"/>
        <v>9.8538163001293658E-2</v>
      </c>
      <c r="AJ13" s="1337">
        <f t="shared" si="5"/>
        <v>9.8538163001293658E-2</v>
      </c>
    </row>
    <row r="14" spans="1:36" ht="15">
      <c r="A14" s="3631"/>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632"/>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629" t="s">
        <v>2462</v>
      </c>
      <c r="B16" s="2159" t="s">
        <v>2463</v>
      </c>
      <c r="C16" s="2321" t="e">
        <f>ROUND(IF(F17="与级别开发程度一致",0,(G17-E17)/C17),0)</f>
        <v>#DIV/0!</v>
      </c>
      <c r="D16" s="3645" t="s">
        <v>2467</v>
      </c>
      <c r="E16" s="3646"/>
      <c r="F16" s="3645" t="s">
        <v>2464</v>
      </c>
      <c r="G16" s="3646"/>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633"/>
      <c r="B17" s="2332" t="s">
        <v>2466</v>
      </c>
      <c r="C17" s="2333">
        <f>SUMPRODUCT((修正!A2:A7=E2)*(修正!B1:M1=G2)*(修正!B2:M7))</f>
        <v>0</v>
      </c>
      <c r="D17" s="192"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44820</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v>
      </c>
      <c r="E22" s="836">
        <f>ROUNDDOWN(G3,1)</f>
        <v>7.7</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7.8</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642"/>
      <c r="B33" s="2262" t="s">
        <v>2509</v>
      </c>
      <c r="C33" s="179" t="e">
        <f>ROUND(D5*C19*C20*C24*F33,0)</f>
        <v>#DIV/0!</v>
      </c>
      <c r="D33" s="2246"/>
      <c r="E33" s="175" t="e">
        <f>ROUND(C33*D33/10000,0)</f>
        <v>#DIV/0!</v>
      </c>
      <c r="F33" s="175">
        <f>SUMIF(修正!A57:A68,G2,修正!B57:B68)</f>
        <v>0</v>
      </c>
      <c r="G33" s="175" t="e">
        <f t="shared" ref="G33" si="6">ROUND(IF(E2="工业",C33*$M$39,C33*$M$38),0)</f>
        <v>#DIV/0!</v>
      </c>
      <c r="H33" s="175">
        <f>D33</f>
        <v>0</v>
      </c>
      <c r="I33" s="175" t="e">
        <f>ROUND(G33*H33/10000,0)</f>
        <v>#DIV/0!</v>
      </c>
      <c r="J33" s="3647" t="s">
        <v>2809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643"/>
      <c r="B34" s="2179" t="s">
        <v>2510</v>
      </c>
      <c r="C34" s="179" t="e">
        <f>ROUND(D5*C19*C20*C24*F34,0)</f>
        <v>#DIV/0!</v>
      </c>
      <c r="D34" s="2246"/>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64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643"/>
      <c r="B35" s="2179" t="s">
        <v>2511</v>
      </c>
      <c r="C35" s="179" t="e">
        <f>ROUND(D5*C19*C20*C24*F35,0)</f>
        <v>#DIV/0!</v>
      </c>
      <c r="D35" s="2246"/>
      <c r="E35" s="175" t="e">
        <f t="shared" si="7"/>
        <v>#DIV/0!</v>
      </c>
      <c r="F35" s="175">
        <f>SUMIF(修正!A57:A68,G2,修正!D57:D68)</f>
        <v>0</v>
      </c>
      <c r="G35" s="175" t="e">
        <f>ROUND(IF(E2="工业",C35*$M$39,C35*$M$38),0)</f>
        <v>#DIV/0!</v>
      </c>
      <c r="H35" s="175">
        <f t="shared" si="8"/>
        <v>0</v>
      </c>
      <c r="I35" s="175" t="e">
        <f t="shared" si="9"/>
        <v>#DIV/0!</v>
      </c>
      <c r="J35" s="364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644"/>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644"/>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02">
      <c r="A49" s="2279" t="s">
        <v>2529</v>
      </c>
      <c r="B49" s="2283" t="str">
        <f>估价对象房地状况!C18</f>
        <v>估价对象为距离东二环约600米，北侧临近工人体育场北路，周边有3路、4路、113路、115录吧、406路等公交通行，距离地铁2号线东四十条站约700米，交通便捷度较好。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178.5">
      <c r="A54" s="2286" t="s">
        <v>2536</v>
      </c>
      <c r="B54" s="1446" t="str">
        <f>估价对象房地状况!C21</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51.75" thickBot="1">
      <c r="A56" s="2287" t="s">
        <v>2538</v>
      </c>
      <c r="B56" s="2288" t="str">
        <f>估价对象房地状况!C20</f>
        <v>区域自然环境：东岳庙；人文环境：北京工人体育场、保利剧院；综合评价环境状况较好</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51">
      <c r="A59" s="2279" t="s">
        <v>2541</v>
      </c>
      <c r="B59" s="2282" t="str">
        <f>估价对象房地状况!C17</f>
        <v>估价对象地处东城区，周边办公楼项目较多，入驻率高，办公集聚程度较好。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02">
      <c r="A60" s="2279" t="s">
        <v>2529</v>
      </c>
      <c r="B60" s="2283" t="str">
        <f>估价对象房地状况!C18</f>
        <v>估价对象为距离东二环约600米，北侧临近工人体育场北路，周边有3路、4路、113路、115录吧、406路等公交通行，距离地铁2号线东四十条站约700米，交通便捷度较好。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178.5">
      <c r="A65" s="2279" t="s">
        <v>2536</v>
      </c>
      <c r="B65" s="1446" t="str">
        <f>估价对象房地状况!C21</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51.75" thickBot="1">
      <c r="A67" s="2287" t="s">
        <v>2538</v>
      </c>
      <c r="B67" s="2289" t="str">
        <f>估价对象房地状况!C20</f>
        <v>区域自然环境：东岳庙；人文环境：北京工人体育场、保利剧院；综合评价环境状况较好</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02">
      <c r="A71" s="2279" t="s">
        <v>2529</v>
      </c>
      <c r="B71" s="2283" t="str">
        <f>估价对象房地状况!C18</f>
        <v>估价对象为距离东二环约600米，北侧临近工人体育场北路，周边有3路、4路、113路、115录吧、406路等公交通行，距离地铁2号线东四十条站约700米，交通便捷度较好。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178.5">
      <c r="A74" s="2279" t="s">
        <v>2536</v>
      </c>
      <c r="B74" s="1446" t="str">
        <f>估价对象房地状况!C21</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51">
      <c r="A77" s="2279" t="s">
        <v>2538</v>
      </c>
      <c r="B77" s="2282" t="str">
        <f>估价对象房地状况!C20</f>
        <v>区域自然环境：东岳庙；人文环境：北京工人体育场、保利剧院；综合评价环境状况较好</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634" t="s">
        <v>2550</v>
      </c>
      <c r="B90" s="3634"/>
      <c r="C90" s="3634"/>
      <c r="D90" s="3634"/>
      <c r="E90" s="3634"/>
      <c r="F90" s="3634"/>
      <c r="G90" s="3634"/>
      <c r="H90" s="3634"/>
      <c r="I90" s="3634"/>
      <c r="J90" s="3634"/>
      <c r="K90" s="2293"/>
      <c r="L90" s="2293"/>
      <c r="M90" s="2293"/>
      <c r="N90" s="2293"/>
    </row>
    <row r="91" spans="1:37">
      <c r="A91" s="3636" t="s">
        <v>2551</v>
      </c>
      <c r="B91" s="3636" t="s">
        <v>2552</v>
      </c>
      <c r="C91" s="2247" t="s">
        <v>2553</v>
      </c>
      <c r="D91" s="2248"/>
      <c r="E91" s="2248"/>
      <c r="F91" s="2248"/>
      <c r="G91" s="2248"/>
      <c r="H91" s="2248"/>
      <c r="I91" s="2248"/>
      <c r="J91" s="2294"/>
      <c r="K91" s="2295"/>
      <c r="L91" s="2295"/>
      <c r="M91" s="2295"/>
      <c r="N91" s="2295"/>
    </row>
    <row r="92" spans="1:37">
      <c r="A92" s="3636"/>
      <c r="B92" s="363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637"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3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3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3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3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3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38"/>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3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37" t="s">
        <v>2555</v>
      </c>
      <c r="B101" s="2300" t="s">
        <v>2556</v>
      </c>
      <c r="C101" s="2301">
        <f>$G$3</f>
        <v>7.73</v>
      </c>
      <c r="D101" s="2301">
        <f t="shared" ref="D101:N101" si="31">$G$3</f>
        <v>7.73</v>
      </c>
      <c r="E101" s="2301">
        <f t="shared" si="31"/>
        <v>7.73</v>
      </c>
      <c r="F101" s="2301">
        <f t="shared" si="31"/>
        <v>7.73</v>
      </c>
      <c r="G101" s="2301">
        <f t="shared" si="31"/>
        <v>7.73</v>
      </c>
      <c r="H101" s="2301">
        <f t="shared" si="31"/>
        <v>7.73</v>
      </c>
      <c r="I101" s="2301">
        <f t="shared" si="31"/>
        <v>7.73</v>
      </c>
      <c r="J101" s="2301">
        <f t="shared" si="31"/>
        <v>7.73</v>
      </c>
      <c r="K101" s="2301">
        <f t="shared" si="31"/>
        <v>7.73</v>
      </c>
      <c r="L101" s="2301">
        <f t="shared" si="31"/>
        <v>7.73</v>
      </c>
      <c r="M101" s="2301">
        <f t="shared" si="31"/>
        <v>7.73</v>
      </c>
      <c r="N101" s="2301">
        <f t="shared" si="31"/>
        <v>7.73</v>
      </c>
    </row>
    <row r="102" spans="1:14">
      <c r="A102" s="3638"/>
      <c r="B102" s="2296">
        <v>1</v>
      </c>
      <c r="C102" s="2297">
        <f>1.9362/C101</f>
        <v>0.25047865459249674</v>
      </c>
      <c r="D102" s="2297">
        <f>1.9362/D101</f>
        <v>0.25047865459249674</v>
      </c>
      <c r="E102" s="2297">
        <f>1.8629/E101</f>
        <v>0.24099611901681758</v>
      </c>
      <c r="F102" s="2297">
        <f>1.8629/F101</f>
        <v>0.24099611901681758</v>
      </c>
      <c r="G102" s="2297">
        <f>1.8629/G101</f>
        <v>0.24099611901681758</v>
      </c>
      <c r="H102" s="2297">
        <f>1.8629/H101</f>
        <v>0.24099611901681758</v>
      </c>
      <c r="I102" s="2297">
        <f>1.8629/I101</f>
        <v>0.24099611901681758</v>
      </c>
      <c r="J102" s="2297">
        <f>1.942/J101</f>
        <v>0.25122897800776195</v>
      </c>
      <c r="K102" s="2297">
        <f>1.942/K101</f>
        <v>0.25122897800776195</v>
      </c>
      <c r="L102" s="2297">
        <f>1.942/L101</f>
        <v>0.25122897800776195</v>
      </c>
      <c r="M102" s="2297">
        <f>1.942/M101</f>
        <v>0.25122897800776195</v>
      </c>
      <c r="N102" s="2297">
        <f>1.942/N101</f>
        <v>0.25122897800776195</v>
      </c>
    </row>
    <row r="103" spans="1:14">
      <c r="A103" s="3638"/>
      <c r="B103" s="2296">
        <v>2</v>
      </c>
      <c r="C103" s="2297">
        <f>1.4198/C101</f>
        <v>0.18367399741267787</v>
      </c>
      <c r="D103" s="2297">
        <f>1.4198/D101</f>
        <v>0.18367399741267787</v>
      </c>
      <c r="E103" s="2297">
        <f>1.3372/E101</f>
        <v>0.17298835705045276</v>
      </c>
      <c r="F103" s="2297">
        <f>1.3372/F101</f>
        <v>0.17298835705045276</v>
      </c>
      <c r="G103" s="2297">
        <f>1.3372/G101</f>
        <v>0.17298835705045276</v>
      </c>
      <c r="H103" s="2297">
        <f>1.3372/H101</f>
        <v>0.17298835705045276</v>
      </c>
      <c r="I103" s="2297">
        <f>1.3372/I101</f>
        <v>0.17298835705045276</v>
      </c>
      <c r="J103" s="2297">
        <f>1.2799/J101</f>
        <v>0.16557567917205693</v>
      </c>
      <c r="K103" s="2297">
        <f>1.2799/K101</f>
        <v>0.16557567917205693</v>
      </c>
      <c r="L103" s="2297">
        <f>1.2799/L101</f>
        <v>0.16557567917205693</v>
      </c>
      <c r="M103" s="2297">
        <f>1.2799/M101</f>
        <v>0.16557567917205693</v>
      </c>
      <c r="N103" s="2297">
        <f>1.2799/N101</f>
        <v>0.16557567917205693</v>
      </c>
    </row>
    <row r="104" spans="1:14">
      <c r="A104" s="3638"/>
      <c r="B104" s="2296">
        <v>3</v>
      </c>
      <c r="C104" s="2297">
        <f>1.1594/C101</f>
        <v>0.14998706338939197</v>
      </c>
      <c r="D104" s="2297">
        <f>1.1594/D101</f>
        <v>0.14998706338939197</v>
      </c>
      <c r="E104" s="2297">
        <f>1.0788/E101</f>
        <v>0.1395601552393273</v>
      </c>
      <c r="F104" s="2297">
        <f>1.0788/F101</f>
        <v>0.1395601552393273</v>
      </c>
      <c r="G104" s="2297">
        <f>1.0788/G101</f>
        <v>0.1395601552393273</v>
      </c>
      <c r="H104" s="2297">
        <f>1.0788/H101</f>
        <v>0.1395601552393273</v>
      </c>
      <c r="I104" s="2297">
        <f>1.0788/I101</f>
        <v>0.1395601552393273</v>
      </c>
      <c r="J104" s="2297">
        <f>1.0072/J101</f>
        <v>0.13029754204398447</v>
      </c>
      <c r="K104" s="2297">
        <f>1.0072/K101</f>
        <v>0.13029754204398447</v>
      </c>
      <c r="L104" s="2297">
        <f>1.0072/L101</f>
        <v>0.13029754204398447</v>
      </c>
      <c r="M104" s="2297">
        <f>1.0072/M101</f>
        <v>0.13029754204398447</v>
      </c>
      <c r="N104" s="2297">
        <f>1.0072/N101</f>
        <v>0.13029754204398447</v>
      </c>
    </row>
    <row r="105" spans="1:14">
      <c r="A105" s="3638"/>
      <c r="B105" s="2296">
        <v>4</v>
      </c>
      <c r="C105" s="2297">
        <f>0.9622/C101</f>
        <v>0.12447606727037516</v>
      </c>
      <c r="D105" s="2297">
        <f>0.9622/D101</f>
        <v>0.12447606727037516</v>
      </c>
      <c r="E105" s="2297">
        <f>0.8656/E101</f>
        <v>0.11197930142302717</v>
      </c>
      <c r="F105" s="2297">
        <f>0.8656/F101</f>
        <v>0.11197930142302717</v>
      </c>
      <c r="G105" s="2297">
        <f>0.8656/G101</f>
        <v>0.11197930142302717</v>
      </c>
      <c r="H105" s="2297">
        <f>0.8656/H101</f>
        <v>0.11197930142302717</v>
      </c>
      <c r="I105" s="2297">
        <f>0.8656/I101</f>
        <v>0.11197930142302717</v>
      </c>
      <c r="J105" s="2297">
        <f>0.7525/J101</f>
        <v>9.7347994825355749E-2</v>
      </c>
      <c r="K105" s="2297">
        <f>0.7525/K101</f>
        <v>9.7347994825355749E-2</v>
      </c>
      <c r="L105" s="2297">
        <f>0.7525/L101</f>
        <v>9.7347994825355749E-2</v>
      </c>
      <c r="M105" s="2297">
        <f>0.7525/M101</f>
        <v>9.7347994825355749E-2</v>
      </c>
      <c r="N105" s="2297">
        <f>0.7525/N101</f>
        <v>9.7347994825355749E-2</v>
      </c>
    </row>
    <row r="106" spans="1:14">
      <c r="A106" s="3638"/>
      <c r="B106" s="2296">
        <v>5</v>
      </c>
      <c r="C106" s="2297">
        <f>0.8417/C101</f>
        <v>0.10888745148771022</v>
      </c>
      <c r="D106" s="2297">
        <f>0.8417/D101</f>
        <v>0.10888745148771022</v>
      </c>
      <c r="E106" s="2297">
        <f>0.7371/E101</f>
        <v>9.5355756791720564E-2</v>
      </c>
      <c r="F106" s="2297">
        <f>0.7371/F101</f>
        <v>9.5355756791720564E-2</v>
      </c>
      <c r="G106" s="2297">
        <f>0.7371/G101</f>
        <v>9.5355756791720564E-2</v>
      </c>
      <c r="H106" s="2297">
        <f>0.7371/H101</f>
        <v>9.5355756791720564E-2</v>
      </c>
      <c r="I106" s="2297">
        <f>0.7371/I101</f>
        <v>9.5355756791720564E-2</v>
      </c>
      <c r="J106" s="2297">
        <f>0.5659/J101</f>
        <v>7.3208279430789128E-2</v>
      </c>
      <c r="K106" s="2297">
        <f>0.5659/K101</f>
        <v>7.3208279430789128E-2</v>
      </c>
      <c r="L106" s="2297">
        <f>0.5659/L101</f>
        <v>7.3208279430789128E-2</v>
      </c>
      <c r="M106" s="2297">
        <f>0.5659/M101</f>
        <v>7.3208279430789128E-2</v>
      </c>
      <c r="N106" s="2297">
        <f>0.5659/N101</f>
        <v>7.3208279430789128E-2</v>
      </c>
    </row>
    <row r="107" spans="1:14">
      <c r="A107" s="3638"/>
      <c r="B107" s="2296">
        <v>6</v>
      </c>
      <c r="C107" s="2297">
        <f>0.7608/C101</f>
        <v>9.8421733505821479E-2</v>
      </c>
      <c r="D107" s="2297">
        <f>0.7608/D101</f>
        <v>9.8421733505821479E-2</v>
      </c>
      <c r="E107" s="2297">
        <f>0.6482/E101</f>
        <v>8.3855109961190166E-2</v>
      </c>
      <c r="F107" s="2297">
        <f>0.6482/F101</f>
        <v>8.3855109961190166E-2</v>
      </c>
      <c r="G107" s="2297">
        <f>0.6482/G101</f>
        <v>8.3855109961190166E-2</v>
      </c>
      <c r="H107" s="2297">
        <f>0.6482/H101</f>
        <v>8.3855109961190166E-2</v>
      </c>
      <c r="I107" s="2297">
        <f>0.6482/I101</f>
        <v>8.3855109961190166E-2</v>
      </c>
      <c r="J107" s="2297">
        <f>0.4525/J101</f>
        <v>5.8538163001293657E-2</v>
      </c>
      <c r="K107" s="2297">
        <f>0.4525/K101</f>
        <v>5.8538163001293657E-2</v>
      </c>
      <c r="L107" s="2297">
        <f>0.4525/L101</f>
        <v>5.8538163001293657E-2</v>
      </c>
      <c r="M107" s="2297">
        <f>0.4525/M101</f>
        <v>5.8538163001293657E-2</v>
      </c>
      <c r="N107" s="2297">
        <f>0.4525/N101</f>
        <v>5.8538163001293657E-2</v>
      </c>
    </row>
    <row r="108" spans="1:14">
      <c r="A108" s="3638"/>
      <c r="B108" s="3640"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39"/>
      <c r="B109" s="3641"/>
      <c r="C109" s="2299">
        <f>(-0.163*(C108^2)-0.59*C108+7617)*(10^(-4))/C101</f>
        <v>9.8538163001293658E-2</v>
      </c>
      <c r="D109" s="2299">
        <f>(-0.163*(D108^2)-0.59*D108+7617)*(10^(-4))/D101</f>
        <v>9.8538163001293658E-2</v>
      </c>
      <c r="E109" s="2299">
        <f>(-0.161*(E108^2)-7.509*E108+6533)*(10^(-4))/E101</f>
        <v>8.4514877102199223E-2</v>
      </c>
      <c r="F109" s="2299">
        <f>(-0.161*(F108^2)-7.509*F108+6533)*(10^(-4))/F101</f>
        <v>8.4514877102199223E-2</v>
      </c>
      <c r="G109" s="2299">
        <f>(-0.161*(G108^2)-7.509*G108+6533)*(10^(-4))/G101</f>
        <v>8.4514877102199223E-2</v>
      </c>
      <c r="H109" s="2299">
        <f>(-0.161*(H108^2)-7.509*H108+6533)*(10^(-4))/H101</f>
        <v>8.4514877102199223E-2</v>
      </c>
      <c r="I109" s="2299">
        <f>(-0.161*(I108^2)-7.509*I108+6533)*(10^(-4))/I101</f>
        <v>8.4514877102199223E-2</v>
      </c>
      <c r="J109" s="2299">
        <f>(-0.214*(J108^2)-21.991*J108+4665)*(10^(-4))/J101</f>
        <v>6.0349288486416561E-2</v>
      </c>
      <c r="K109" s="2299">
        <f>(-0.214*(K108^2)-21.991*K108+4665)*(10^(-4))/K101</f>
        <v>6.0349288486416561E-2</v>
      </c>
      <c r="L109" s="2299">
        <f>(-0.214*(L108^2)-21.991*L108+4665)*(10^(-4))/L101</f>
        <v>6.0349288486416561E-2</v>
      </c>
      <c r="M109" s="2299">
        <f>(-0.214*(M108^2)-21.991*M108+4665)*(10^(-4))/M101</f>
        <v>6.0349288486416561E-2</v>
      </c>
      <c r="N109" s="2299">
        <f>(-0.214*(N108^2)-21.991*N108+4665)*(10^(-4))/N101</f>
        <v>6.0349288486416561E-2</v>
      </c>
    </row>
    <row r="110" spans="1:14">
      <c r="A110" s="3635" t="s">
        <v>2558</v>
      </c>
      <c r="B110" s="3635"/>
      <c r="C110" s="3635"/>
      <c r="D110" s="3635"/>
      <c r="E110" s="3635"/>
      <c r="F110" s="3635"/>
      <c r="G110" s="3635"/>
      <c r="H110" s="3635"/>
      <c r="I110" s="3635"/>
      <c r="J110" s="3635"/>
      <c r="K110" s="2302"/>
      <c r="L110" s="2302"/>
      <c r="M110" s="2302"/>
      <c r="N110" s="2302"/>
    </row>
    <row r="112" spans="1:14" ht="13.5" thickBot="1"/>
    <row r="113" spans="1:13" ht="25.5" thickBot="1">
      <c r="A113" s="823" t="s">
        <v>2559</v>
      </c>
      <c r="B113" s="1177">
        <f>G3</f>
        <v>7.73</v>
      </c>
      <c r="C113" s="824" t="s">
        <v>2560</v>
      </c>
      <c r="D113" s="825">
        <f>SUMPRODUCT((A115:A118=F113)*(B114:M114=H113)*B115:M118)</f>
        <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0.86080000000000001</v>
      </c>
      <c r="C115" s="830">
        <f>B115</f>
        <v>0.86080000000000001</v>
      </c>
      <c r="D115" s="830">
        <f>ROUND(0.8331-0.0109*B113,4)</f>
        <v>0.74880000000000002</v>
      </c>
      <c r="E115" s="830">
        <f>D115</f>
        <v>0.74880000000000002</v>
      </c>
      <c r="F115" s="830">
        <f>E115</f>
        <v>0.74880000000000002</v>
      </c>
      <c r="G115" s="830">
        <f>F115</f>
        <v>0.74880000000000002</v>
      </c>
      <c r="H115" s="830">
        <f>G115</f>
        <v>0.74880000000000002</v>
      </c>
      <c r="I115" s="830">
        <f>ROUND(0.689-0.0155*B113,4)</f>
        <v>0.56920000000000004</v>
      </c>
      <c r="J115" s="830">
        <f t="shared" ref="J115:M118" si="33">I115</f>
        <v>0.56920000000000004</v>
      </c>
      <c r="K115" s="830">
        <f t="shared" si="33"/>
        <v>0.56920000000000004</v>
      </c>
      <c r="L115" s="830">
        <f t="shared" si="33"/>
        <v>0.56920000000000004</v>
      </c>
      <c r="M115" s="831">
        <f t="shared" si="33"/>
        <v>0.56920000000000004</v>
      </c>
    </row>
    <row r="116" spans="1:13">
      <c r="A116" s="829" t="s">
        <v>2459</v>
      </c>
      <c r="B116" s="830">
        <f>ROUND(0.949-0.012*B113,4)</f>
        <v>0.85619999999999996</v>
      </c>
      <c r="C116" s="830">
        <f>B116</f>
        <v>0.85619999999999996</v>
      </c>
      <c r="D116" s="830">
        <f>ROUND(0.8567-0.013*B113,4)</f>
        <v>0.75619999999999998</v>
      </c>
      <c r="E116" s="830">
        <f t="shared" ref="E116:H117" si="34">D116</f>
        <v>0.75619999999999998</v>
      </c>
      <c r="F116" s="830">
        <f t="shared" si="34"/>
        <v>0.75619999999999998</v>
      </c>
      <c r="G116" s="830">
        <f t="shared" si="34"/>
        <v>0.75619999999999998</v>
      </c>
      <c r="H116" s="830">
        <f t="shared" si="34"/>
        <v>0.75619999999999998</v>
      </c>
      <c r="I116" s="830">
        <f>ROUND(0.7694-0.014*B113,4)</f>
        <v>0.66120000000000001</v>
      </c>
      <c r="J116" s="830">
        <f t="shared" si="33"/>
        <v>0.66120000000000001</v>
      </c>
      <c r="K116" s="830">
        <f t="shared" si="33"/>
        <v>0.66120000000000001</v>
      </c>
      <c r="L116" s="830">
        <f t="shared" si="33"/>
        <v>0.66120000000000001</v>
      </c>
      <c r="M116" s="831">
        <f t="shared" si="33"/>
        <v>0.66120000000000001</v>
      </c>
    </row>
    <row r="117" spans="1:13">
      <c r="A117" s="829" t="s">
        <v>2460</v>
      </c>
      <c r="B117" s="830">
        <f>ROUND(0.8808-0.006*B113,4)</f>
        <v>0.83440000000000003</v>
      </c>
      <c r="C117" s="830">
        <f>B117</f>
        <v>0.83440000000000003</v>
      </c>
      <c r="D117" s="830">
        <f>ROUND(0.8748-0.008*B113,4)</f>
        <v>0.81299999999999994</v>
      </c>
      <c r="E117" s="830">
        <f t="shared" si="34"/>
        <v>0.81299999999999994</v>
      </c>
      <c r="F117" s="830">
        <f t="shared" si="34"/>
        <v>0.81299999999999994</v>
      </c>
      <c r="G117" s="830">
        <f t="shared" si="34"/>
        <v>0.81299999999999994</v>
      </c>
      <c r="H117" s="830">
        <f t="shared" si="34"/>
        <v>0.81299999999999994</v>
      </c>
      <c r="I117" s="830">
        <f>ROUND(0.7412-0.0095*B113,4)</f>
        <v>0.66779999999999995</v>
      </c>
      <c r="J117" s="830">
        <f t="shared" si="33"/>
        <v>0.66779999999999995</v>
      </c>
      <c r="K117" s="830">
        <f t="shared" si="33"/>
        <v>0.66779999999999995</v>
      </c>
      <c r="L117" s="830">
        <f t="shared" si="33"/>
        <v>0.66779999999999995</v>
      </c>
      <c r="M117" s="831">
        <f t="shared" si="33"/>
        <v>0.66779999999999995</v>
      </c>
    </row>
    <row r="118" spans="1:13" ht="13.5" thickBot="1">
      <c r="A118" s="669" t="s">
        <v>2461</v>
      </c>
      <c r="B118" s="832">
        <f>ROUND(0.7275-0.01*B113,4)</f>
        <v>0.6502</v>
      </c>
      <c r="C118" s="832">
        <f>B118</f>
        <v>0.6502</v>
      </c>
      <c r="D118" s="832">
        <f>ROUND(0.7043-0.012*B113,4)</f>
        <v>0.61150000000000004</v>
      </c>
      <c r="E118" s="832">
        <f>D118</f>
        <v>0.61150000000000004</v>
      </c>
      <c r="F118" s="832">
        <f>E118</f>
        <v>0.61150000000000004</v>
      </c>
      <c r="G118" s="832">
        <f>ROUND(0.6299-0.0122*B113,4)</f>
        <v>0.53559999999999997</v>
      </c>
      <c r="H118" s="832">
        <f>G118</f>
        <v>0.53559999999999997</v>
      </c>
      <c r="I118" s="832">
        <f>ROUND(0.5667-0.0136*B113,4)</f>
        <v>0.46160000000000001</v>
      </c>
      <c r="J118" s="832">
        <f t="shared" si="33"/>
        <v>0.46160000000000001</v>
      </c>
      <c r="K118" s="832">
        <f t="shared" si="33"/>
        <v>0.46160000000000001</v>
      </c>
      <c r="L118" s="832">
        <f t="shared" si="33"/>
        <v>0.46160000000000001</v>
      </c>
      <c r="M118" s="833">
        <f t="shared" si="33"/>
        <v>0.46160000000000001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2943</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2944</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2945</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2946</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2947</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2948</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2949</v>
      </c>
      <c r="B19" s="3209" t="s">
        <v>2950</v>
      </c>
      <c r="C19" s="3210" t="s">
        <v>2951</v>
      </c>
      <c r="D19" s="3211"/>
      <c r="E19" s="3205" t="s">
        <v>2952</v>
      </c>
      <c r="F19" s="802"/>
      <c r="G19" s="802"/>
    </row>
    <row r="20" spans="1:13" s="807" customFormat="1" ht="19.5" customHeight="1">
      <c r="A20" s="3657" t="s">
        <v>2953</v>
      </c>
      <c r="B20" s="3652" t="s">
        <v>2954</v>
      </c>
      <c r="C20" s="3212" t="s">
        <v>2955</v>
      </c>
      <c r="D20" s="3213"/>
      <c r="E20" s="3214">
        <v>1</v>
      </c>
      <c r="F20" s="3215" t="s">
        <v>2956</v>
      </c>
      <c r="G20" s="806"/>
      <c r="H20" s="800"/>
      <c r="I20" s="800"/>
    </row>
    <row r="21" spans="1:13" s="807" customFormat="1" ht="19.5" customHeight="1">
      <c r="A21" s="3658"/>
      <c r="B21" s="3651"/>
      <c r="C21" s="804" t="s">
        <v>2957</v>
      </c>
      <c r="D21" s="805"/>
      <c r="E21" s="3216">
        <v>1</v>
      </c>
      <c r="F21" s="3215" t="s">
        <v>2958</v>
      </c>
      <c r="G21" s="806"/>
      <c r="H21" s="800"/>
      <c r="I21" s="800"/>
    </row>
    <row r="22" spans="1:13" s="807" customFormat="1" ht="19.5" customHeight="1">
      <c r="A22" s="3658"/>
      <c r="B22" s="3651"/>
      <c r="C22" s="804" t="s">
        <v>2959</v>
      </c>
      <c r="D22" s="805"/>
      <c r="E22" s="3216">
        <v>0.9</v>
      </c>
      <c r="F22" s="3215" t="s">
        <v>2960</v>
      </c>
      <c r="G22" s="806"/>
      <c r="H22" s="800"/>
      <c r="I22" s="800"/>
    </row>
    <row r="23" spans="1:13" s="807" customFormat="1" ht="19.5" customHeight="1">
      <c r="A23" s="3658"/>
      <c r="B23" s="3651"/>
      <c r="C23" s="804" t="s">
        <v>2961</v>
      </c>
      <c r="D23" s="805"/>
      <c r="E23" s="3216">
        <v>0.9</v>
      </c>
      <c r="F23" s="3215" t="s">
        <v>2962</v>
      </c>
      <c r="G23" s="806"/>
      <c r="H23" s="800"/>
      <c r="I23" s="800"/>
    </row>
    <row r="24" spans="1:13" s="807" customFormat="1" ht="19.5" customHeight="1">
      <c r="A24" s="3658"/>
      <c r="B24" s="3651"/>
      <c r="C24" s="804" t="s">
        <v>2963</v>
      </c>
      <c r="D24" s="805"/>
      <c r="E24" s="3216">
        <v>0.8</v>
      </c>
      <c r="F24" s="3215" t="s">
        <v>2964</v>
      </c>
      <c r="G24" s="806"/>
      <c r="H24" s="800"/>
      <c r="I24" s="800"/>
    </row>
    <row r="25" spans="1:13" s="807" customFormat="1" ht="19.5" customHeight="1" thickBot="1">
      <c r="A25" s="3659"/>
      <c r="B25" s="3653"/>
      <c r="C25" s="3217" t="s">
        <v>2965</v>
      </c>
      <c r="D25" s="3218"/>
      <c r="E25" s="3219">
        <v>0.8</v>
      </c>
      <c r="F25" s="3215" t="s">
        <v>2966</v>
      </c>
      <c r="G25" s="806"/>
      <c r="H25" s="800"/>
      <c r="I25" s="800"/>
    </row>
    <row r="26" spans="1:13" s="807" customFormat="1" ht="19.5" customHeight="1" thickBot="1">
      <c r="A26" s="3220" t="s">
        <v>2967</v>
      </c>
      <c r="B26" s="3221" t="s">
        <v>2954</v>
      </c>
      <c r="C26" s="3222" t="s">
        <v>2968</v>
      </c>
      <c r="D26" s="3223"/>
      <c r="E26" s="3224">
        <v>1</v>
      </c>
      <c r="F26" s="3215" t="s">
        <v>2969</v>
      </c>
      <c r="G26" s="806"/>
      <c r="H26" s="800"/>
      <c r="I26" s="800"/>
    </row>
    <row r="27" spans="1:13" s="807" customFormat="1" ht="19.5" customHeight="1">
      <c r="A27" s="3654" t="s">
        <v>2970</v>
      </c>
      <c r="B27" s="3652" t="s">
        <v>2970</v>
      </c>
      <c r="C27" s="3212" t="s">
        <v>2971</v>
      </c>
      <c r="D27" s="3213"/>
      <c r="E27" s="3214">
        <v>1</v>
      </c>
      <c r="F27" s="3215" t="s">
        <v>2972</v>
      </c>
      <c r="G27" s="806"/>
      <c r="H27" s="800"/>
      <c r="I27" s="800"/>
    </row>
    <row r="28" spans="1:13" s="807" customFormat="1" ht="19.5" customHeight="1">
      <c r="A28" s="3655"/>
      <c r="B28" s="3651"/>
      <c r="C28" s="804" t="s">
        <v>2973</v>
      </c>
      <c r="D28" s="805"/>
      <c r="E28" s="3216">
        <v>1</v>
      </c>
      <c r="F28" s="3215" t="s">
        <v>2974</v>
      </c>
      <c r="G28" s="806"/>
      <c r="H28" s="800"/>
      <c r="I28" s="800"/>
    </row>
    <row r="29" spans="1:13" s="807" customFormat="1" ht="19.5" customHeight="1">
      <c r="A29" s="3655"/>
      <c r="B29" s="3651"/>
      <c r="C29" s="804" t="s">
        <v>2975</v>
      </c>
      <c r="D29" s="805"/>
      <c r="E29" s="3216">
        <v>0.8</v>
      </c>
      <c r="F29" s="3215" t="s">
        <v>2976</v>
      </c>
      <c r="G29" s="806"/>
      <c r="H29" s="800"/>
      <c r="I29" s="800"/>
    </row>
    <row r="30" spans="1:13" s="807" customFormat="1" ht="19.5" customHeight="1">
      <c r="A30" s="3655"/>
      <c r="B30" s="3651"/>
      <c r="C30" s="804" t="s">
        <v>2977</v>
      </c>
      <c r="D30" s="805"/>
      <c r="E30" s="3216">
        <v>0.8</v>
      </c>
      <c r="F30" s="3215" t="s">
        <v>2978</v>
      </c>
      <c r="G30" s="806"/>
      <c r="H30" s="800"/>
      <c r="I30" s="800"/>
    </row>
    <row r="31" spans="1:13" s="807" customFormat="1" ht="19.5" customHeight="1">
      <c r="A31" s="3655"/>
      <c r="B31" s="3651"/>
      <c r="C31" s="804" t="s">
        <v>2979</v>
      </c>
      <c r="D31" s="805"/>
      <c r="E31" s="3216">
        <v>0.8</v>
      </c>
      <c r="F31" s="3215" t="s">
        <v>2980</v>
      </c>
      <c r="G31" s="806"/>
      <c r="H31" s="800"/>
      <c r="I31" s="800"/>
    </row>
    <row r="32" spans="1:13" s="807" customFormat="1" ht="19.5" customHeight="1">
      <c r="A32" s="3655"/>
      <c r="B32" s="3651"/>
      <c r="C32" s="804" t="s">
        <v>2981</v>
      </c>
      <c r="D32" s="805"/>
      <c r="E32" s="3216">
        <v>0.7</v>
      </c>
      <c r="F32" s="3215" t="s">
        <v>2982</v>
      </c>
      <c r="G32" s="806"/>
      <c r="H32" s="800"/>
      <c r="I32" s="800"/>
    </row>
    <row r="33" spans="1:9" s="807" customFormat="1" ht="19.5" customHeight="1">
      <c r="A33" s="3655"/>
      <c r="B33" s="3651"/>
      <c r="C33" s="804" t="s">
        <v>2983</v>
      </c>
      <c r="D33" s="805"/>
      <c r="E33" s="3216">
        <v>0.8</v>
      </c>
      <c r="F33" s="3215" t="s">
        <v>2984</v>
      </c>
      <c r="G33" s="806"/>
      <c r="H33" s="800"/>
      <c r="I33" s="800"/>
    </row>
    <row r="34" spans="1:9" s="807" customFormat="1" ht="19.5" customHeight="1">
      <c r="A34" s="3655"/>
      <c r="B34" s="3651"/>
      <c r="C34" s="804" t="s">
        <v>2985</v>
      </c>
      <c r="D34" s="805"/>
      <c r="E34" s="3216">
        <v>0.6</v>
      </c>
      <c r="F34" s="3215" t="s">
        <v>2986</v>
      </c>
      <c r="G34" s="806"/>
      <c r="H34" s="800"/>
      <c r="I34" s="800"/>
    </row>
    <row r="35" spans="1:9" s="807" customFormat="1" ht="19.5" customHeight="1">
      <c r="A35" s="3655"/>
      <c r="B35" s="3651"/>
      <c r="C35" s="804" t="s">
        <v>2987</v>
      </c>
      <c r="D35" s="805"/>
      <c r="E35" s="3216">
        <v>0.2</v>
      </c>
      <c r="F35" s="3215" t="s">
        <v>2988</v>
      </c>
      <c r="G35" s="806"/>
      <c r="H35" s="800"/>
      <c r="I35" s="800"/>
    </row>
    <row r="36" spans="1:9" s="807" customFormat="1" ht="19.5" customHeight="1">
      <c r="A36" s="3655"/>
      <c r="B36" s="3651"/>
      <c r="C36" s="804" t="s">
        <v>2989</v>
      </c>
      <c r="D36" s="805"/>
      <c r="E36" s="3216">
        <v>0.2</v>
      </c>
      <c r="F36" s="3215" t="s">
        <v>2990</v>
      </c>
      <c r="G36" s="806"/>
      <c r="H36" s="800"/>
      <c r="I36" s="800"/>
    </row>
    <row r="37" spans="1:9" s="807" customFormat="1" ht="19.5" customHeight="1">
      <c r="A37" s="3655"/>
      <c r="B37" s="3649" t="s">
        <v>2991</v>
      </c>
      <c r="C37" s="804" t="s">
        <v>2992</v>
      </c>
      <c r="D37" s="805"/>
      <c r="E37" s="3216">
        <v>0.6</v>
      </c>
      <c r="F37" s="3215" t="s">
        <v>2993</v>
      </c>
      <c r="G37" s="806"/>
      <c r="H37" s="800"/>
      <c r="I37" s="800"/>
    </row>
    <row r="38" spans="1:9" s="807" customFormat="1" ht="19.5" customHeight="1">
      <c r="A38" s="3655"/>
      <c r="B38" s="3651"/>
      <c r="C38" s="804" t="s">
        <v>2994</v>
      </c>
      <c r="D38" s="805"/>
      <c r="E38" s="3216">
        <v>0.6</v>
      </c>
      <c r="F38" s="3215" t="s">
        <v>2995</v>
      </c>
      <c r="G38" s="806"/>
      <c r="H38" s="800"/>
      <c r="I38" s="800"/>
    </row>
    <row r="39" spans="1:9" s="807" customFormat="1" ht="19.5" customHeight="1" thickBot="1">
      <c r="A39" s="3656"/>
      <c r="B39" s="3653"/>
      <c r="C39" s="3217" t="s">
        <v>2996</v>
      </c>
      <c r="D39" s="3218"/>
      <c r="E39" s="3219">
        <v>0.6</v>
      </c>
      <c r="F39" s="3215" t="s">
        <v>2997</v>
      </c>
      <c r="G39" s="806"/>
      <c r="H39" s="800"/>
      <c r="I39" s="800"/>
    </row>
    <row r="40" spans="1:9" s="807" customFormat="1" ht="19.5" customHeight="1" thickBot="1">
      <c r="A40" s="3220" t="s">
        <v>2998</v>
      </c>
      <c r="B40" s="3221" t="s">
        <v>2998</v>
      </c>
      <c r="C40" s="3222" t="s">
        <v>2999</v>
      </c>
      <c r="D40" s="3223"/>
      <c r="E40" s="3224">
        <v>1</v>
      </c>
      <c r="F40" s="3215" t="s">
        <v>3000</v>
      </c>
      <c r="G40" s="806"/>
      <c r="H40" s="800"/>
      <c r="I40" s="800"/>
    </row>
    <row r="41" spans="1:9" s="807" customFormat="1" ht="19.5" customHeight="1">
      <c r="A41" s="3657" t="s">
        <v>3001</v>
      </c>
      <c r="B41" s="3652" t="s">
        <v>3002</v>
      </c>
      <c r="C41" s="3212" t="s">
        <v>3003</v>
      </c>
      <c r="D41" s="3213"/>
      <c r="E41" s="3214">
        <v>1</v>
      </c>
      <c r="F41" s="3215" t="s">
        <v>3004</v>
      </c>
      <c r="G41" s="806"/>
      <c r="H41" s="800"/>
      <c r="I41" s="800"/>
    </row>
    <row r="42" spans="1:9" s="807" customFormat="1" ht="19.5" customHeight="1">
      <c r="A42" s="3658"/>
      <c r="B42" s="3651"/>
      <c r="C42" s="804" t="s">
        <v>3005</v>
      </c>
      <c r="D42" s="805"/>
      <c r="E42" s="3216">
        <v>1</v>
      </c>
      <c r="F42" s="3215" t="s">
        <v>3006</v>
      </c>
      <c r="G42" s="806"/>
      <c r="H42" s="800"/>
      <c r="I42" s="800"/>
    </row>
    <row r="43" spans="1:9" s="807" customFormat="1" ht="19.5" customHeight="1">
      <c r="A43" s="3658"/>
      <c r="B43" s="3650"/>
      <c r="C43" s="804" t="s">
        <v>3007</v>
      </c>
      <c r="D43" s="805"/>
      <c r="E43" s="3216">
        <v>1.5</v>
      </c>
      <c r="F43" s="3215" t="s">
        <v>3008</v>
      </c>
      <c r="G43" s="806"/>
      <c r="H43" s="800"/>
      <c r="I43" s="800"/>
    </row>
    <row r="44" spans="1:9" s="807" customFormat="1" ht="19.5" customHeight="1">
      <c r="A44" s="3658"/>
      <c r="B44" s="3225" t="s">
        <v>2970</v>
      </c>
      <c r="C44" s="804" t="s">
        <v>3009</v>
      </c>
      <c r="D44" s="805"/>
      <c r="E44" s="3216">
        <v>2</v>
      </c>
      <c r="F44" s="3215" t="s">
        <v>3010</v>
      </c>
      <c r="G44" s="806"/>
      <c r="H44" s="800"/>
      <c r="I44" s="800"/>
    </row>
    <row r="45" spans="1:9" s="807" customFormat="1" ht="19.5" customHeight="1">
      <c r="A45" s="3658"/>
      <c r="B45" s="3649" t="s">
        <v>3011</v>
      </c>
      <c r="C45" s="804" t="s">
        <v>3012</v>
      </c>
      <c r="D45" s="805"/>
      <c r="E45" s="3216">
        <v>1</v>
      </c>
      <c r="F45" s="3215" t="s">
        <v>3013</v>
      </c>
      <c r="G45" s="806"/>
      <c r="H45" s="800"/>
      <c r="I45" s="800"/>
    </row>
    <row r="46" spans="1:9" s="807" customFormat="1" ht="19.5" customHeight="1">
      <c r="A46" s="3658"/>
      <c r="B46" s="3651"/>
      <c r="C46" s="804" t="s">
        <v>3014</v>
      </c>
      <c r="D46" s="805"/>
      <c r="E46" s="3216">
        <v>1</v>
      </c>
      <c r="F46" s="3215" t="s">
        <v>3015</v>
      </c>
      <c r="G46" s="806"/>
      <c r="H46" s="800"/>
      <c r="I46" s="800"/>
    </row>
    <row r="47" spans="1:9" s="807" customFormat="1" ht="19.5" customHeight="1">
      <c r="A47" s="3658"/>
      <c r="B47" s="3651"/>
      <c r="C47" s="804" t="s">
        <v>3016</v>
      </c>
      <c r="D47" s="805"/>
      <c r="E47" s="3216">
        <v>1</v>
      </c>
      <c r="F47" s="3215" t="s">
        <v>3017</v>
      </c>
      <c r="G47" s="806"/>
      <c r="H47" s="800"/>
      <c r="I47" s="800"/>
    </row>
    <row r="48" spans="1:9" s="807" customFormat="1" ht="19.5" customHeight="1">
      <c r="A48" s="3658"/>
      <c r="B48" s="3651"/>
      <c r="C48" s="804" t="s">
        <v>3018</v>
      </c>
      <c r="D48" s="805"/>
      <c r="E48" s="3216">
        <v>1</v>
      </c>
      <c r="F48" s="3215" t="s">
        <v>3019</v>
      </c>
      <c r="G48" s="806"/>
      <c r="H48" s="800"/>
      <c r="I48" s="800"/>
    </row>
    <row r="49" spans="1:9" s="807" customFormat="1" ht="19.5" customHeight="1">
      <c r="A49" s="3658"/>
      <c r="B49" s="3651"/>
      <c r="C49" s="804" t="s">
        <v>3020</v>
      </c>
      <c r="D49" s="805"/>
      <c r="E49" s="3216">
        <v>1</v>
      </c>
      <c r="F49" s="3215" t="s">
        <v>3021</v>
      </c>
      <c r="G49" s="806"/>
      <c r="H49" s="800"/>
      <c r="I49" s="800"/>
    </row>
    <row r="50" spans="1:9" s="807" customFormat="1" ht="19.5" customHeight="1">
      <c r="A50" s="3658"/>
      <c r="B50" s="3651"/>
      <c r="C50" s="804" t="s">
        <v>3022</v>
      </c>
      <c r="D50" s="805"/>
      <c r="E50" s="3216">
        <v>1</v>
      </c>
      <c r="F50" s="3215" t="s">
        <v>3023</v>
      </c>
      <c r="G50" s="806"/>
      <c r="H50" s="800"/>
      <c r="I50" s="800"/>
    </row>
    <row r="51" spans="1:9" s="807" customFormat="1" ht="19.5" customHeight="1" thickBot="1">
      <c r="A51" s="3659"/>
      <c r="B51" s="3653"/>
      <c r="C51" s="3217" t="s">
        <v>3024</v>
      </c>
      <c r="D51" s="3218"/>
      <c r="E51" s="3219">
        <v>1</v>
      </c>
      <c r="F51" s="3215" t="s">
        <v>3025</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3026</v>
      </c>
      <c r="D72" s="858"/>
      <c r="E72" s="815" t="s">
        <v>1</v>
      </c>
      <c r="F72" s="858" t="s">
        <v>1</v>
      </c>
    </row>
    <row r="73" spans="1:7" s="800" customFormat="1" ht="13.5">
      <c r="A73" s="3225">
        <v>1</v>
      </c>
      <c r="B73" s="3649" t="s">
        <v>3027</v>
      </c>
      <c r="C73" s="3205" t="s">
        <v>3028</v>
      </c>
      <c r="D73" s="3205" t="s">
        <v>3029</v>
      </c>
      <c r="E73" s="3226">
        <v>0.2</v>
      </c>
      <c r="F73" s="3225">
        <v>25</v>
      </c>
    </row>
    <row r="74" spans="1:7" s="800" customFormat="1" ht="24">
      <c r="A74" s="3225">
        <v>2</v>
      </c>
      <c r="B74" s="3651"/>
      <c r="C74" s="3205" t="s">
        <v>3030</v>
      </c>
      <c r="D74" s="3205" t="s">
        <v>3031</v>
      </c>
      <c r="E74" s="3226">
        <v>0.2</v>
      </c>
      <c r="F74" s="3225">
        <v>25</v>
      </c>
    </row>
    <row r="75" spans="1:7" s="800" customFormat="1" ht="24">
      <c r="A75" s="3225">
        <v>3</v>
      </c>
      <c r="B75" s="3651"/>
      <c r="C75" s="3205" t="s">
        <v>3032</v>
      </c>
      <c r="D75" s="3205" t="s">
        <v>3033</v>
      </c>
      <c r="E75" s="3226">
        <v>0.2</v>
      </c>
      <c r="F75" s="3225">
        <v>25</v>
      </c>
    </row>
    <row r="76" spans="1:7" s="800" customFormat="1" ht="13.5">
      <c r="A76" s="3225">
        <v>4</v>
      </c>
      <c r="B76" s="3651"/>
      <c r="C76" s="3205" t="s">
        <v>3034</v>
      </c>
      <c r="D76" s="3205" t="s">
        <v>3035</v>
      </c>
      <c r="E76" s="3226">
        <v>0.15</v>
      </c>
      <c r="F76" s="3225">
        <v>20</v>
      </c>
    </row>
    <row r="77" spans="1:7" s="800" customFormat="1" ht="24">
      <c r="A77" s="3225">
        <v>5</v>
      </c>
      <c r="B77" s="3651"/>
      <c r="C77" s="3205" t="s">
        <v>3036</v>
      </c>
      <c r="D77" s="3205" t="s">
        <v>3037</v>
      </c>
      <c r="E77" s="3226">
        <v>0.15</v>
      </c>
      <c r="F77" s="3225">
        <v>20</v>
      </c>
    </row>
    <row r="78" spans="1:7" s="800" customFormat="1" ht="24">
      <c r="A78" s="3225">
        <v>6</v>
      </c>
      <c r="B78" s="3651"/>
      <c r="C78" s="3205" t="s">
        <v>3038</v>
      </c>
      <c r="D78" s="3205" t="s">
        <v>3039</v>
      </c>
      <c r="E78" s="3226">
        <v>0.15</v>
      </c>
      <c r="F78" s="3225">
        <v>20</v>
      </c>
    </row>
    <row r="79" spans="1:7" s="800" customFormat="1" ht="24">
      <c r="A79" s="3225">
        <v>7</v>
      </c>
      <c r="B79" s="3651"/>
      <c r="C79" s="3205" t="s">
        <v>3040</v>
      </c>
      <c r="D79" s="3205" t="s">
        <v>3041</v>
      </c>
      <c r="E79" s="3226">
        <v>0.15</v>
      </c>
      <c r="F79" s="3225">
        <v>20</v>
      </c>
    </row>
    <row r="80" spans="1:7" s="800" customFormat="1" ht="24">
      <c r="A80" s="3225">
        <v>8</v>
      </c>
      <c r="B80" s="3651"/>
      <c r="C80" s="3205" t="s">
        <v>3042</v>
      </c>
      <c r="D80" s="3205" t="s">
        <v>3043</v>
      </c>
      <c r="E80" s="3226">
        <v>0.1</v>
      </c>
      <c r="F80" s="3225">
        <v>15</v>
      </c>
    </row>
    <row r="81" spans="1:6" s="800" customFormat="1" ht="24">
      <c r="A81" s="3225">
        <v>9</v>
      </c>
      <c r="B81" s="3651"/>
      <c r="C81" s="3205" t="s">
        <v>3044</v>
      </c>
      <c r="D81" s="3205" t="s">
        <v>3045</v>
      </c>
      <c r="E81" s="3226">
        <v>0.1</v>
      </c>
      <c r="F81" s="3225">
        <v>15</v>
      </c>
    </row>
    <row r="82" spans="1:6" s="800" customFormat="1" ht="24">
      <c r="A82" s="3225">
        <v>10</v>
      </c>
      <c r="B82" s="3651"/>
      <c r="C82" s="3205" t="s">
        <v>3046</v>
      </c>
      <c r="D82" s="3205" t="s">
        <v>3047</v>
      </c>
      <c r="E82" s="3226">
        <v>0.1</v>
      </c>
      <c r="F82" s="3225">
        <v>15</v>
      </c>
    </row>
    <row r="83" spans="1:6" s="800" customFormat="1" ht="24">
      <c r="A83" s="3225">
        <v>11</v>
      </c>
      <c r="B83" s="3651"/>
      <c r="C83" s="3205" t="s">
        <v>3048</v>
      </c>
      <c r="D83" s="3205" t="s">
        <v>3049</v>
      </c>
      <c r="E83" s="3226">
        <v>0.1</v>
      </c>
      <c r="F83" s="3225">
        <v>15</v>
      </c>
    </row>
    <row r="84" spans="1:6" s="800" customFormat="1" ht="24">
      <c r="A84" s="3225">
        <v>12</v>
      </c>
      <c r="B84" s="3651"/>
      <c r="C84" s="3205" t="s">
        <v>3050</v>
      </c>
      <c r="D84" s="3205" t="s">
        <v>3051</v>
      </c>
      <c r="E84" s="3226">
        <v>0.1</v>
      </c>
      <c r="F84" s="3225">
        <v>15</v>
      </c>
    </row>
    <row r="85" spans="1:6" s="800" customFormat="1" ht="13.5">
      <c r="A85" s="3225">
        <v>13</v>
      </c>
      <c r="B85" s="3651"/>
      <c r="C85" s="3205" t="s">
        <v>3052</v>
      </c>
      <c r="D85" s="3205" t="s">
        <v>3053</v>
      </c>
      <c r="E85" s="3226">
        <v>0.1</v>
      </c>
      <c r="F85" s="3225">
        <v>15</v>
      </c>
    </row>
    <row r="86" spans="1:6" s="800" customFormat="1" ht="13.5">
      <c r="A86" s="3225">
        <v>14</v>
      </c>
      <c r="B86" s="3651"/>
      <c r="C86" s="3205" t="s">
        <v>3054</v>
      </c>
      <c r="D86" s="3205" t="s">
        <v>3055</v>
      </c>
      <c r="E86" s="3226">
        <v>0.1</v>
      </c>
      <c r="F86" s="3225">
        <v>15</v>
      </c>
    </row>
    <row r="87" spans="1:6" s="800" customFormat="1" ht="13.5">
      <c r="A87" s="3225">
        <v>15</v>
      </c>
      <c r="B87" s="3651"/>
      <c r="C87" s="3205" t="s">
        <v>3056</v>
      </c>
      <c r="D87" s="3205" t="s">
        <v>3057</v>
      </c>
      <c r="E87" s="3226">
        <v>0.1</v>
      </c>
      <c r="F87" s="3225">
        <v>15</v>
      </c>
    </row>
    <row r="88" spans="1:6" s="800" customFormat="1" ht="24">
      <c r="A88" s="3225">
        <v>16</v>
      </c>
      <c r="B88" s="3651"/>
      <c r="C88" s="3205" t="s">
        <v>3058</v>
      </c>
      <c r="D88" s="3205" t="s">
        <v>3059</v>
      </c>
      <c r="E88" s="3226">
        <v>0.1</v>
      </c>
      <c r="F88" s="3225">
        <v>15</v>
      </c>
    </row>
    <row r="89" spans="1:6" s="800" customFormat="1" ht="24">
      <c r="A89" s="3225">
        <v>17</v>
      </c>
      <c r="B89" s="3650"/>
      <c r="C89" s="3205" t="s">
        <v>3060</v>
      </c>
      <c r="D89" s="3205" t="s">
        <v>3061</v>
      </c>
      <c r="E89" s="3226">
        <v>0.1</v>
      </c>
      <c r="F89" s="3225">
        <v>15</v>
      </c>
    </row>
    <row r="90" spans="1:6" s="800" customFormat="1" ht="13.5">
      <c r="A90" s="3225">
        <v>18</v>
      </c>
      <c r="B90" s="3649" t="s">
        <v>3062</v>
      </c>
      <c r="C90" s="3205" t="s">
        <v>3063</v>
      </c>
      <c r="D90" s="3205" t="s">
        <v>3064</v>
      </c>
      <c r="E90" s="3226">
        <v>0.2</v>
      </c>
      <c r="F90" s="3225">
        <v>25</v>
      </c>
    </row>
    <row r="91" spans="1:6" s="800" customFormat="1" ht="24">
      <c r="A91" s="3225">
        <v>19</v>
      </c>
      <c r="B91" s="3651"/>
      <c r="C91" s="3205" t="s">
        <v>3065</v>
      </c>
      <c r="D91" s="3205" t="s">
        <v>3066</v>
      </c>
      <c r="E91" s="3226">
        <v>0.2</v>
      </c>
      <c r="F91" s="3225">
        <v>25</v>
      </c>
    </row>
    <row r="92" spans="1:6" s="800" customFormat="1" ht="13.5">
      <c r="A92" s="3225">
        <v>20</v>
      </c>
      <c r="B92" s="3651"/>
      <c r="C92" s="3205" t="s">
        <v>3067</v>
      </c>
      <c r="D92" s="3205" t="s">
        <v>3068</v>
      </c>
      <c r="E92" s="3226">
        <v>0.15</v>
      </c>
      <c r="F92" s="3225">
        <v>20</v>
      </c>
    </row>
    <row r="93" spans="1:6" s="800" customFormat="1" ht="24">
      <c r="A93" s="3225">
        <v>21</v>
      </c>
      <c r="B93" s="3651"/>
      <c r="C93" s="3205" t="s">
        <v>3069</v>
      </c>
      <c r="D93" s="3205" t="s">
        <v>3070</v>
      </c>
      <c r="E93" s="3226">
        <v>0.15</v>
      </c>
      <c r="F93" s="3225">
        <v>20</v>
      </c>
    </row>
    <row r="94" spans="1:6" s="800" customFormat="1" ht="24">
      <c r="A94" s="3225">
        <v>22</v>
      </c>
      <c r="B94" s="3651"/>
      <c r="C94" s="3205" t="s">
        <v>3071</v>
      </c>
      <c r="D94" s="3205" t="s">
        <v>3072</v>
      </c>
      <c r="E94" s="3226">
        <v>0.15</v>
      </c>
      <c r="F94" s="3225">
        <v>20</v>
      </c>
    </row>
    <row r="95" spans="1:6" s="800" customFormat="1" ht="36">
      <c r="A95" s="3225">
        <v>23</v>
      </c>
      <c r="B95" s="3651"/>
      <c r="C95" s="3205" t="s">
        <v>3073</v>
      </c>
      <c r="D95" s="3205" t="s">
        <v>3074</v>
      </c>
      <c r="E95" s="3226">
        <v>0.15</v>
      </c>
      <c r="F95" s="3225">
        <v>20</v>
      </c>
    </row>
    <row r="96" spans="1:6" s="800" customFormat="1" ht="13.5">
      <c r="A96" s="3225">
        <v>24</v>
      </c>
      <c r="B96" s="3651"/>
      <c r="C96" s="3205" t="s">
        <v>3075</v>
      </c>
      <c r="D96" s="3205" t="s">
        <v>3076</v>
      </c>
      <c r="E96" s="3226">
        <v>0.1</v>
      </c>
      <c r="F96" s="3225">
        <v>15</v>
      </c>
    </row>
    <row r="97" spans="1:6" s="800" customFormat="1" ht="24">
      <c r="A97" s="3225">
        <v>25</v>
      </c>
      <c r="B97" s="3651"/>
      <c r="C97" s="3205" t="s">
        <v>3077</v>
      </c>
      <c r="D97" s="3205" t="s">
        <v>3078</v>
      </c>
      <c r="E97" s="3226">
        <v>0.1</v>
      </c>
      <c r="F97" s="3225">
        <v>15</v>
      </c>
    </row>
    <row r="98" spans="1:6" s="800" customFormat="1" ht="24">
      <c r="A98" s="3225">
        <v>26</v>
      </c>
      <c r="B98" s="3651"/>
      <c r="C98" s="3205" t="s">
        <v>3079</v>
      </c>
      <c r="D98" s="3205" t="s">
        <v>3080</v>
      </c>
      <c r="E98" s="3226">
        <v>0.1</v>
      </c>
      <c r="F98" s="3225">
        <v>15</v>
      </c>
    </row>
    <row r="99" spans="1:6" s="800" customFormat="1" ht="24">
      <c r="A99" s="3225">
        <v>27</v>
      </c>
      <c r="B99" s="3651"/>
      <c r="C99" s="3205" t="s">
        <v>3081</v>
      </c>
      <c r="D99" s="3205" t="s">
        <v>3082</v>
      </c>
      <c r="E99" s="3226">
        <v>0.1</v>
      </c>
      <c r="F99" s="3225">
        <v>15</v>
      </c>
    </row>
    <row r="100" spans="1:6" s="800" customFormat="1" ht="24">
      <c r="A100" s="3225">
        <v>28</v>
      </c>
      <c r="B100" s="3651"/>
      <c r="C100" s="3205" t="s">
        <v>3083</v>
      </c>
      <c r="D100" s="3205" t="s">
        <v>3084</v>
      </c>
      <c r="E100" s="3226">
        <v>0.1</v>
      </c>
      <c r="F100" s="3225">
        <v>15</v>
      </c>
    </row>
    <row r="101" spans="1:6" s="800" customFormat="1" ht="24">
      <c r="A101" s="3225">
        <v>29</v>
      </c>
      <c r="B101" s="3651"/>
      <c r="C101" s="3205" t="s">
        <v>3085</v>
      </c>
      <c r="D101" s="3205" t="s">
        <v>3086</v>
      </c>
      <c r="E101" s="3226">
        <v>0.1</v>
      </c>
      <c r="F101" s="3225">
        <v>15</v>
      </c>
    </row>
    <row r="102" spans="1:6" s="800" customFormat="1" ht="24">
      <c r="A102" s="3225">
        <v>30</v>
      </c>
      <c r="B102" s="3651"/>
      <c r="C102" s="3205" t="s">
        <v>3087</v>
      </c>
      <c r="D102" s="3205" t="s">
        <v>3088</v>
      </c>
      <c r="E102" s="3226">
        <v>0.1</v>
      </c>
      <c r="F102" s="3225">
        <v>15</v>
      </c>
    </row>
    <row r="103" spans="1:6" s="800" customFormat="1" ht="24">
      <c r="A103" s="3225">
        <v>31</v>
      </c>
      <c r="B103" s="3651"/>
      <c r="C103" s="3205" t="s">
        <v>3089</v>
      </c>
      <c r="D103" s="3205" t="s">
        <v>3090</v>
      </c>
      <c r="E103" s="3226">
        <v>0.1</v>
      </c>
      <c r="F103" s="3225">
        <v>15</v>
      </c>
    </row>
    <row r="104" spans="1:6" s="800" customFormat="1" ht="24">
      <c r="A104" s="3225">
        <v>32</v>
      </c>
      <c r="B104" s="3651"/>
      <c r="C104" s="3205" t="s">
        <v>3091</v>
      </c>
      <c r="D104" s="3205" t="s">
        <v>3092</v>
      </c>
      <c r="E104" s="3226">
        <v>0.1</v>
      </c>
      <c r="F104" s="3225">
        <v>15</v>
      </c>
    </row>
    <row r="105" spans="1:6" s="800" customFormat="1" ht="24">
      <c r="A105" s="3225">
        <v>33</v>
      </c>
      <c r="B105" s="3651"/>
      <c r="C105" s="3205" t="s">
        <v>3093</v>
      </c>
      <c r="D105" s="3205" t="s">
        <v>3094</v>
      </c>
      <c r="E105" s="3226">
        <v>0.1</v>
      </c>
      <c r="F105" s="3225">
        <v>15</v>
      </c>
    </row>
    <row r="106" spans="1:6" s="800" customFormat="1" ht="24">
      <c r="A106" s="3225">
        <v>34</v>
      </c>
      <c r="B106" s="3650"/>
      <c r="C106" s="3205" t="s">
        <v>3095</v>
      </c>
      <c r="D106" s="3205" t="s">
        <v>3096</v>
      </c>
      <c r="E106" s="3226">
        <v>0.1</v>
      </c>
      <c r="F106" s="3225">
        <v>15</v>
      </c>
    </row>
    <row r="107" spans="1:6" s="800" customFormat="1" ht="24">
      <c r="A107" s="3225">
        <v>35</v>
      </c>
      <c r="B107" s="3649" t="s">
        <v>3097</v>
      </c>
      <c r="C107" s="3225" t="s">
        <v>3098</v>
      </c>
      <c r="D107" s="3205" t="s">
        <v>3099</v>
      </c>
      <c r="E107" s="3226">
        <v>0.15</v>
      </c>
      <c r="F107" s="3225">
        <v>20</v>
      </c>
    </row>
    <row r="108" spans="1:6" s="800" customFormat="1" ht="24">
      <c r="A108" s="3225">
        <v>36</v>
      </c>
      <c r="B108" s="3651"/>
      <c r="C108" s="3225" t="s">
        <v>3100</v>
      </c>
      <c r="D108" s="3205" t="s">
        <v>3101</v>
      </c>
      <c r="E108" s="3226">
        <v>0.15</v>
      </c>
      <c r="F108" s="3225">
        <v>20</v>
      </c>
    </row>
    <row r="109" spans="1:6" s="800" customFormat="1" ht="24">
      <c r="A109" s="3225">
        <v>37</v>
      </c>
      <c r="B109" s="3651"/>
      <c r="C109" s="3225" t="s">
        <v>3102</v>
      </c>
      <c r="D109" s="3205" t="s">
        <v>3103</v>
      </c>
      <c r="E109" s="3226">
        <v>0.15</v>
      </c>
      <c r="F109" s="3225">
        <v>20</v>
      </c>
    </row>
    <row r="110" spans="1:6" s="800" customFormat="1" ht="13.5">
      <c r="A110" s="3225">
        <v>38</v>
      </c>
      <c r="B110" s="3651"/>
      <c r="C110" s="3225" t="s">
        <v>3104</v>
      </c>
      <c r="D110" s="3205" t="s">
        <v>3105</v>
      </c>
      <c r="E110" s="3226">
        <v>0.1</v>
      </c>
      <c r="F110" s="3225">
        <v>15</v>
      </c>
    </row>
    <row r="111" spans="1:6" s="800" customFormat="1" ht="24">
      <c r="A111" s="3225">
        <v>39</v>
      </c>
      <c r="B111" s="3651"/>
      <c r="C111" s="3225" t="s">
        <v>3106</v>
      </c>
      <c r="D111" s="3205" t="s">
        <v>3107</v>
      </c>
      <c r="E111" s="3226">
        <v>0.1</v>
      </c>
      <c r="F111" s="3225">
        <v>15</v>
      </c>
    </row>
    <row r="112" spans="1:6" s="800" customFormat="1" ht="24">
      <c r="A112" s="3225">
        <v>40</v>
      </c>
      <c r="B112" s="3650"/>
      <c r="C112" s="3225" t="s">
        <v>3108</v>
      </c>
      <c r="D112" s="3205" t="s">
        <v>3109</v>
      </c>
      <c r="E112" s="3226">
        <v>0.1</v>
      </c>
      <c r="F112" s="3225">
        <v>15</v>
      </c>
    </row>
    <row r="113" spans="1:6" s="800" customFormat="1" ht="24">
      <c r="A113" s="3225">
        <v>41</v>
      </c>
      <c r="B113" s="3648" t="s">
        <v>3110</v>
      </c>
      <c r="C113" s="3225" t="s">
        <v>3111</v>
      </c>
      <c r="D113" s="3205" t="s">
        <v>3112</v>
      </c>
      <c r="E113" s="3226">
        <v>0.1</v>
      </c>
      <c r="F113" s="3225">
        <v>15</v>
      </c>
    </row>
    <row r="114" spans="1:6" s="800" customFormat="1" ht="13.5">
      <c r="A114" s="3225">
        <v>42</v>
      </c>
      <c r="B114" s="3648"/>
      <c r="C114" s="3225" t="s">
        <v>3113</v>
      </c>
      <c r="D114" s="3205" t="s">
        <v>3114</v>
      </c>
      <c r="E114" s="3226">
        <v>0.1</v>
      </c>
      <c r="F114" s="3225">
        <v>15</v>
      </c>
    </row>
    <row r="115" spans="1:6" s="800" customFormat="1" ht="24">
      <c r="A115" s="3225">
        <v>43</v>
      </c>
      <c r="B115" s="3648"/>
      <c r="C115" s="3225" t="s">
        <v>3115</v>
      </c>
      <c r="D115" s="3205" t="s">
        <v>3116</v>
      </c>
      <c r="E115" s="3226">
        <v>0.1</v>
      </c>
      <c r="F115" s="3225">
        <v>15</v>
      </c>
    </row>
    <row r="116" spans="1:6" s="800" customFormat="1" ht="24">
      <c r="A116" s="3225">
        <v>44</v>
      </c>
      <c r="B116" s="3649" t="s">
        <v>3117</v>
      </c>
      <c r="C116" s="3225" t="s">
        <v>3118</v>
      </c>
      <c r="D116" s="3205" t="s">
        <v>3119</v>
      </c>
      <c r="E116" s="3226">
        <v>0.1</v>
      </c>
      <c r="F116" s="3225">
        <v>15</v>
      </c>
    </row>
    <row r="117" spans="1:6" s="800" customFormat="1" ht="24">
      <c r="A117" s="3225">
        <v>45</v>
      </c>
      <c r="B117" s="3650"/>
      <c r="C117" s="3205" t="s">
        <v>3120</v>
      </c>
      <c r="D117" s="3205" t="s">
        <v>3121</v>
      </c>
      <c r="E117" s="3226">
        <v>0.1</v>
      </c>
      <c r="F117" s="3225">
        <v>15</v>
      </c>
    </row>
    <row r="118" spans="1:6" s="800" customFormat="1" ht="24">
      <c r="A118" s="3225">
        <v>46</v>
      </c>
      <c r="B118" s="3649" t="s">
        <v>3122</v>
      </c>
      <c r="C118" s="3225" t="s">
        <v>3123</v>
      </c>
      <c r="D118" s="3205" t="s">
        <v>3124</v>
      </c>
      <c r="E118" s="3226">
        <v>0.1</v>
      </c>
      <c r="F118" s="3225">
        <v>15</v>
      </c>
    </row>
    <row r="119" spans="1:6" s="800" customFormat="1" ht="24">
      <c r="A119" s="3225">
        <v>47</v>
      </c>
      <c r="B119" s="3650"/>
      <c r="C119" s="3225" t="s">
        <v>3125</v>
      </c>
      <c r="D119" s="3205" t="s">
        <v>3126</v>
      </c>
      <c r="E119" s="3226">
        <v>0.1</v>
      </c>
      <c r="F119" s="3225">
        <v>15</v>
      </c>
    </row>
    <row r="120" spans="1:6" s="800" customFormat="1" ht="24">
      <c r="A120" s="3225">
        <v>48</v>
      </c>
      <c r="B120" s="3649" t="s">
        <v>3127</v>
      </c>
      <c r="C120" s="3225" t="s">
        <v>3128</v>
      </c>
      <c r="D120" s="3205" t="s">
        <v>3129</v>
      </c>
      <c r="E120" s="3226">
        <v>0.1</v>
      </c>
      <c r="F120" s="3225">
        <v>15</v>
      </c>
    </row>
    <row r="121" spans="1:6" s="800" customFormat="1" ht="13.5">
      <c r="A121" s="3225">
        <v>49</v>
      </c>
      <c r="B121" s="3650"/>
      <c r="C121" s="3225" t="s">
        <v>3130</v>
      </c>
      <c r="D121" s="3205" t="s">
        <v>3131</v>
      </c>
      <c r="E121" s="3226">
        <v>0.1</v>
      </c>
      <c r="F121" s="3225">
        <v>15</v>
      </c>
    </row>
    <row r="122" spans="1:6" s="800" customFormat="1" ht="24">
      <c r="A122" s="3225">
        <v>50</v>
      </c>
      <c r="B122" s="3648" t="s">
        <v>3132</v>
      </c>
      <c r="C122" s="3225" t="s">
        <v>3133</v>
      </c>
      <c r="D122" s="3205" t="s">
        <v>3134</v>
      </c>
      <c r="E122" s="3226">
        <v>0.1</v>
      </c>
      <c r="F122" s="3225">
        <v>15</v>
      </c>
    </row>
    <row r="123" spans="1:6" s="800" customFormat="1" ht="24">
      <c r="A123" s="3225">
        <v>51</v>
      </c>
      <c r="B123" s="3648"/>
      <c r="C123" s="3225" t="s">
        <v>3135</v>
      </c>
      <c r="D123" s="3205" t="s">
        <v>3136</v>
      </c>
      <c r="E123" s="3226">
        <v>0.1</v>
      </c>
      <c r="F123" s="3225">
        <v>15</v>
      </c>
    </row>
    <row r="124" spans="1:6" s="800" customFormat="1" ht="24">
      <c r="A124" s="3225">
        <v>52</v>
      </c>
      <c r="B124" s="3648" t="s">
        <v>3137</v>
      </c>
      <c r="C124" s="3225" t="s">
        <v>3138</v>
      </c>
      <c r="D124" s="3205" t="s">
        <v>3139</v>
      </c>
      <c r="E124" s="3226">
        <v>0.1</v>
      </c>
      <c r="F124" s="3225">
        <v>15</v>
      </c>
    </row>
    <row r="125" spans="1:6" s="800" customFormat="1" ht="24">
      <c r="A125" s="3225">
        <v>53</v>
      </c>
      <c r="B125" s="3648"/>
      <c r="C125" s="3225" t="s">
        <v>3140</v>
      </c>
      <c r="D125" s="3205" t="s">
        <v>3141</v>
      </c>
      <c r="E125" s="3226">
        <v>0.1</v>
      </c>
      <c r="F125" s="3225">
        <v>15</v>
      </c>
    </row>
    <row r="126" spans="1:6" ht="24">
      <c r="A126" s="3225">
        <v>54</v>
      </c>
      <c r="B126" s="3225" t="s">
        <v>3142</v>
      </c>
      <c r="C126" s="3225" t="s">
        <v>3143</v>
      </c>
      <c r="D126" s="3205" t="s">
        <v>3144</v>
      </c>
      <c r="E126" s="3226">
        <v>0.1</v>
      </c>
      <c r="F126" s="3225">
        <v>15</v>
      </c>
    </row>
    <row r="127" spans="1:6" ht="13.5">
      <c r="A127" s="3225">
        <v>55</v>
      </c>
      <c r="B127" s="3648" t="s">
        <v>3145</v>
      </c>
      <c r="C127" s="3225" t="s">
        <v>3146</v>
      </c>
      <c r="D127" s="3205" t="s">
        <v>3147</v>
      </c>
      <c r="E127" s="3226">
        <v>0.1</v>
      </c>
      <c r="F127" s="3225">
        <v>15</v>
      </c>
    </row>
    <row r="128" spans="1:6" ht="13.5">
      <c r="A128" s="3225">
        <v>56</v>
      </c>
      <c r="B128" s="3648"/>
      <c r="C128" s="3225" t="s">
        <v>3148</v>
      </c>
      <c r="D128" s="3205" t="s">
        <v>3149</v>
      </c>
      <c r="E128" s="3226">
        <v>0.1</v>
      </c>
      <c r="F128" s="3225">
        <v>15</v>
      </c>
    </row>
    <row r="129" spans="1:6" ht="24">
      <c r="A129" s="3225">
        <v>57</v>
      </c>
      <c r="B129" s="3648"/>
      <c r="C129" s="3225" t="s">
        <v>3150</v>
      </c>
      <c r="D129" s="3205" t="s">
        <v>3151</v>
      </c>
      <c r="E129" s="3226">
        <v>0.1</v>
      </c>
      <c r="F129" s="3225">
        <v>15</v>
      </c>
    </row>
    <row r="130" spans="1:6" ht="24">
      <c r="A130" s="3225">
        <v>58</v>
      </c>
      <c r="B130" s="3648" t="s">
        <v>3152</v>
      </c>
      <c r="C130" s="3225" t="s">
        <v>3153</v>
      </c>
      <c r="D130" s="3205" t="s">
        <v>3154</v>
      </c>
      <c r="E130" s="3226">
        <v>0.1</v>
      </c>
      <c r="F130" s="3225">
        <v>15</v>
      </c>
    </row>
    <row r="131" spans="1:6" ht="24">
      <c r="A131" s="3225">
        <v>59</v>
      </c>
      <c r="B131" s="3648"/>
      <c r="C131" s="3225" t="s">
        <v>3155</v>
      </c>
      <c r="D131" s="3205" t="s">
        <v>3156</v>
      </c>
      <c r="E131" s="3226">
        <v>0.1</v>
      </c>
      <c r="F131" s="3225">
        <v>15</v>
      </c>
    </row>
    <row r="132" spans="1:6" ht="24">
      <c r="A132" s="3225">
        <v>60</v>
      </c>
      <c r="B132" s="3649" t="s">
        <v>3157</v>
      </c>
      <c r="C132" s="3225" t="s">
        <v>3158</v>
      </c>
      <c r="D132" s="3205" t="s">
        <v>3159</v>
      </c>
      <c r="E132" s="3226">
        <v>0.1</v>
      </c>
      <c r="F132" s="3225">
        <v>15</v>
      </c>
    </row>
    <row r="133" spans="1:6" ht="24">
      <c r="A133" s="3225">
        <v>61</v>
      </c>
      <c r="B133" s="3650"/>
      <c r="C133" s="3225" t="s">
        <v>3160</v>
      </c>
      <c r="D133" s="3205" t="s">
        <v>3161</v>
      </c>
      <c r="E133" s="3226">
        <v>0.1</v>
      </c>
      <c r="F133" s="3225">
        <v>15</v>
      </c>
    </row>
    <row r="134" spans="1:6" ht="24">
      <c r="A134" s="3225">
        <v>62</v>
      </c>
      <c r="B134" s="3225" t="s">
        <v>3162</v>
      </c>
      <c r="C134" s="3225" t="s">
        <v>3163</v>
      </c>
      <c r="D134" s="3205" t="s">
        <v>3164</v>
      </c>
      <c r="E134" s="3226">
        <v>0.1</v>
      </c>
      <c r="F134" s="3225">
        <v>15</v>
      </c>
    </row>
    <row r="135" spans="1:6" ht="24">
      <c r="A135" s="3225">
        <v>63</v>
      </c>
      <c r="B135" s="3648" t="s">
        <v>3165</v>
      </c>
      <c r="C135" s="3225" t="s">
        <v>3166</v>
      </c>
      <c r="D135" s="3205" t="s">
        <v>3167</v>
      </c>
      <c r="E135" s="3226">
        <v>0.1</v>
      </c>
      <c r="F135" s="3225">
        <v>15</v>
      </c>
    </row>
    <row r="136" spans="1:6" ht="13.5">
      <c r="A136" s="3225">
        <v>64</v>
      </c>
      <c r="B136" s="3648"/>
      <c r="C136" s="3225" t="s">
        <v>3168</v>
      </c>
      <c r="D136" s="3205" t="s">
        <v>3169</v>
      </c>
      <c r="E136" s="3226">
        <v>0.1</v>
      </c>
      <c r="F136" s="3225">
        <v>15</v>
      </c>
    </row>
    <row r="137" spans="1:6" ht="24">
      <c r="A137" s="3225">
        <v>65</v>
      </c>
      <c r="B137" s="3225" t="s">
        <v>3170</v>
      </c>
      <c r="C137" s="3225" t="s">
        <v>3171</v>
      </c>
      <c r="D137" s="3205" t="s">
        <v>3172</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65" t="s">
        <v>877</v>
      </c>
      <c r="C1" s="3665"/>
      <c r="D1" s="3665"/>
      <c r="E1" s="3665"/>
      <c r="F1" s="3665"/>
      <c r="G1" s="3664" t="s">
        <v>878</v>
      </c>
      <c r="H1" s="3664"/>
      <c r="I1" s="3664"/>
      <c r="J1" s="3664"/>
      <c r="K1" s="3664"/>
      <c r="L1" s="3664"/>
      <c r="N1" s="3664" t="s">
        <v>879</v>
      </c>
      <c r="O1" s="3664"/>
      <c r="P1" s="3664"/>
      <c r="Q1" s="3664"/>
      <c r="S1" s="3664" t="s">
        <v>880</v>
      </c>
      <c r="T1" s="3664"/>
      <c r="U1" s="3664"/>
      <c r="V1" s="3664"/>
      <c r="X1" s="3663" t="s">
        <v>881</v>
      </c>
      <c r="Y1" s="3664"/>
      <c r="Z1" s="3664"/>
      <c r="AA1" s="3664"/>
      <c r="AB1" s="3664"/>
      <c r="AD1" s="3663" t="s">
        <v>882</v>
      </c>
      <c r="AE1" s="3664"/>
      <c r="AF1" s="3664"/>
      <c r="AG1" s="3664"/>
      <c r="AH1" s="3664"/>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2940</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2939</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2816</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2815</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2814</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2812</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2811</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61">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61"/>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61"/>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7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6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61"/>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61"/>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7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6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61"/>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61"/>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62"/>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60">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61"/>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61"/>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62"/>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60">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61"/>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61"/>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62"/>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6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6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6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6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60">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61"/>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61"/>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62"/>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60">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61">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61">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62">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60">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61">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61">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62">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60">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61">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61">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62">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60">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61">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61">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62">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60">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61">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61">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62">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60">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61">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61">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62">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60">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61">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61">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62">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60">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61">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61">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62">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60">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61">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61">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62">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60">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61">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61">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62">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674" t="s">
        <v>2584</v>
      </c>
      <c r="D1" s="3675"/>
      <c r="E1" s="3675"/>
      <c r="F1" s="3675"/>
      <c r="G1" s="3675"/>
      <c r="H1" s="3675"/>
      <c r="I1" s="3675"/>
      <c r="J1" s="3675"/>
      <c r="K1" s="3675"/>
      <c r="L1" s="3675"/>
      <c r="M1" s="3675"/>
      <c r="N1" s="3675"/>
      <c r="O1" s="3675"/>
      <c r="P1" s="3675"/>
      <c r="Q1" s="3675"/>
      <c r="R1" s="3675"/>
      <c r="S1" s="3676"/>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4">
        <f>SUM(B24:B10000)</f>
        <v>100</v>
      </c>
      <c r="C22" s="3671" t="s">
        <v>33</v>
      </c>
      <c r="D22" s="3672"/>
      <c r="E22" s="3672"/>
      <c r="F22" s="3672"/>
      <c r="G22" s="3672"/>
      <c r="H22" s="3672"/>
      <c r="I22" s="3672"/>
      <c r="J22" s="3672"/>
      <c r="K22" s="3672"/>
      <c r="L22" s="3672"/>
      <c r="M22" s="3672"/>
      <c r="N22" s="3672"/>
      <c r="O22" s="3672"/>
      <c r="P22" s="3672"/>
      <c r="Q22" s="3673"/>
      <c r="R22" s="671">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7"/>
      <c r="C2" s="3337"/>
      <c r="D2" s="3337"/>
      <c r="E2" s="3337"/>
    </row>
    <row r="3" spans="1:5" ht="18">
      <c r="A3" s="3338" t="str">
        <f>IF(项目基本情况!B9="房地产市场价值","估价结果一览表（市场价值不需“结果表-1”）","估价结果一览表")</f>
        <v>估价结果一览表</v>
      </c>
      <c r="B3" s="3338"/>
      <c r="C3" s="3338"/>
      <c r="D3" s="3338"/>
      <c r="E3" s="3338"/>
    </row>
    <row r="4" spans="1:5" ht="19.5" thickBot="1">
      <c r="A4" s="1628"/>
      <c r="B4" s="3336" t="s">
        <v>1354</v>
      </c>
      <c r="C4" s="3336"/>
      <c r="D4" s="3336"/>
      <c r="E4" s="1628"/>
    </row>
    <row r="5" spans="1:5" ht="16.5" thickTop="1">
      <c r="A5" s="1626"/>
      <c r="B5" s="3334" t="s">
        <v>1346</v>
      </c>
      <c r="C5" s="1629" t="s">
        <v>1347</v>
      </c>
      <c r="D5" s="939" t="e">
        <f ca="1">结果表!H101</f>
        <v>#REF!</v>
      </c>
      <c r="E5" s="1626"/>
    </row>
    <row r="6" spans="1:5" ht="15.75">
      <c r="A6" s="1626"/>
      <c r="B6" s="3334"/>
      <c r="C6" s="1629" t="s">
        <v>1348</v>
      </c>
      <c r="D6" s="939" t="e">
        <f ca="1">NUMBERSTRING(INT(D5*10000),2)&amp;"元整"</f>
        <v>#REF!</v>
      </c>
      <c r="E6" s="1626"/>
    </row>
    <row r="7" spans="1:5" ht="15.75">
      <c r="A7" s="1626"/>
      <c r="B7" s="3339"/>
      <c r="C7" s="1630" t="s">
        <v>1349</v>
      </c>
      <c r="D7" s="940" t="e">
        <f ca="1">结果表!H102</f>
        <v>#REF!</v>
      </c>
      <c r="E7" s="1626"/>
    </row>
    <row r="8" spans="1:5" ht="15.75">
      <c r="A8" s="1626"/>
      <c r="B8" s="3340" t="str">
        <f>结果表!E103</f>
        <v>2.估价师知悉的法定优先受偿款</v>
      </c>
      <c r="C8" s="1631" t="s">
        <v>1350</v>
      </c>
      <c r="D8" s="940">
        <f>结果表!H103</f>
        <v>0</v>
      </c>
      <c r="E8" s="1626"/>
    </row>
    <row r="9" spans="1:5" ht="15.75">
      <c r="A9" s="1626"/>
      <c r="B9" s="3342"/>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333" t="str">
        <f>结果表!E107</f>
        <v>3.房地产抵押价值</v>
      </c>
      <c r="C13" s="1634" t="s">
        <v>1347</v>
      </c>
      <c r="D13" s="942" t="e">
        <f ca="1">结果表!H107</f>
        <v>#REF!</v>
      </c>
      <c r="E13" s="1626"/>
    </row>
    <row r="14" spans="1:5" ht="15.75">
      <c r="A14" s="1626"/>
      <c r="B14" s="3334"/>
      <c r="C14" s="1629" t="s">
        <v>1348</v>
      </c>
      <c r="D14" s="939" t="e">
        <f ca="1">NUMBERSTRING(INT(D13*10000),2)&amp;"元整"</f>
        <v>#REF!</v>
      </c>
      <c r="E14" s="1626"/>
    </row>
    <row r="15" spans="1:5" ht="15">
      <c r="A15" s="1626"/>
      <c r="B15" s="3339"/>
      <c r="C15" s="1630" t="s">
        <v>1358</v>
      </c>
      <c r="D15" s="948" t="e">
        <f ca="1">结果表!H108</f>
        <v>#REF!</v>
      </c>
      <c r="E15" s="1626"/>
    </row>
    <row r="16" spans="1:5" ht="15">
      <c r="A16" s="1626"/>
      <c r="B16" s="3340" t="str">
        <f>结果表!E109</f>
        <v>——</v>
      </c>
      <c r="C16" s="1634" t="s">
        <v>1359</v>
      </c>
      <c r="D16" s="1635" t="str">
        <f>结果表!H109</f>
        <v>——</v>
      </c>
      <c r="E16" s="1626"/>
    </row>
    <row r="17" spans="1:5" ht="15.75">
      <c r="A17" s="1626"/>
      <c r="B17" s="3341"/>
      <c r="C17" s="1629" t="s">
        <v>1360</v>
      </c>
      <c r="D17" s="939" t="e">
        <f>NUMBERSTRING(INT(D16*10000),2)&amp;"元整"</f>
        <v>#VALUE!</v>
      </c>
      <c r="E17" s="1626"/>
    </row>
    <row r="18" spans="1:5" ht="15">
      <c r="A18" s="1626"/>
      <c r="B18" s="3342"/>
      <c r="C18" s="1630" t="s">
        <v>1349</v>
      </c>
      <c r="D18" s="948" t="str">
        <f>结果表!H110</f>
        <v>——</v>
      </c>
      <c r="E18" s="1626"/>
    </row>
    <row r="19" spans="1:5" ht="15.75">
      <c r="A19" s="1626"/>
      <c r="B19" s="3333" t="str">
        <f>结果表!E111</f>
        <v>——</v>
      </c>
      <c r="C19" s="1634" t="s">
        <v>1347</v>
      </c>
      <c r="D19" s="940" t="str">
        <f>结果表!H111</f>
        <v>——</v>
      </c>
      <c r="E19" s="1626"/>
    </row>
    <row r="20" spans="1:5" ht="15.75">
      <c r="A20" s="1626"/>
      <c r="B20" s="3334"/>
      <c r="C20" s="1629" t="s">
        <v>1360</v>
      </c>
      <c r="D20" s="939" t="e">
        <f>NUMBERSTRING(INT(D19*10000),2)&amp;"元整"</f>
        <v>#VALUE!</v>
      </c>
      <c r="E20" s="1626"/>
    </row>
    <row r="21" spans="1:5" ht="15.75" thickBot="1">
      <c r="A21" s="1626"/>
      <c r="B21" s="3335"/>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32840</v>
      </c>
      <c r="C2" s="2" t="s">
        <v>133</v>
      </c>
      <c r="D2" s="204"/>
      <c r="E2" s="204"/>
      <c r="F2" s="204"/>
      <c r="G2" s="204"/>
    </row>
    <row r="3" spans="1:7" s="205" customFormat="1" ht="18" customHeight="1" thickBot="1">
      <c r="A3" s="208" t="s">
        <v>85</v>
      </c>
      <c r="B3" s="209">
        <f ca="1">ROUND(B2*10000/'数据-汇总表'!E3,0)</f>
        <v>53029</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124</v>
      </c>
      <c r="D10" s="934">
        <f>'数据-汇总表'!E6</f>
        <v>6192.7899999999991</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124</v>
      </c>
      <c r="D19" s="938">
        <f>'数据-汇总表'!E3</f>
        <v>6192.7899999999991</v>
      </c>
      <c r="E19" s="216">
        <f>'数据-取费表'!B31</f>
        <v>200</v>
      </c>
      <c r="F19" s="236"/>
      <c r="G19" s="1" t="s">
        <v>861</v>
      </c>
    </row>
    <row r="20" spans="1:7" s="219" customFormat="1" ht="13.5" customHeight="1">
      <c r="A20" s="865" t="s">
        <v>844</v>
      </c>
      <c r="B20" s="215" t="s">
        <v>104</v>
      </c>
      <c r="C20" s="237">
        <f>ROUND((C5+C19)*F20,0)</f>
        <v>415</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2036</v>
      </c>
      <c r="D22" s="240">
        <f ca="1">C26</f>
        <v>1E-3</v>
      </c>
      <c r="E22" s="241" t="s">
        <v>126</v>
      </c>
      <c r="F22" s="242">
        <f ca="1">'数据-取费表'!B40</f>
        <v>4.7500000000000001E-2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2004</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12</v>
      </c>
      <c r="D24" s="243"/>
      <c r="E24" s="243"/>
      <c r="F24" s="244"/>
      <c r="G24" s="245" t="s">
        <v>109</v>
      </c>
    </row>
    <row r="25" spans="1:7" s="219" customFormat="1" ht="24">
      <c r="A25" s="868" t="s">
        <v>612</v>
      </c>
      <c r="B25" s="220" t="s">
        <v>845</v>
      </c>
      <c r="C25" s="1217">
        <f ca="1">ROUND(IF('数据-取费表'!B22&lt;=1,C20*F22*'数据-取费表'!B23/2,C20*(POWER((1+F22),'数据-取费表'!B23/2)-1)),0)</f>
        <v>20</v>
      </c>
      <c r="D25" s="243"/>
      <c r="E25" s="246"/>
      <c r="F25" s="244"/>
      <c r="G25" s="247" t="s">
        <v>110</v>
      </c>
    </row>
    <row r="26" spans="1:7" s="219" customFormat="1">
      <c r="A26" s="868" t="s">
        <v>614</v>
      </c>
      <c r="B26" s="220" t="s">
        <v>847</v>
      </c>
      <c r="C26" s="243">
        <f ca="1">ROUND(IF('数据-取费表'!B22&lt;=1,F21*F22*'数据-取费表'!B23/2,F21*(POWER((1+F22),'数据-取费表'!B23/2)-1)),4)</f>
        <v>1E-3</v>
      </c>
      <c r="D26" s="243"/>
      <c r="E26" s="246"/>
      <c r="F26" s="244"/>
      <c r="G26" s="248"/>
    </row>
    <row r="27" spans="1:7" s="219" customFormat="1" ht="24.75">
      <c r="A27" s="865" t="s">
        <v>606</v>
      </c>
      <c r="B27" s="249" t="s">
        <v>112</v>
      </c>
      <c r="C27" s="250">
        <f>C28</f>
        <v>4230</v>
      </c>
      <c r="D27" s="240">
        <f>C29</f>
        <v>4.0000000000000001E-3</v>
      </c>
      <c r="E27" s="241" t="s">
        <v>126</v>
      </c>
      <c r="F27" s="251">
        <f>'数据-取费表'!Q16</f>
        <v>0.2</v>
      </c>
      <c r="G27" s="252" t="s">
        <v>856</v>
      </c>
    </row>
    <row r="28" spans="1:7" s="219" customFormat="1" ht="13.5" customHeight="1">
      <c r="A28" s="868" t="s">
        <v>613</v>
      </c>
      <c r="B28" s="253" t="s">
        <v>849</v>
      </c>
      <c r="C28" s="254">
        <f>ROUND((C5+C19+C20)*F27*'数据-取费表'!B21/'数据-取费表'!B20,0)</f>
        <v>4230</v>
      </c>
      <c r="D28" s="240"/>
      <c r="E28" s="241"/>
      <c r="F28" s="251"/>
      <c r="G28" s="252"/>
    </row>
    <row r="29" spans="1:7" s="219" customFormat="1" ht="13.5" customHeight="1">
      <c r="A29" s="868" t="s">
        <v>611</v>
      </c>
      <c r="B29" s="253" t="s">
        <v>850</v>
      </c>
      <c r="C29" s="243">
        <f>ROUND(C21*F27*'数据-取费表'!B21/'数据-取费表'!B20,4)</f>
        <v>4.0000000000000001E-3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29745</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3092</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2787</v>
      </c>
      <c r="D34" s="222"/>
      <c r="E34" s="225"/>
      <c r="F34" s="262">
        <f>IF('数据-取费表'!B24=0,1,'数据-取费表'!N16)</f>
        <v>1</v>
      </c>
      <c r="G34" s="224" t="s">
        <v>116</v>
      </c>
    </row>
    <row r="35" spans="1:7" ht="13.5" customHeight="1">
      <c r="A35" s="868" t="s">
        <v>615</v>
      </c>
      <c r="B35" s="220" t="s">
        <v>60</v>
      </c>
      <c r="C35" s="225">
        <f>ROUND(C34*F35,0)</f>
        <v>139</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124</v>
      </c>
      <c r="D37" s="222">
        <f>'数据-汇总表'!E3</f>
        <v>6192.7899999999991</v>
      </c>
      <c r="E37" s="254">
        <f>'数据-取费表'!B35</f>
        <v>200</v>
      </c>
      <c r="F37" s="264"/>
      <c r="G37" s="266" t="s">
        <v>119</v>
      </c>
    </row>
    <row r="38" spans="1:7" ht="13.5" customHeight="1">
      <c r="A38" s="868" t="s">
        <v>618</v>
      </c>
      <c r="B38" s="220" t="s">
        <v>63</v>
      </c>
      <c r="C38" s="225">
        <f>ROUND(C34*F38,0)</f>
        <v>42</v>
      </c>
      <c r="D38" s="225"/>
      <c r="E38" s="225"/>
      <c r="F38" s="264">
        <f>'数据-取费表'!B36</f>
        <v>1.4999999999999999E-2</v>
      </c>
      <c r="G38" s="224" t="s">
        <v>117</v>
      </c>
    </row>
    <row r="39" spans="1:7" s="219" customFormat="1" ht="13.5" customHeight="1">
      <c r="A39" s="865" t="s">
        <v>602</v>
      </c>
      <c r="B39" s="215" t="s">
        <v>104</v>
      </c>
      <c r="C39" s="237">
        <f>ROUND(C33*F20,0)</f>
        <v>62</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150</v>
      </c>
      <c r="D41" s="240">
        <f ca="1">C44</f>
        <v>1E-3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147</v>
      </c>
      <c r="D42" s="243"/>
      <c r="E42" s="243"/>
      <c r="F42" s="244"/>
      <c r="G42" s="3521" t="s">
        <v>121</v>
      </c>
    </row>
    <row r="43" spans="1:7" ht="13.5" customHeight="1">
      <c r="A43" s="868" t="s">
        <v>611</v>
      </c>
      <c r="B43" s="220" t="s">
        <v>851</v>
      </c>
      <c r="C43" s="243">
        <f ca="1">ROUND(IF('数据-取费表'!B22&lt;=1,C39*F22*'数据-取费表'!B21/2,C39*(POWER((1+F22),'数据-取费表'!B21/2)-1)),0)</f>
        <v>3</v>
      </c>
      <c r="D43" s="243"/>
      <c r="E43" s="243"/>
      <c r="F43" s="244"/>
      <c r="G43" s="3522"/>
    </row>
    <row r="44" spans="1:7" ht="13.5" customHeight="1">
      <c r="A44" s="868" t="s">
        <v>612</v>
      </c>
      <c r="B44" s="220" t="s">
        <v>853</v>
      </c>
      <c r="C44" s="243">
        <f ca="1">ROUND(IF('数据-取费表'!B22&lt;=1,C40*F22*'数据-取费表'!B21/2,C40*(POWER((1+F22),'数据-取费表'!B21/2)-1)),4)</f>
        <v>1E-3</v>
      </c>
      <c r="D44" s="243"/>
      <c r="E44" s="243"/>
      <c r="F44" s="244"/>
      <c r="G44" s="3523"/>
    </row>
    <row r="45" spans="1:7" s="219" customFormat="1" ht="13.5" customHeight="1">
      <c r="A45" s="865" t="s">
        <v>605</v>
      </c>
      <c r="B45" s="249" t="s">
        <v>112</v>
      </c>
      <c r="C45" s="250">
        <f>C46</f>
        <v>631</v>
      </c>
      <c r="D45" s="240">
        <f>C47</f>
        <v>4.0000000000000001E-3</v>
      </c>
      <c r="E45" s="241" t="s">
        <v>129</v>
      </c>
      <c r="F45" s="251"/>
      <c r="G45" s="252" t="s">
        <v>859</v>
      </c>
    </row>
    <row r="46" spans="1:7" s="219" customFormat="1" ht="13.5" customHeight="1">
      <c r="A46" s="868" t="s">
        <v>613</v>
      </c>
      <c r="B46" s="253" t="s">
        <v>852</v>
      </c>
      <c r="C46" s="254">
        <f>ROUND((C33+C39)*F27,0)</f>
        <v>631</v>
      </c>
      <c r="D46" s="268"/>
      <c r="E46" s="241"/>
      <c r="F46" s="251"/>
      <c r="G46" s="252"/>
    </row>
    <row r="47" spans="1:7" s="219" customFormat="1" ht="13.5" customHeight="1">
      <c r="A47" s="868" t="s">
        <v>611</v>
      </c>
      <c r="B47" s="253" t="s">
        <v>854</v>
      </c>
      <c r="C47" s="243">
        <f>ROUND(C40*F27,4)</f>
        <v>4.0000000000000001E-3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4269</v>
      </c>
      <c r="D49" s="237"/>
      <c r="E49" s="237"/>
      <c r="F49" s="269"/>
      <c r="G49" s="239" t="s">
        <v>860</v>
      </c>
    </row>
    <row r="50" spans="1:7" s="263" customFormat="1" ht="24">
      <c r="A50" s="865" t="s">
        <v>608</v>
      </c>
      <c r="B50" s="215" t="s">
        <v>124</v>
      </c>
      <c r="C50" s="237"/>
      <c r="D50" s="237"/>
      <c r="E50" s="237"/>
      <c r="F50" s="269">
        <f>IF('数据-取费表'!B24=0,'数据-取费表'!N16,1)</f>
        <v>0.72499999999999998</v>
      </c>
      <c r="G50" s="252" t="s">
        <v>125</v>
      </c>
    </row>
    <row r="51" spans="1:7" ht="16.5" customHeight="1">
      <c r="A51" s="865" t="s">
        <v>609</v>
      </c>
      <c r="B51" s="215" t="s">
        <v>132</v>
      </c>
      <c r="C51" s="237">
        <f ca="1">ROUND(C49*F50,0)</f>
        <v>3095</v>
      </c>
      <c r="D51" s="237"/>
      <c r="E51" s="237"/>
      <c r="F51" s="269"/>
      <c r="G51" s="239" t="s">
        <v>64</v>
      </c>
    </row>
    <row r="52" spans="1:7" s="213" customFormat="1" ht="16.5" thickBot="1">
      <c r="A52" s="270" t="s">
        <v>65</v>
      </c>
      <c r="B52" s="271"/>
      <c r="C52" s="272">
        <f ca="1">C31+C51</f>
        <v>32840</v>
      </c>
      <c r="D52" s="271"/>
      <c r="E52" s="271"/>
      <c r="F52" s="271"/>
      <c r="G52" s="273"/>
    </row>
    <row r="55" spans="1:7" ht="15">
      <c r="B55" s="275" t="s">
        <v>66</v>
      </c>
      <c r="C55" s="276"/>
    </row>
    <row r="56" spans="1:7">
      <c r="B56" s="278" t="s">
        <v>67</v>
      </c>
      <c r="C56" s="279">
        <f ca="1">ROUND(C51/C52,3)</f>
        <v>9.4E-2</v>
      </c>
    </row>
    <row r="57" spans="1:7">
      <c r="B57" s="278" t="s">
        <v>68</v>
      </c>
      <c r="C57" s="280">
        <f ca="1">1-C56</f>
        <v>0.90600000000000003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77" t="s">
        <v>156</v>
      </c>
      <c r="B1" s="3677"/>
      <c r="C1" s="3677"/>
      <c r="D1" s="3677"/>
      <c r="E1" s="3677"/>
      <c r="F1" s="367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78" t="s">
        <v>169</v>
      </c>
      <c r="B2" s="3678"/>
      <c r="C2" s="3678"/>
      <c r="D2" s="3678"/>
      <c r="E2" s="3678"/>
      <c r="F2" s="367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7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8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77" t="s">
        <v>658</v>
      </c>
      <c r="B1" s="367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2D050"/>
    <pageSetUpPr fitToPage="1"/>
  </sheetPr>
  <dimension ref="A1:AC132"/>
  <sheetViews>
    <sheetView view="pageBreakPreview" topLeftCell="D23" zoomScale="90" zoomScaleNormal="70" zoomScaleSheetLayoutView="90" workbookViewId="0">
      <selection activeCell="K44" sqref="K44"/>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t="s">
        <v>27</v>
      </c>
      <c r="E1" s="1354"/>
      <c r="F1" s="2015" t="s">
        <v>3416</v>
      </c>
      <c r="G1" s="1355" t="s">
        <v>2112</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1118</v>
      </c>
      <c r="B2" s="1278">
        <f>IF(C2="——",ROUND(C50*D3/10000,0),ROUND(C50*D3/10000,0)-D2)</f>
        <v>29185</v>
      </c>
      <c r="C2" s="2017" t="s">
        <v>70</v>
      </c>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1119</v>
      </c>
      <c r="B3" s="565">
        <f>IF(C2="——",C50,ROUND(B2*10000/D3,0))</f>
        <v>47127</v>
      </c>
      <c r="C3" s="359" t="s">
        <v>2114</v>
      </c>
      <c r="D3" s="358">
        <f>IF(D1="",'数据-汇总表'!E3,SUMIF('数据-汇总表'!$C19:$C33,D1,'数据-汇总表'!$E19:$E33))</f>
        <v>6192.7899999999991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2115</v>
      </c>
      <c r="B4" s="361"/>
      <c r="C4" s="3568" t="s">
        <v>2116</v>
      </c>
      <c r="D4" s="3569"/>
      <c r="E4" s="3570" t="s">
        <v>2117</v>
      </c>
      <c r="F4" s="3571"/>
      <c r="G4" s="3568" t="s">
        <v>2118</v>
      </c>
      <c r="H4" s="3569"/>
      <c r="I4" s="3568" t="s">
        <v>2119</v>
      </c>
      <c r="J4" s="3569"/>
      <c r="K4" s="566" t="s">
        <v>2120</v>
      </c>
      <c r="L4" s="2893"/>
      <c r="M4" s="2894"/>
      <c r="N4" s="2894"/>
      <c r="O4" s="2894"/>
      <c r="P4" s="3602" t="s">
        <v>2121</v>
      </c>
      <c r="Q4" s="3603"/>
      <c r="R4" s="3606" t="s">
        <v>2117</v>
      </c>
      <c r="S4" s="3607"/>
      <c r="T4" s="3606" t="s">
        <v>2118</v>
      </c>
      <c r="U4" s="3607"/>
      <c r="V4" s="3608" t="s">
        <v>2119</v>
      </c>
      <c r="W4" s="3608"/>
      <c r="X4" s="3262"/>
      <c r="Y4" s="3606" t="s">
        <v>2121</v>
      </c>
      <c r="Z4" s="3607"/>
      <c r="AA4" s="3611" t="s">
        <v>2117</v>
      </c>
      <c r="AB4" s="3611" t="s">
        <v>2118</v>
      </c>
      <c r="AC4" s="3599" t="s">
        <v>2119</v>
      </c>
    </row>
    <row r="5" spans="1:29" ht="15">
      <c r="A5" s="363"/>
      <c r="B5" s="364"/>
      <c r="C5" s="3587" t="s">
        <v>2122</v>
      </c>
      <c r="D5" s="3588"/>
      <c r="E5" s="3612" t="str">
        <f>Sheet2!D9</f>
        <v>兆泰国际中心CDE座（80%股权）</v>
      </c>
      <c r="F5" s="3595"/>
      <c r="G5" s="3609" t="str">
        <f>Sheet2!D13</f>
        <v>光熙门独栋</v>
      </c>
      <c r="H5" s="3588"/>
      <c r="I5" s="3609" t="str">
        <f>Sheet2!D31</f>
        <v>德胜国际中心BE座</v>
      </c>
      <c r="J5" s="3588"/>
      <c r="K5" s="566"/>
      <c r="L5" s="2893"/>
      <c r="M5" s="2894"/>
      <c r="N5" s="2894"/>
      <c r="O5" s="2894"/>
      <c r="P5" s="3604"/>
      <c r="Q5" s="3575"/>
      <c r="R5" s="3580"/>
      <c r="S5" s="3581"/>
      <c r="T5" s="3580"/>
      <c r="U5" s="3581"/>
      <c r="V5" s="3584"/>
      <c r="W5" s="3584"/>
      <c r="X5" s="3257"/>
      <c r="Y5" s="3580"/>
      <c r="Z5" s="3581"/>
      <c r="AA5" s="3566"/>
      <c r="AB5" s="3566"/>
      <c r="AC5" s="3600"/>
    </row>
    <row r="6" spans="1:29" ht="15.75" thickBot="1">
      <c r="A6" s="365"/>
      <c r="B6" s="366"/>
      <c r="C6" s="3585" t="s">
        <v>2126</v>
      </c>
      <c r="D6" s="3586"/>
      <c r="E6" s="3592" t="s">
        <v>2126</v>
      </c>
      <c r="F6" s="3593"/>
      <c r="G6" s="3585" t="s">
        <v>2126</v>
      </c>
      <c r="H6" s="3586"/>
      <c r="I6" s="3585" t="s">
        <v>2126</v>
      </c>
      <c r="J6" s="3586"/>
      <c r="K6" s="566" t="s">
        <v>2127</v>
      </c>
      <c r="L6" s="2893"/>
      <c r="M6" s="2894"/>
      <c r="N6" s="2894"/>
      <c r="O6" s="2894"/>
      <c r="P6" s="3605"/>
      <c r="Q6" s="3577"/>
      <c r="R6" s="3580"/>
      <c r="S6" s="3581"/>
      <c r="T6" s="3582"/>
      <c r="U6" s="3583"/>
      <c r="V6" s="3584"/>
      <c r="W6" s="3584"/>
      <c r="X6" s="3257"/>
      <c r="Y6" s="3582"/>
      <c r="Z6" s="3583"/>
      <c r="AA6" s="3567"/>
      <c r="AB6" s="3567"/>
      <c r="AC6" s="3601"/>
    </row>
    <row r="7" spans="1:29" s="113" customFormat="1" ht="15.75" thickBot="1">
      <c r="A7" s="367" t="s">
        <v>2128</v>
      </c>
      <c r="B7" s="368"/>
      <c r="C7" s="369">
        <f>'数据-取费表'!B2</f>
        <v>44820</v>
      </c>
      <c r="D7" s="370">
        <v>100</v>
      </c>
      <c r="E7" s="371">
        <v>44805</v>
      </c>
      <c r="F7" s="372">
        <f>SUMIF(59:59,YEAR(E7)&amp;"-"&amp;MONTH(E7),60:60)</f>
        <v>100</v>
      </c>
      <c r="G7" s="371">
        <v>44805</v>
      </c>
      <c r="H7" s="370">
        <f>SUMIF(59:59,YEAR(G7)&amp;"-"&amp;MONTH(G7),60:60)</f>
        <v>100</v>
      </c>
      <c r="I7" s="371">
        <v>44805</v>
      </c>
      <c r="J7" s="370">
        <f>SUMIF(59:59,YEAR(I7)&amp;"-"&amp;MONTH(I7),60:60)</f>
        <v>100</v>
      </c>
      <c r="K7" s="567"/>
      <c r="L7" s="2895"/>
      <c r="M7" s="2896"/>
      <c r="N7" s="2896"/>
      <c r="O7" s="2896"/>
      <c r="P7" s="3610" t="s">
        <v>2129</v>
      </c>
      <c r="Q7" s="3591"/>
      <c r="R7" s="709" t="s">
        <v>17</v>
      </c>
      <c r="S7" s="710">
        <f t="shared" ref="S7:S15" si="0">F7</f>
        <v>100</v>
      </c>
      <c r="T7" s="709" t="s">
        <v>17</v>
      </c>
      <c r="U7" s="710">
        <f t="shared" ref="U7:U15" si="1">H7</f>
        <v>100</v>
      </c>
      <c r="V7" s="709" t="s">
        <v>17</v>
      </c>
      <c r="W7" s="710">
        <f t="shared" ref="W7:W15" si="2">J7</f>
        <v>100</v>
      </c>
      <c r="X7" s="711"/>
      <c r="Y7" s="3589" t="s">
        <v>2129</v>
      </c>
      <c r="Z7" s="3590"/>
      <c r="AA7" s="712">
        <f>D7/F7</f>
        <v>1</v>
      </c>
      <c r="AB7" s="712">
        <f>D7/H7</f>
        <v>1</v>
      </c>
      <c r="AC7" s="2095">
        <f>D7/J7</f>
        <v>1</v>
      </c>
    </row>
    <row r="8" spans="1:29" s="113" customFormat="1" ht="15.75" thickBot="1">
      <c r="A8" s="367" t="s">
        <v>2130</v>
      </c>
      <c r="B8" s="368"/>
      <c r="C8" s="373" t="s">
        <v>2167</v>
      </c>
      <c r="D8" s="370">
        <v>100</v>
      </c>
      <c r="E8" s="373" t="s">
        <v>3246</v>
      </c>
      <c r="F8" s="372">
        <f>SUMIF(62:62,E8,63:63)-SUMIF(62:62,C8,63:63)+100</f>
        <v>100</v>
      </c>
      <c r="G8" s="373" t="s">
        <v>3246</v>
      </c>
      <c r="H8" s="370">
        <f>SUMIF(62:62,G8,63:63)-SUMIF(62:62,C8,63:63)+100</f>
        <v>100</v>
      </c>
      <c r="I8" s="373" t="s">
        <v>3246</v>
      </c>
      <c r="J8" s="370">
        <f>SUMIF(62:62,I8,63:63)-SUMIF(62:62,C8,63:63)+100</f>
        <v>100</v>
      </c>
      <c r="K8" s="567"/>
      <c r="L8" s="2895"/>
      <c r="M8" s="2896"/>
      <c r="N8" s="2896"/>
      <c r="O8" s="2896"/>
      <c r="P8" s="3610" t="s">
        <v>2132</v>
      </c>
      <c r="Q8" s="3590"/>
      <c r="R8" s="709" t="s">
        <v>17</v>
      </c>
      <c r="S8" s="710">
        <f t="shared" si="0"/>
        <v>100</v>
      </c>
      <c r="T8" s="709" t="s">
        <v>17</v>
      </c>
      <c r="U8" s="710">
        <f t="shared" si="1"/>
        <v>100</v>
      </c>
      <c r="V8" s="709" t="s">
        <v>17</v>
      </c>
      <c r="W8" s="710">
        <f t="shared" si="2"/>
        <v>100</v>
      </c>
      <c r="X8" s="711"/>
      <c r="Y8" s="3589" t="s">
        <v>2132</v>
      </c>
      <c r="Z8" s="3590"/>
      <c r="AA8" s="712">
        <f t="shared" ref="AA8:AA47" si="3">D8/F8</f>
        <v>1</v>
      </c>
      <c r="AB8" s="712">
        <f t="shared" ref="AB8:AB47" si="4">D8/H8</f>
        <v>1</v>
      </c>
      <c r="AC8" s="2095">
        <f t="shared" ref="AC8:AC47" si="5">D8/J8</f>
        <v>1</v>
      </c>
    </row>
    <row r="9" spans="1:29" s="113"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564" t="s">
        <v>2135</v>
      </c>
      <c r="Q9" s="3256" t="str">
        <f t="shared" ref="Q9:Q15" si="6">B9</f>
        <v>用途</v>
      </c>
      <c r="R9" s="709" t="s">
        <v>17</v>
      </c>
      <c r="S9" s="710">
        <f t="shared" si="0"/>
        <v>100</v>
      </c>
      <c r="T9" s="709" t="s">
        <v>17</v>
      </c>
      <c r="U9" s="710">
        <f t="shared" si="1"/>
        <v>100</v>
      </c>
      <c r="V9" s="709" t="s">
        <v>17</v>
      </c>
      <c r="W9" s="710">
        <f t="shared" si="2"/>
        <v>100</v>
      </c>
      <c r="X9" s="711"/>
      <c r="Y9" s="3425" t="s">
        <v>2136</v>
      </c>
      <c r="Z9" s="3255" t="str">
        <f t="shared" ref="Z9:Z15" si="7">Q9</f>
        <v>用途</v>
      </c>
      <c r="AA9" s="712">
        <f t="shared" si="3"/>
        <v>1</v>
      </c>
      <c r="AB9" s="712">
        <f t="shared" si="4"/>
        <v>1</v>
      </c>
      <c r="AC9" s="2095">
        <f t="shared" si="5"/>
        <v>1</v>
      </c>
    </row>
    <row r="10" spans="1:29" s="385" customFormat="1" ht="27.75" thickBot="1">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564"/>
      <c r="Q10" s="3256" t="str">
        <f t="shared" si="6"/>
        <v>土地使用年限（年）</v>
      </c>
      <c r="R10" s="709" t="s">
        <v>17</v>
      </c>
      <c r="S10" s="710">
        <f t="shared" si="0"/>
        <v>100</v>
      </c>
      <c r="T10" s="709" t="s">
        <v>17</v>
      </c>
      <c r="U10" s="710">
        <f t="shared" si="1"/>
        <v>100</v>
      </c>
      <c r="V10" s="709" t="s">
        <v>17</v>
      </c>
      <c r="W10" s="710">
        <f t="shared" si="2"/>
        <v>100</v>
      </c>
      <c r="X10" s="711"/>
      <c r="Y10" s="3425"/>
      <c r="Z10" s="3255" t="str">
        <f t="shared" si="7"/>
        <v>土地使用年限（年）</v>
      </c>
      <c r="AA10" s="712">
        <f t="shared" si="3"/>
        <v>1</v>
      </c>
      <c r="AB10" s="712">
        <f t="shared" si="4"/>
        <v>1</v>
      </c>
      <c r="AC10" s="2095">
        <f t="shared" si="5"/>
        <v>1</v>
      </c>
    </row>
    <row r="11" spans="1:29" ht="15.75" hidden="1" thickBot="1">
      <c r="A11" s="386"/>
      <c r="B11" s="380" t="s">
        <v>2138</v>
      </c>
      <c r="C11" s="387"/>
      <c r="D11" s="131">
        <v>100</v>
      </c>
      <c r="E11" s="387"/>
      <c r="F11" s="131">
        <f>LOOKUP(E11,69:69,70:70)-LOOKUP(C11,69:69,70:70)+100</f>
        <v>100</v>
      </c>
      <c r="G11" s="388"/>
      <c r="H11" s="131">
        <f>LOOKUP(G11,69:69,70:70)-LOOKUP(C11,69:69,70:70)+100</f>
        <v>100</v>
      </c>
      <c r="I11" s="387"/>
      <c r="J11" s="131">
        <f>LOOKUP(I11,69:69,70:70)-LOOKUP(C11,69:69,70:70)+100</f>
        <v>100</v>
      </c>
      <c r="K11" s="568"/>
      <c r="L11" s="2899"/>
      <c r="M11" s="2894"/>
      <c r="N11" s="2894"/>
      <c r="O11" s="2894"/>
      <c r="P11" s="3564"/>
      <c r="Q11" s="3256" t="str">
        <f t="shared" si="6"/>
        <v>容积率</v>
      </c>
      <c r="R11" s="709" t="s">
        <v>17</v>
      </c>
      <c r="S11" s="710">
        <f t="shared" si="0"/>
        <v>100</v>
      </c>
      <c r="T11" s="709" t="s">
        <v>17</v>
      </c>
      <c r="U11" s="710">
        <f t="shared" si="1"/>
        <v>100</v>
      </c>
      <c r="V11" s="709" t="s">
        <v>17</v>
      </c>
      <c r="W11" s="710">
        <f t="shared" si="2"/>
        <v>100</v>
      </c>
      <c r="X11" s="711"/>
      <c r="Y11" s="3425"/>
      <c r="Z11" s="3255" t="str">
        <f t="shared" si="7"/>
        <v>容积率</v>
      </c>
      <c r="AA11" s="712">
        <f t="shared" si="3"/>
        <v>1</v>
      </c>
      <c r="AB11" s="712">
        <f t="shared" si="4"/>
        <v>1</v>
      </c>
      <c r="AC11" s="2095">
        <f t="shared" si="5"/>
        <v>1</v>
      </c>
    </row>
    <row r="12" spans="1:29" s="113" customFormat="1" ht="15.75" hidden="1" thickBot="1">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564"/>
      <c r="Q12" s="3256">
        <f t="shared" si="6"/>
        <v>111</v>
      </c>
      <c r="R12" s="709" t="s">
        <v>17</v>
      </c>
      <c r="S12" s="710">
        <f t="shared" si="0"/>
        <v>100</v>
      </c>
      <c r="T12" s="709" t="s">
        <v>17</v>
      </c>
      <c r="U12" s="710">
        <f t="shared" si="1"/>
        <v>100</v>
      </c>
      <c r="V12" s="709" t="s">
        <v>17</v>
      </c>
      <c r="W12" s="710">
        <f t="shared" si="2"/>
        <v>100</v>
      </c>
      <c r="X12" s="711"/>
      <c r="Y12" s="3425"/>
      <c r="Z12" s="3255">
        <f t="shared" si="7"/>
        <v>111</v>
      </c>
      <c r="AA12" s="712">
        <f>D12/F12</f>
        <v>1</v>
      </c>
      <c r="AB12" s="712">
        <f>D12/H12</f>
        <v>1</v>
      </c>
      <c r="AC12" s="2095">
        <f>D12/J12</f>
        <v>1</v>
      </c>
    </row>
    <row r="13" spans="1:29" ht="15.75" hidden="1" thickBot="1">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564"/>
      <c r="Q13" s="3256">
        <f t="shared" si="6"/>
        <v>111</v>
      </c>
      <c r="R13" s="709" t="s">
        <v>17</v>
      </c>
      <c r="S13" s="710">
        <f t="shared" si="0"/>
        <v>100</v>
      </c>
      <c r="T13" s="709" t="s">
        <v>17</v>
      </c>
      <c r="U13" s="710">
        <f t="shared" si="1"/>
        <v>100</v>
      </c>
      <c r="V13" s="709" t="s">
        <v>17</v>
      </c>
      <c r="W13" s="710">
        <f t="shared" si="2"/>
        <v>100</v>
      </c>
      <c r="X13" s="711"/>
      <c r="Y13" s="3425"/>
      <c r="Z13" s="3255">
        <f t="shared" si="7"/>
        <v>111</v>
      </c>
      <c r="AA13" s="712">
        <f t="shared" si="3"/>
        <v>1</v>
      </c>
      <c r="AB13" s="712">
        <f t="shared" si="4"/>
        <v>1</v>
      </c>
      <c r="AC13" s="2095">
        <f t="shared" si="5"/>
        <v>1</v>
      </c>
    </row>
    <row r="14" spans="1:29" ht="15.75" hidden="1"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564"/>
      <c r="Q14" s="3256">
        <f t="shared" si="6"/>
        <v>111</v>
      </c>
      <c r="R14" s="709" t="s">
        <v>17</v>
      </c>
      <c r="S14" s="710">
        <f t="shared" si="0"/>
        <v>100</v>
      </c>
      <c r="T14" s="709" t="s">
        <v>17</v>
      </c>
      <c r="U14" s="710">
        <f t="shared" si="1"/>
        <v>100</v>
      </c>
      <c r="V14" s="709" t="s">
        <v>17</v>
      </c>
      <c r="W14" s="710">
        <f t="shared" si="2"/>
        <v>100</v>
      </c>
      <c r="X14" s="711"/>
      <c r="Y14" s="3425"/>
      <c r="Z14" s="3255">
        <f t="shared" si="7"/>
        <v>111</v>
      </c>
      <c r="AA14" s="712">
        <f t="shared" si="3"/>
        <v>1</v>
      </c>
      <c r="AB14" s="712">
        <f t="shared" si="4"/>
        <v>1</v>
      </c>
      <c r="AC14" s="2095">
        <f t="shared" si="5"/>
        <v>1</v>
      </c>
    </row>
    <row r="15" spans="1:29" ht="71.25">
      <c r="A15" s="398" t="s">
        <v>2139</v>
      </c>
      <c r="B15" s="584" t="s">
        <v>2267</v>
      </c>
      <c r="C15" s="2097" t="str">
        <f>估价对象房地状况!C5</f>
        <v>估价对象地处东城区，周边办公楼项目较多，入驻率高，办公集聚程度较好。</v>
      </c>
      <c r="D15" s="399">
        <v>100</v>
      </c>
      <c r="E15" s="402"/>
      <c r="F15" s="399">
        <f>SUMIF(77:77,E16,78:78)-SUMIF(77:77,C16,78:78)+100</f>
        <v>105</v>
      </c>
      <c r="G15" s="400"/>
      <c r="H15" s="399">
        <f>SUMIF(77:77,G16,78:78)-SUMIF(77:77,C16,78:78)+100</f>
        <v>105</v>
      </c>
      <c r="I15" s="400"/>
      <c r="J15" s="399">
        <f>SUMIF(77:77,I16,78:78)-SUMIF(77:77,C16,78:78)+100</f>
        <v>100</v>
      </c>
      <c r="K15" s="570">
        <v>5</v>
      </c>
      <c r="L15" s="2900"/>
      <c r="M15" s="2894"/>
      <c r="N15" s="2894"/>
      <c r="O15" s="2894"/>
      <c r="P15" s="3562" t="s">
        <v>2140</v>
      </c>
      <c r="Q15" s="3260" t="str">
        <f t="shared" si="6"/>
        <v>办公集聚程度</v>
      </c>
      <c r="R15" s="713" t="s">
        <v>17</v>
      </c>
      <c r="S15" s="714">
        <f t="shared" si="0"/>
        <v>105</v>
      </c>
      <c r="T15" s="713" t="s">
        <v>17</v>
      </c>
      <c r="U15" s="714">
        <f t="shared" si="1"/>
        <v>105</v>
      </c>
      <c r="V15" s="713" t="s">
        <v>17</v>
      </c>
      <c r="W15" s="714">
        <f t="shared" si="2"/>
        <v>100</v>
      </c>
      <c r="X15" s="3257"/>
      <c r="Y15" s="3555" t="s">
        <v>2140</v>
      </c>
      <c r="Z15" s="3258" t="str">
        <f t="shared" si="7"/>
        <v>办公集聚程度</v>
      </c>
      <c r="AA15" s="3261">
        <f t="shared" si="3"/>
        <v>0.95238095238095233</v>
      </c>
      <c r="AB15" s="3261">
        <f t="shared" si="4"/>
        <v>0.95238095238095233</v>
      </c>
      <c r="AC15" s="2098">
        <f t="shared" si="5"/>
        <v>1</v>
      </c>
    </row>
    <row r="16" spans="1:29" ht="15">
      <c r="A16" s="386"/>
      <c r="B16" s="585"/>
      <c r="C16" s="2040" t="s">
        <v>3249</v>
      </c>
      <c r="D16" s="406"/>
      <c r="E16" s="405" t="s">
        <v>3283</v>
      </c>
      <c r="F16" s="406"/>
      <c r="G16" s="2040" t="s">
        <v>3283</v>
      </c>
      <c r="H16" s="408"/>
      <c r="I16" s="2040" t="s">
        <v>3249</v>
      </c>
      <c r="J16" s="406"/>
      <c r="K16" s="571"/>
      <c r="L16" s="2900"/>
      <c r="M16" s="2894"/>
      <c r="N16" s="2894"/>
      <c r="O16" s="2894"/>
      <c r="P16" s="3563"/>
      <c r="Q16" s="3260"/>
      <c r="R16" s="713"/>
      <c r="S16" s="714"/>
      <c r="T16" s="713"/>
      <c r="U16" s="714"/>
      <c r="V16" s="713"/>
      <c r="W16" s="714"/>
      <c r="X16" s="3257"/>
      <c r="Y16" s="3556"/>
      <c r="Z16" s="3258"/>
      <c r="AA16" s="3261">
        <v>1</v>
      </c>
      <c r="AB16" s="3261">
        <v>1</v>
      </c>
      <c r="AC16" s="2098">
        <v>1</v>
      </c>
    </row>
    <row r="17" spans="1:29" ht="66" customHeight="1">
      <c r="A17" s="386"/>
      <c r="B17" s="586" t="s">
        <v>1704</v>
      </c>
      <c r="C17" s="2099" t="str">
        <f>估价对象房地状况!C6</f>
        <v>估价对象为距离东二环约600米，北侧临近工人体育场北路，周边有3路、4路、113路、115录吧、406路等公交通行，距离地铁2号线东四十条站约700米，交通便捷度较好。</v>
      </c>
      <c r="D17" s="408">
        <v>100</v>
      </c>
      <c r="E17" s="412"/>
      <c r="F17" s="408">
        <f>SUMIF(79:79,E18,80:80)-SUMIF(79:79,C18,80:80)+100</f>
        <v>100</v>
      </c>
      <c r="G17" s="410"/>
      <c r="H17" s="413">
        <f>SUMIF(79:79,G18,80:80)-SUMIF(79:79,C18,80:80)+100</f>
        <v>100</v>
      </c>
      <c r="I17" s="410"/>
      <c r="J17" s="413">
        <f>SUMIF(79:79,I18,80:80)-SUMIF(79:79,C18,80:80)+100</f>
        <v>100</v>
      </c>
      <c r="K17" s="570">
        <v>0.5</v>
      </c>
      <c r="L17" s="2900"/>
      <c r="M17" s="2894"/>
      <c r="N17" s="2894"/>
      <c r="O17" s="2894"/>
      <c r="P17" s="3563"/>
      <c r="Q17" s="3260" t="str">
        <f>B17</f>
        <v>交通便捷度</v>
      </c>
      <c r="R17" s="713" t="s">
        <v>17</v>
      </c>
      <c r="S17" s="714">
        <f>F17</f>
        <v>100</v>
      </c>
      <c r="T17" s="713" t="s">
        <v>17</v>
      </c>
      <c r="U17" s="714">
        <f>H17</f>
        <v>100</v>
      </c>
      <c r="V17" s="713" t="s">
        <v>17</v>
      </c>
      <c r="W17" s="714">
        <f>J17</f>
        <v>100</v>
      </c>
      <c r="X17" s="3257"/>
      <c r="Y17" s="3556"/>
      <c r="Z17" s="3258" t="str">
        <f>Q17</f>
        <v>交通便捷度</v>
      </c>
      <c r="AA17" s="3261">
        <f t="shared" si="3"/>
        <v>1</v>
      </c>
      <c r="AB17" s="3261">
        <f t="shared" si="4"/>
        <v>1</v>
      </c>
      <c r="AC17" s="2098">
        <f t="shared" si="5"/>
        <v>1</v>
      </c>
    </row>
    <row r="18" spans="1:29" ht="15">
      <c r="A18" s="386"/>
      <c r="B18" s="587"/>
      <c r="C18" s="2100" t="s">
        <v>3249</v>
      </c>
      <c r="D18" s="408"/>
      <c r="E18" s="2038" t="s">
        <v>3249</v>
      </c>
      <c r="F18" s="408"/>
      <c r="G18" s="2039" t="s">
        <v>3249</v>
      </c>
      <c r="H18" s="406"/>
      <c r="I18" s="2039" t="s">
        <v>3249</v>
      </c>
      <c r="J18" s="406"/>
      <c r="K18" s="571"/>
      <c r="L18" s="2900"/>
      <c r="M18" s="2894"/>
      <c r="N18" s="2894"/>
      <c r="O18" s="2894"/>
      <c r="P18" s="3563"/>
      <c r="Q18" s="3260"/>
      <c r="R18" s="713"/>
      <c r="S18" s="714"/>
      <c r="T18" s="713"/>
      <c r="U18" s="714"/>
      <c r="V18" s="713"/>
      <c r="W18" s="714"/>
      <c r="X18" s="3257"/>
      <c r="Y18" s="3556"/>
      <c r="Z18" s="3258"/>
      <c r="AA18" s="3261">
        <v>1</v>
      </c>
      <c r="AB18" s="3261">
        <v>1</v>
      </c>
      <c r="AC18" s="2098">
        <v>1</v>
      </c>
    </row>
    <row r="19" spans="1:29" ht="84.75" customHeight="1">
      <c r="A19" s="386"/>
      <c r="B19" s="586" t="s">
        <v>2268</v>
      </c>
      <c r="C19" s="2099" t="str">
        <f>估价对象房地状况!C7</f>
        <v>周边2公里内的公共服务配套设施较为齐备，有购物场所（永利国际购物中心、悠唐购物中心、京客隆）、医院（朝阳区中医医院、中国人民解放军总医院第七医学中心、北京善方医院）、银行（交通银行、工商银行、农业银行）、学校（白家庄小学、史家实验学校、北京市第五十五中学、新中街幼儿园）、餐饮等公共服务配套设施。</v>
      </c>
      <c r="D19" s="413">
        <v>100</v>
      </c>
      <c r="E19" s="417"/>
      <c r="F19" s="413">
        <f>SUMIF(81:81,E20,82:82)-SUMIF(81:81,C20,82:82)+100</f>
        <v>100</v>
      </c>
      <c r="G19" s="415"/>
      <c r="H19" s="408">
        <f>SUMIF(81:81,G20,82:82)-SUMIF(81:81,C20,82:82)+100</f>
        <v>100</v>
      </c>
      <c r="I19" s="415"/>
      <c r="J19" s="408">
        <f>SUMIF(81:81,I20,82:82)-SUMIF(81:81,C20,82:82)+100</f>
        <v>100</v>
      </c>
      <c r="K19" s="570">
        <v>2</v>
      </c>
      <c r="L19" s="2900"/>
      <c r="M19" s="2894"/>
      <c r="N19" s="2894"/>
      <c r="O19" s="2894"/>
      <c r="P19" s="3563"/>
      <c r="Q19" s="3260" t="str">
        <f>B19</f>
        <v>公共配套设施</v>
      </c>
      <c r="R19" s="713" t="s">
        <v>17</v>
      </c>
      <c r="S19" s="714">
        <f>F19</f>
        <v>100</v>
      </c>
      <c r="T19" s="713" t="s">
        <v>17</v>
      </c>
      <c r="U19" s="714">
        <f>H19</f>
        <v>100</v>
      </c>
      <c r="V19" s="713" t="s">
        <v>17</v>
      </c>
      <c r="W19" s="714">
        <f>J19</f>
        <v>100</v>
      </c>
      <c r="X19" s="3257"/>
      <c r="Y19" s="3556"/>
      <c r="Z19" s="3258" t="str">
        <f>Q19</f>
        <v>公共配套设施</v>
      </c>
      <c r="AA19" s="3261">
        <f t="shared" si="3"/>
        <v>1</v>
      </c>
      <c r="AB19" s="3261">
        <f t="shared" si="4"/>
        <v>1</v>
      </c>
      <c r="AC19" s="2098">
        <f t="shared" si="5"/>
        <v>1</v>
      </c>
    </row>
    <row r="20" spans="1:29" ht="15">
      <c r="A20" s="386"/>
      <c r="B20" s="587"/>
      <c r="C20" s="2040" t="s">
        <v>3249</v>
      </c>
      <c r="D20" s="406"/>
      <c r="E20" s="2040" t="s">
        <v>3249</v>
      </c>
      <c r="F20" s="406"/>
      <c r="G20" s="2040" t="s">
        <v>3249</v>
      </c>
      <c r="H20" s="406"/>
      <c r="I20" s="2040" t="s">
        <v>3249</v>
      </c>
      <c r="J20" s="406"/>
      <c r="K20" s="571"/>
      <c r="L20" s="2900"/>
      <c r="M20" s="2894"/>
      <c r="N20" s="2894"/>
      <c r="O20" s="2894"/>
      <c r="P20" s="3563"/>
      <c r="Q20" s="3260"/>
      <c r="R20" s="713"/>
      <c r="S20" s="714"/>
      <c r="T20" s="713"/>
      <c r="U20" s="714"/>
      <c r="V20" s="713"/>
      <c r="W20" s="714"/>
      <c r="X20" s="3257"/>
      <c r="Y20" s="3556"/>
      <c r="Z20" s="3258"/>
      <c r="AA20" s="3261">
        <v>1</v>
      </c>
      <c r="AB20" s="3261">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900"/>
      <c r="M21" s="2894"/>
      <c r="N21" s="2894"/>
      <c r="O21" s="2894"/>
      <c r="P21" s="3563"/>
      <c r="Q21" s="3260" t="str">
        <f>B21</f>
        <v>基础设施水平</v>
      </c>
      <c r="R21" s="713" t="s">
        <v>17</v>
      </c>
      <c r="S21" s="714">
        <f>F21</f>
        <v>100</v>
      </c>
      <c r="T21" s="713" t="s">
        <v>17</v>
      </c>
      <c r="U21" s="714">
        <f>H21</f>
        <v>100</v>
      </c>
      <c r="V21" s="713" t="s">
        <v>17</v>
      </c>
      <c r="W21" s="714">
        <f>J21</f>
        <v>100</v>
      </c>
      <c r="X21" s="3257"/>
      <c r="Y21" s="3556"/>
      <c r="Z21" s="3258" t="str">
        <f>Q21</f>
        <v>基础设施水平</v>
      </c>
      <c r="AA21" s="3261">
        <f t="shared" ref="AA21" si="8">D21/F21</f>
        <v>1</v>
      </c>
      <c r="AB21" s="3261">
        <f t="shared" ref="AB21" si="9">D21/H21</f>
        <v>1</v>
      </c>
      <c r="AC21" s="2098">
        <f t="shared" ref="AC21" si="10">D21/J21</f>
        <v>1</v>
      </c>
    </row>
    <row r="22" spans="1:29" ht="15">
      <c r="A22" s="386"/>
      <c r="B22" s="588"/>
      <c r="C22" s="2100" t="s">
        <v>3250</v>
      </c>
      <c r="D22" s="406"/>
      <c r="E22" s="2100" t="s">
        <v>3250</v>
      </c>
      <c r="F22" s="406"/>
      <c r="G22" s="2100" t="s">
        <v>3250</v>
      </c>
      <c r="H22" s="406"/>
      <c r="I22" s="2100" t="s">
        <v>3250</v>
      </c>
      <c r="J22" s="406"/>
      <c r="K22" s="1244"/>
      <c r="L22" s="2900"/>
      <c r="M22" s="2894"/>
      <c r="N22" s="2894"/>
      <c r="O22" s="2894"/>
      <c r="P22" s="3563"/>
      <c r="Q22" s="3260"/>
      <c r="R22" s="713"/>
      <c r="S22" s="714"/>
      <c r="T22" s="713"/>
      <c r="U22" s="714"/>
      <c r="V22" s="713"/>
      <c r="W22" s="714"/>
      <c r="X22" s="3257"/>
      <c r="Y22" s="3556"/>
      <c r="Z22" s="3258"/>
      <c r="AA22" s="3261">
        <v>1</v>
      </c>
      <c r="AB22" s="3261">
        <v>1</v>
      </c>
      <c r="AC22" s="2098">
        <v>1</v>
      </c>
    </row>
    <row r="23" spans="1:29" ht="71.25">
      <c r="A23" s="386"/>
      <c r="B23" s="586" t="s">
        <v>2270</v>
      </c>
      <c r="C23" s="2099" t="str">
        <f>估价对象房地状况!C9</f>
        <v>区域自然环境：东岳庙；人文环境：北京工人体育场、保利剧院；综合评价环境状况较好</v>
      </c>
      <c r="D23" s="408">
        <v>100</v>
      </c>
      <c r="E23" s="412"/>
      <c r="F23" s="408">
        <f>SUMIF(85:85,E24,86:86)-SUMIF(85:85,C24,86:86)+100</f>
        <v>100</v>
      </c>
      <c r="G23" s="410"/>
      <c r="H23" s="408">
        <f>SUMIF(85:85,G24,86:86)-SUMIF(85:85,C24,86:86)+100</f>
        <v>100</v>
      </c>
      <c r="I23" s="410"/>
      <c r="J23" s="408">
        <f>SUMIF(85:85,I24,86:86)-SUMIF(85:85,C24,86:86)+100</f>
        <v>100</v>
      </c>
      <c r="K23" s="570">
        <v>2</v>
      </c>
      <c r="L23" s="2900"/>
      <c r="M23" s="2894"/>
      <c r="N23" s="2894"/>
      <c r="O23" s="2894"/>
      <c r="P23" s="3563"/>
      <c r="Q23" s="3260" t="str">
        <f>B23</f>
        <v>环境质量</v>
      </c>
      <c r="R23" s="713" t="s">
        <v>17</v>
      </c>
      <c r="S23" s="714">
        <f>F23</f>
        <v>100</v>
      </c>
      <c r="T23" s="713" t="s">
        <v>17</v>
      </c>
      <c r="U23" s="714">
        <f>H23</f>
        <v>100</v>
      </c>
      <c r="V23" s="713" t="s">
        <v>17</v>
      </c>
      <c r="W23" s="714">
        <f>J23</f>
        <v>100</v>
      </c>
      <c r="X23" s="3257"/>
      <c r="Y23" s="3556"/>
      <c r="Z23" s="3258" t="str">
        <f>Q23</f>
        <v>环境质量</v>
      </c>
      <c r="AA23" s="3261">
        <f t="shared" si="3"/>
        <v>1</v>
      </c>
      <c r="AB23" s="3261">
        <f t="shared" si="4"/>
        <v>1</v>
      </c>
      <c r="AC23" s="2098">
        <f t="shared" si="5"/>
        <v>1</v>
      </c>
    </row>
    <row r="24" spans="1:29" ht="15">
      <c r="A24" s="386"/>
      <c r="B24" s="588"/>
      <c r="C24" s="2040" t="s">
        <v>3249</v>
      </c>
      <c r="D24" s="406"/>
      <c r="E24" s="2040" t="s">
        <v>3249</v>
      </c>
      <c r="F24" s="406"/>
      <c r="G24" s="2040" t="s">
        <v>3249</v>
      </c>
      <c r="H24" s="406"/>
      <c r="I24" s="2040" t="s">
        <v>3249</v>
      </c>
      <c r="J24" s="406"/>
      <c r="K24" s="571"/>
      <c r="L24" s="2900"/>
      <c r="M24" s="2894"/>
      <c r="N24" s="2894"/>
      <c r="O24" s="2894"/>
      <c r="P24" s="3563"/>
      <c r="Q24" s="3260"/>
      <c r="R24" s="713"/>
      <c r="S24" s="714"/>
      <c r="T24" s="713"/>
      <c r="U24" s="714"/>
      <c r="V24" s="713"/>
      <c r="W24" s="714"/>
      <c r="X24" s="3257"/>
      <c r="Y24" s="3556"/>
      <c r="Z24" s="3258"/>
      <c r="AA24" s="3261">
        <v>1</v>
      </c>
      <c r="AB24" s="3261">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563"/>
      <c r="Q25" s="3260" t="str">
        <f>B25</f>
        <v>毗邻道路的类型与等级</v>
      </c>
      <c r="R25" s="713" t="s">
        <v>17</v>
      </c>
      <c r="S25" s="714">
        <f>F25</f>
        <v>100</v>
      </c>
      <c r="T25" s="713" t="s">
        <v>17</v>
      </c>
      <c r="U25" s="714">
        <f>H25</f>
        <v>100</v>
      </c>
      <c r="V25" s="713" t="s">
        <v>17</v>
      </c>
      <c r="W25" s="714">
        <f>J25</f>
        <v>100</v>
      </c>
      <c r="X25" s="3257"/>
      <c r="Y25" s="3556"/>
      <c r="Z25" s="3258" t="str">
        <f>Q25</f>
        <v>毗邻道路的类型与等级</v>
      </c>
      <c r="AA25" s="3261">
        <f t="shared" si="3"/>
        <v>1</v>
      </c>
      <c r="AB25" s="3261">
        <f t="shared" si="4"/>
        <v>1</v>
      </c>
      <c r="AC25" s="2098">
        <f t="shared" si="5"/>
        <v>1</v>
      </c>
    </row>
    <row r="26" spans="1:29" ht="15">
      <c r="A26" s="363"/>
      <c r="B26" s="587"/>
      <c r="C26" s="589"/>
      <c r="D26" s="393"/>
      <c r="E26" s="572"/>
      <c r="F26" s="393"/>
      <c r="G26" s="589"/>
      <c r="H26" s="393"/>
      <c r="I26" s="572"/>
      <c r="J26" s="393"/>
      <c r="K26" s="571"/>
      <c r="L26" s="2900"/>
      <c r="M26" s="2894"/>
      <c r="N26" s="2894"/>
      <c r="O26" s="2894"/>
      <c r="P26" s="3563"/>
      <c r="Q26" s="3260"/>
      <c r="R26" s="713"/>
      <c r="S26" s="714"/>
      <c r="T26" s="713"/>
      <c r="U26" s="714"/>
      <c r="V26" s="713"/>
      <c r="W26" s="714"/>
      <c r="X26" s="3257"/>
      <c r="Y26" s="3556"/>
      <c r="Z26" s="3258"/>
      <c r="AA26" s="3261">
        <v>1</v>
      </c>
      <c r="AB26" s="3261">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563"/>
      <c r="Q27" s="3260" t="str">
        <f t="shared" ref="Q27:Q47" si="11">B27</f>
        <v>楼层</v>
      </c>
      <c r="R27" s="713" t="s">
        <v>17</v>
      </c>
      <c r="S27" s="714">
        <f>F27</f>
        <v>100</v>
      </c>
      <c r="T27" s="713" t="s">
        <v>17</v>
      </c>
      <c r="U27" s="714">
        <f>H27</f>
        <v>100</v>
      </c>
      <c r="V27" s="713" t="s">
        <v>17</v>
      </c>
      <c r="W27" s="714">
        <f>J27</f>
        <v>100</v>
      </c>
      <c r="X27" s="3257"/>
      <c r="Y27" s="3556"/>
      <c r="Z27" s="3258" t="str">
        <f>Q27</f>
        <v>楼层</v>
      </c>
      <c r="AA27" s="3261">
        <f t="shared" si="3"/>
        <v>1</v>
      </c>
      <c r="AB27" s="3261">
        <f t="shared" si="4"/>
        <v>1</v>
      </c>
      <c r="AC27" s="2098">
        <f t="shared" si="5"/>
        <v>1</v>
      </c>
    </row>
    <row r="28" spans="1:29" s="113" customFormat="1" ht="15.75" thickBot="1">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563"/>
      <c r="Q28" s="3256" t="str">
        <f t="shared" si="11"/>
        <v>朝向</v>
      </c>
      <c r="R28" s="709" t="s">
        <v>17</v>
      </c>
      <c r="S28" s="710">
        <f>F28</f>
        <v>100</v>
      </c>
      <c r="T28" s="709" t="s">
        <v>17</v>
      </c>
      <c r="U28" s="710">
        <f>H28</f>
        <v>100</v>
      </c>
      <c r="V28" s="709" t="s">
        <v>17</v>
      </c>
      <c r="W28" s="710">
        <f>J28</f>
        <v>100</v>
      </c>
      <c r="X28" s="711"/>
      <c r="Y28" s="3556"/>
      <c r="Z28" s="3255" t="str">
        <f>Q28</f>
        <v>朝向</v>
      </c>
      <c r="AA28" s="3261">
        <f>D28/F28</f>
        <v>1</v>
      </c>
      <c r="AB28" s="3261">
        <f>D28/H28</f>
        <v>1</v>
      </c>
      <c r="AC28" s="2098">
        <f>D28/J28</f>
        <v>1</v>
      </c>
    </row>
    <row r="29" spans="1:29" ht="15.75" hidden="1" thickBot="1">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563"/>
      <c r="Q29" s="3260">
        <f t="shared" si="11"/>
        <v>111</v>
      </c>
      <c r="R29" s="713" t="s">
        <v>17</v>
      </c>
      <c r="S29" s="714">
        <f t="shared" ref="S29:S47" si="12">F29</f>
        <v>100</v>
      </c>
      <c r="T29" s="713" t="s">
        <v>17</v>
      </c>
      <c r="U29" s="714">
        <f t="shared" ref="U29:U47" si="13">H29</f>
        <v>100</v>
      </c>
      <c r="V29" s="713" t="s">
        <v>17</v>
      </c>
      <c r="W29" s="714">
        <f t="shared" ref="W29:W47" si="14">J29</f>
        <v>100</v>
      </c>
      <c r="X29" s="3257"/>
      <c r="Y29" s="3556"/>
      <c r="Z29" s="3258">
        <f t="shared" ref="Z29:Z47" si="15">Q29</f>
        <v>111</v>
      </c>
      <c r="AA29" s="3261">
        <f t="shared" si="3"/>
        <v>1</v>
      </c>
      <c r="AB29" s="3261">
        <f t="shared" si="4"/>
        <v>1</v>
      </c>
      <c r="AC29" s="2098">
        <f t="shared" si="5"/>
        <v>1</v>
      </c>
    </row>
    <row r="30" spans="1:29" ht="15.75" hidden="1" thickBot="1">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563"/>
      <c r="Q30" s="3260">
        <f t="shared" si="11"/>
        <v>111</v>
      </c>
      <c r="R30" s="713" t="s">
        <v>17</v>
      </c>
      <c r="S30" s="714">
        <f t="shared" si="12"/>
        <v>100</v>
      </c>
      <c r="T30" s="713" t="s">
        <v>17</v>
      </c>
      <c r="U30" s="714">
        <f t="shared" si="13"/>
        <v>100</v>
      </c>
      <c r="V30" s="713" t="s">
        <v>17</v>
      </c>
      <c r="W30" s="714">
        <f t="shared" si="14"/>
        <v>100</v>
      </c>
      <c r="X30" s="3257"/>
      <c r="Y30" s="3556"/>
      <c r="Z30" s="3258">
        <f t="shared" si="15"/>
        <v>111</v>
      </c>
      <c r="AA30" s="3261">
        <f t="shared" si="3"/>
        <v>1</v>
      </c>
      <c r="AB30" s="3261">
        <f t="shared" si="4"/>
        <v>1</v>
      </c>
      <c r="AC30" s="2098">
        <f t="shared" si="5"/>
        <v>1</v>
      </c>
    </row>
    <row r="31" spans="1:29" ht="15.75" hidden="1" thickBot="1">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563"/>
      <c r="Q31" s="3260">
        <f t="shared" si="11"/>
        <v>111</v>
      </c>
      <c r="R31" s="713" t="s">
        <v>17</v>
      </c>
      <c r="S31" s="714">
        <f t="shared" si="12"/>
        <v>100</v>
      </c>
      <c r="T31" s="713" t="s">
        <v>17</v>
      </c>
      <c r="U31" s="714">
        <f t="shared" si="13"/>
        <v>100</v>
      </c>
      <c r="V31" s="713" t="s">
        <v>17</v>
      </c>
      <c r="W31" s="714">
        <f t="shared" si="14"/>
        <v>100</v>
      </c>
      <c r="X31" s="3257"/>
      <c r="Y31" s="3556"/>
      <c r="Z31" s="3258">
        <f t="shared" si="15"/>
        <v>111</v>
      </c>
      <c r="AA31" s="3261">
        <f t="shared" si="3"/>
        <v>1</v>
      </c>
      <c r="AB31" s="3261">
        <f t="shared" si="4"/>
        <v>1</v>
      </c>
      <c r="AC31" s="2098">
        <f t="shared" si="5"/>
        <v>1</v>
      </c>
    </row>
    <row r="32" spans="1:29" ht="15.75" hidden="1"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563"/>
      <c r="Q32" s="3260">
        <f t="shared" si="11"/>
        <v>111</v>
      </c>
      <c r="R32" s="713" t="s">
        <v>17</v>
      </c>
      <c r="S32" s="714">
        <f t="shared" si="12"/>
        <v>100</v>
      </c>
      <c r="T32" s="713" t="s">
        <v>17</v>
      </c>
      <c r="U32" s="714">
        <f t="shared" si="13"/>
        <v>100</v>
      </c>
      <c r="V32" s="713" t="s">
        <v>17</v>
      </c>
      <c r="W32" s="714">
        <f t="shared" si="14"/>
        <v>100</v>
      </c>
      <c r="X32" s="3257"/>
      <c r="Y32" s="3556"/>
      <c r="Z32" s="3258">
        <f t="shared" si="15"/>
        <v>111</v>
      </c>
      <c r="AA32" s="3261">
        <f t="shared" si="3"/>
        <v>1</v>
      </c>
      <c r="AB32" s="3261">
        <f t="shared" si="4"/>
        <v>1</v>
      </c>
      <c r="AC32" s="2098">
        <f t="shared" si="5"/>
        <v>1</v>
      </c>
    </row>
    <row r="33" spans="1:29" ht="15">
      <c r="A33" s="398" t="s">
        <v>2143</v>
      </c>
      <c r="B33" s="67" t="s">
        <v>2273</v>
      </c>
      <c r="C33" s="2103" t="s">
        <v>3258</v>
      </c>
      <c r="D33" s="425">
        <v>100</v>
      </c>
      <c r="E33" s="2103" t="s">
        <v>3258</v>
      </c>
      <c r="F33" s="419">
        <f>SUMIF(101:101,E33,102:102)-SUMIF(101:101,C33,102:102)+100</f>
        <v>100</v>
      </c>
      <c r="G33" s="2103" t="s">
        <v>3258</v>
      </c>
      <c r="H33" s="393">
        <f>SUMIF(101:101,G33,102:102)-SUMIF(101:101,C33,102:102)+100</f>
        <v>100</v>
      </c>
      <c r="I33" s="2103" t="s">
        <v>3258</v>
      </c>
      <c r="J33" s="425">
        <f>SUMIF(101:101,I33,102:102)-SUMIF(101:101,C33,102:102)+100</f>
        <v>100</v>
      </c>
      <c r="K33" s="568"/>
      <c r="L33" s="2900"/>
      <c r="M33" s="2894"/>
      <c r="N33" s="2894"/>
      <c r="O33" s="2894"/>
      <c r="P33" s="3557" t="s">
        <v>2145</v>
      </c>
      <c r="Q33" s="3260" t="str">
        <f t="shared" si="11"/>
        <v>建筑类型</v>
      </c>
      <c r="R33" s="713" t="s">
        <v>17</v>
      </c>
      <c r="S33" s="714">
        <f t="shared" si="12"/>
        <v>100</v>
      </c>
      <c r="T33" s="713" t="s">
        <v>17</v>
      </c>
      <c r="U33" s="714">
        <f t="shared" si="13"/>
        <v>100</v>
      </c>
      <c r="V33" s="713" t="s">
        <v>17</v>
      </c>
      <c r="W33" s="714">
        <f t="shared" si="14"/>
        <v>100</v>
      </c>
      <c r="X33" s="3257"/>
      <c r="Y33" s="3560" t="s">
        <v>2145</v>
      </c>
      <c r="Z33" s="3258" t="str">
        <f t="shared" si="15"/>
        <v>建筑类型</v>
      </c>
      <c r="AA33" s="3261">
        <f t="shared" si="3"/>
        <v>1</v>
      </c>
      <c r="AB33" s="3261">
        <f t="shared" si="4"/>
        <v>1</v>
      </c>
      <c r="AC33" s="2098">
        <f t="shared" si="5"/>
        <v>1</v>
      </c>
    </row>
    <row r="34" spans="1:29" s="429" customFormat="1" ht="15">
      <c r="A34" s="426"/>
      <c r="B34" s="380" t="s">
        <v>2146</v>
      </c>
      <c r="C34" s="427">
        <f>'数据-汇总表'!F19</f>
        <v>6192.7899999999991</v>
      </c>
      <c r="D34" s="131">
        <v>100</v>
      </c>
      <c r="E34" s="3328">
        <f>Sheet2!G9</f>
        <v>52838</v>
      </c>
      <c r="F34" s="383">
        <f>LOOKUP(E34,104:104,105:105)-LOOKUP(C34,104:104,105:105)+100</f>
        <v>97</v>
      </c>
      <c r="G34" s="3329">
        <f>Sheet2!G13</f>
        <v>6938</v>
      </c>
      <c r="H34" s="131">
        <f>LOOKUP(G34,104:104,105:105)-LOOKUP(C34,104:104,105:105)+100</f>
        <v>100</v>
      </c>
      <c r="I34" s="3329">
        <f>Sheet2!G31</f>
        <v>27765</v>
      </c>
      <c r="J34" s="131">
        <f>LOOKUP(I34,104:104,105:105)-LOOKUP(C34,104:104,105:105)+100</f>
        <v>98</v>
      </c>
      <c r="K34" s="569"/>
      <c r="L34" s="2899"/>
      <c r="M34" s="2901"/>
      <c r="N34" s="2901"/>
      <c r="O34" s="2901"/>
      <c r="P34" s="3558"/>
      <c r="Q34" s="715" t="str">
        <f t="shared" si="11"/>
        <v>项目建筑规模</v>
      </c>
      <c r="R34" s="716" t="s">
        <v>17</v>
      </c>
      <c r="S34" s="717">
        <f t="shared" si="12"/>
        <v>97</v>
      </c>
      <c r="T34" s="716" t="s">
        <v>17</v>
      </c>
      <c r="U34" s="717">
        <f t="shared" si="13"/>
        <v>100</v>
      </c>
      <c r="V34" s="716" t="s">
        <v>17</v>
      </c>
      <c r="W34" s="717">
        <f t="shared" si="14"/>
        <v>98</v>
      </c>
      <c r="X34" s="718"/>
      <c r="Y34" s="3560"/>
      <c r="Z34" s="719" t="str">
        <f t="shared" si="15"/>
        <v>项目建筑规模</v>
      </c>
      <c r="AA34" s="3261">
        <f t="shared" si="3"/>
        <v>1.0309278350515463</v>
      </c>
      <c r="AB34" s="3261">
        <f t="shared" si="4"/>
        <v>1</v>
      </c>
      <c r="AC34" s="2098">
        <f t="shared" si="5"/>
        <v>1.0204081632653061</v>
      </c>
    </row>
    <row r="35" spans="1:29" ht="15">
      <c r="A35" s="430"/>
      <c r="B35" s="380" t="s">
        <v>2147</v>
      </c>
      <c r="C35" s="418" t="s">
        <v>3205</v>
      </c>
      <c r="D35" s="393">
        <v>100</v>
      </c>
      <c r="E35" s="418" t="s">
        <v>3205</v>
      </c>
      <c r="F35" s="419">
        <f>SUMIF(106:106,E35,107:107)-SUMIF(106:106,C35,107:107)+100</f>
        <v>100</v>
      </c>
      <c r="G35" s="418" t="s">
        <v>3205</v>
      </c>
      <c r="H35" s="393">
        <f>SUMIF(106:106,G35,107:107)-SUMIF(106:106,C35,107:107)+100</f>
        <v>100</v>
      </c>
      <c r="I35" s="418" t="s">
        <v>3205</v>
      </c>
      <c r="J35" s="393">
        <f>SUMIF(106:106,I35,107:107)-SUMIF(106:106,C35,107:107)+100</f>
        <v>100</v>
      </c>
      <c r="K35" s="568"/>
      <c r="L35" s="2900"/>
      <c r="M35" s="2894"/>
      <c r="N35" s="2894"/>
      <c r="O35" s="2894"/>
      <c r="P35" s="3558"/>
      <c r="Q35" s="3260" t="str">
        <f t="shared" si="11"/>
        <v>建筑结构</v>
      </c>
      <c r="R35" s="713" t="s">
        <v>17</v>
      </c>
      <c r="S35" s="714">
        <f t="shared" si="12"/>
        <v>100</v>
      </c>
      <c r="T35" s="713" t="s">
        <v>17</v>
      </c>
      <c r="U35" s="714">
        <f t="shared" si="13"/>
        <v>100</v>
      </c>
      <c r="V35" s="713" t="s">
        <v>17</v>
      </c>
      <c r="W35" s="714">
        <f t="shared" si="14"/>
        <v>100</v>
      </c>
      <c r="X35" s="3257"/>
      <c r="Y35" s="3560"/>
      <c r="Z35" s="3258" t="str">
        <f t="shared" si="15"/>
        <v>建筑结构</v>
      </c>
      <c r="AA35" s="3261">
        <f t="shared" si="3"/>
        <v>1</v>
      </c>
      <c r="AB35" s="3261">
        <f t="shared" si="4"/>
        <v>1</v>
      </c>
      <c r="AC35" s="2098">
        <f t="shared" si="5"/>
        <v>1</v>
      </c>
    </row>
    <row r="36" spans="1:29" ht="15">
      <c r="A36" s="430"/>
      <c r="B36" s="380" t="s">
        <v>2241</v>
      </c>
      <c r="C36" s="418" t="s">
        <v>3261</v>
      </c>
      <c r="D36" s="393">
        <v>100</v>
      </c>
      <c r="E36" s="418" t="s">
        <v>3261</v>
      </c>
      <c r="F36" s="419">
        <f>SUMIF(108:108,E36,109:109)-SUMIF(108:108,C36,109:109)+100</f>
        <v>100</v>
      </c>
      <c r="G36" s="418" t="s">
        <v>3261</v>
      </c>
      <c r="H36" s="393">
        <f>SUMIF(108:108,G36,109:109)-SUMIF(108:108,C36,109:109)+100</f>
        <v>100</v>
      </c>
      <c r="I36" s="418" t="s">
        <v>3261</v>
      </c>
      <c r="J36" s="393">
        <f>SUMIF(108:108,I36,109:109)-SUMIF(108:108,C36,109:109)+100</f>
        <v>100</v>
      </c>
      <c r="K36" s="568"/>
      <c r="L36" s="2900"/>
      <c r="M36" s="2894"/>
      <c r="N36" s="2894"/>
      <c r="O36" s="2894"/>
      <c r="P36" s="3558"/>
      <c r="Q36" s="3260" t="str">
        <f t="shared" si="11"/>
        <v>公共部分装修</v>
      </c>
      <c r="R36" s="713" t="s">
        <v>17</v>
      </c>
      <c r="S36" s="714">
        <f t="shared" si="12"/>
        <v>100</v>
      </c>
      <c r="T36" s="713" t="s">
        <v>17</v>
      </c>
      <c r="U36" s="714">
        <f t="shared" si="13"/>
        <v>100</v>
      </c>
      <c r="V36" s="713" t="s">
        <v>17</v>
      </c>
      <c r="W36" s="714">
        <f t="shared" si="14"/>
        <v>100</v>
      </c>
      <c r="X36" s="3257"/>
      <c r="Y36" s="3560"/>
      <c r="Z36" s="3258" t="str">
        <f t="shared" si="15"/>
        <v>公共部分装修</v>
      </c>
      <c r="AA36" s="3261">
        <f t="shared" si="3"/>
        <v>1</v>
      </c>
      <c r="AB36" s="3261">
        <f t="shared" si="4"/>
        <v>1</v>
      </c>
      <c r="AC36" s="2098">
        <f t="shared" si="5"/>
        <v>1</v>
      </c>
    </row>
    <row r="37" spans="1:29" ht="15">
      <c r="A37" s="430"/>
      <c r="B37" s="380" t="s">
        <v>2242</v>
      </c>
      <c r="C37" s="432">
        <f>'数据-取费表'!Y6</f>
        <v>0.72500000000000009</v>
      </c>
      <c r="D37" s="393">
        <v>100</v>
      </c>
      <c r="E37" s="432">
        <f>1-(2022-E47)/60</f>
        <v>0.8666666666666667</v>
      </c>
      <c r="F37" s="419">
        <f>LOOKUP(E37,111:111,112:112)-LOOKUP(C37,111:111,112:112)+100</f>
        <v>103</v>
      </c>
      <c r="G37" s="432">
        <f>C37</f>
        <v>0.72500000000000009</v>
      </c>
      <c r="H37" s="419">
        <f>LOOKUP(G37,111:111,112:112)-LOOKUP(C37,111:111,112:112)+100</f>
        <v>100</v>
      </c>
      <c r="I37" s="432">
        <f>1-(2022-I47)/60</f>
        <v>0.73333333333333339</v>
      </c>
      <c r="J37" s="393">
        <f>LOOKUP(I37,111:111,112:112)-LOOKUP(C37,111:111,112:112)+100</f>
        <v>100</v>
      </c>
      <c r="K37" s="568">
        <v>3</v>
      </c>
      <c r="L37" s="2900"/>
      <c r="M37" s="2894"/>
      <c r="N37" s="2894"/>
      <c r="O37" s="2894"/>
      <c r="P37" s="3558"/>
      <c r="Q37" s="3260" t="str">
        <f t="shared" si="11"/>
        <v>成新度</v>
      </c>
      <c r="R37" s="713" t="s">
        <v>17</v>
      </c>
      <c r="S37" s="714">
        <f t="shared" si="12"/>
        <v>103</v>
      </c>
      <c r="T37" s="713" t="s">
        <v>17</v>
      </c>
      <c r="U37" s="714">
        <f t="shared" si="13"/>
        <v>100</v>
      </c>
      <c r="V37" s="713" t="s">
        <v>17</v>
      </c>
      <c r="W37" s="714">
        <f t="shared" si="14"/>
        <v>100</v>
      </c>
      <c r="X37" s="3257"/>
      <c r="Y37" s="3560"/>
      <c r="Z37" s="3258" t="str">
        <f t="shared" si="15"/>
        <v>成新度</v>
      </c>
      <c r="AA37" s="3261">
        <f t="shared" si="3"/>
        <v>0.970873786407767</v>
      </c>
      <c r="AB37" s="3261">
        <f t="shared" si="4"/>
        <v>1</v>
      </c>
      <c r="AC37" s="2098">
        <f t="shared" si="5"/>
        <v>1</v>
      </c>
    </row>
    <row r="38" spans="1:29" s="113" customFormat="1" ht="15">
      <c r="A38" s="431"/>
      <c r="B38" s="380" t="s">
        <v>2274</v>
      </c>
      <c r="C38" s="418" t="s">
        <v>3419</v>
      </c>
      <c r="D38" s="131">
        <v>100</v>
      </c>
      <c r="E38" s="418" t="s">
        <v>3421</v>
      </c>
      <c r="F38" s="419">
        <f>SUMIF(113:113,E38,114:114)-SUMIF(113:113,C38,114:114)+100</f>
        <v>103</v>
      </c>
      <c r="G38" s="418" t="s">
        <v>3419</v>
      </c>
      <c r="H38" s="393">
        <f>SUMIF(113:113,G38,114:114)-SUMIF(113:113,C38,114:114)+100</f>
        <v>100</v>
      </c>
      <c r="I38" s="418" t="s">
        <v>3421</v>
      </c>
      <c r="J38" s="393">
        <f>SUMIF(113:113,I38,114:114)-SUMIF(113:113,C38,114:114)+100</f>
        <v>103</v>
      </c>
      <c r="K38" s="568">
        <v>3</v>
      </c>
      <c r="L38" s="2895"/>
      <c r="M38" s="2896"/>
      <c r="N38" s="2896"/>
      <c r="O38" s="2896"/>
      <c r="P38" s="3558"/>
      <c r="Q38" s="3256" t="str">
        <f t="shared" si="11"/>
        <v>写字楼等级</v>
      </c>
      <c r="R38" s="709" t="s">
        <v>17</v>
      </c>
      <c r="S38" s="710">
        <f t="shared" si="12"/>
        <v>103</v>
      </c>
      <c r="T38" s="709" t="s">
        <v>17</v>
      </c>
      <c r="U38" s="710">
        <f t="shared" si="13"/>
        <v>100</v>
      </c>
      <c r="V38" s="709" t="s">
        <v>17</v>
      </c>
      <c r="W38" s="710">
        <f t="shared" si="14"/>
        <v>103</v>
      </c>
      <c r="X38" s="711"/>
      <c r="Y38" s="3560"/>
      <c r="Z38" s="3255" t="str">
        <f t="shared" si="15"/>
        <v>写字楼等级</v>
      </c>
      <c r="AA38" s="712">
        <f t="shared" si="3"/>
        <v>0.970873786407767</v>
      </c>
      <c r="AB38" s="712">
        <f t="shared" si="4"/>
        <v>1</v>
      </c>
      <c r="AC38" s="2095">
        <f t="shared" si="5"/>
        <v>0.970873786407767</v>
      </c>
    </row>
    <row r="39" spans="1:29" ht="15">
      <c r="A39" s="430"/>
      <c r="B39" s="380" t="s">
        <v>2275</v>
      </c>
      <c r="C39" s="418" t="s">
        <v>3265</v>
      </c>
      <c r="D39" s="393">
        <v>100</v>
      </c>
      <c r="E39" s="418" t="s">
        <v>3263</v>
      </c>
      <c r="F39" s="419">
        <f>SUMIF(115:115,E39,116:116)-SUMIF(115:115,C39,116:116)+100</f>
        <v>102</v>
      </c>
      <c r="G39" s="418" t="s">
        <v>3263</v>
      </c>
      <c r="H39" s="393">
        <f>SUMIF(115:115,G39,116:116)-SUMIF(115:115,C39,116:116)+100</f>
        <v>102</v>
      </c>
      <c r="I39" s="418" t="s">
        <v>3263</v>
      </c>
      <c r="J39" s="393">
        <f>SUMIF(115:115,I39,116:116)-SUMIF(115:115,C39,116:116)+100</f>
        <v>102</v>
      </c>
      <c r="K39" s="568">
        <v>2</v>
      </c>
      <c r="L39" s="2900"/>
      <c r="M39" s="2894"/>
      <c r="N39" s="2894"/>
      <c r="O39" s="2894"/>
      <c r="P39" s="3558" t="s">
        <v>2145</v>
      </c>
      <c r="Q39" s="3260" t="str">
        <f t="shared" si="11"/>
        <v>物业管理</v>
      </c>
      <c r="R39" s="713" t="s">
        <v>17</v>
      </c>
      <c r="S39" s="714">
        <f t="shared" si="12"/>
        <v>102</v>
      </c>
      <c r="T39" s="713" t="s">
        <v>17</v>
      </c>
      <c r="U39" s="714">
        <f t="shared" si="13"/>
        <v>102</v>
      </c>
      <c r="V39" s="713" t="s">
        <v>17</v>
      </c>
      <c r="W39" s="714">
        <f t="shared" si="14"/>
        <v>102</v>
      </c>
      <c r="X39" s="3257"/>
      <c r="Y39" s="3560" t="s">
        <v>2145</v>
      </c>
      <c r="Z39" s="3258" t="str">
        <f t="shared" si="15"/>
        <v>物业管理</v>
      </c>
      <c r="AA39" s="3261">
        <f t="shared" si="3"/>
        <v>0.98039215686274506</v>
      </c>
      <c r="AB39" s="3261">
        <f t="shared" si="4"/>
        <v>0.98039215686274506</v>
      </c>
      <c r="AC39" s="2098">
        <f t="shared" si="5"/>
        <v>0.98039215686274506</v>
      </c>
    </row>
    <row r="40" spans="1:29" ht="15">
      <c r="A40" s="430"/>
      <c r="B40" s="380" t="s">
        <v>2243</v>
      </c>
      <c r="C40" s="418" t="s">
        <v>3269</v>
      </c>
      <c r="D40" s="393">
        <v>100</v>
      </c>
      <c r="E40" s="418" t="s">
        <v>3269</v>
      </c>
      <c r="F40" s="419">
        <f>SUMIF(117:117,E40,118:118)-SUMIF(117:117,C40,118:118)+100</f>
        <v>100</v>
      </c>
      <c r="G40" s="418" t="s">
        <v>3269</v>
      </c>
      <c r="H40" s="393">
        <f>SUMIF(117:117,G40,118:118)-SUMIF(117:117,C40,118:118)+100</f>
        <v>100</v>
      </c>
      <c r="I40" s="418" t="s">
        <v>3269</v>
      </c>
      <c r="J40" s="393">
        <f>SUMIF(117:117,I40,118:118)-SUMIF(117:117,C40,118:118)+100</f>
        <v>100</v>
      </c>
      <c r="K40" s="568"/>
      <c r="L40" s="2900"/>
      <c r="M40" s="2894"/>
      <c r="N40" s="2894"/>
      <c r="O40" s="2894"/>
      <c r="P40" s="3558"/>
      <c r="Q40" s="3260" t="str">
        <f t="shared" si="11"/>
        <v>市政基础设施</v>
      </c>
      <c r="R40" s="713" t="s">
        <v>17</v>
      </c>
      <c r="S40" s="714">
        <f t="shared" si="12"/>
        <v>100</v>
      </c>
      <c r="T40" s="713" t="s">
        <v>17</v>
      </c>
      <c r="U40" s="714">
        <f t="shared" si="13"/>
        <v>100</v>
      </c>
      <c r="V40" s="713" t="s">
        <v>17</v>
      </c>
      <c r="W40" s="714">
        <f t="shared" si="14"/>
        <v>100</v>
      </c>
      <c r="X40" s="3257"/>
      <c r="Y40" s="3560"/>
      <c r="Z40" s="3258" t="str">
        <f t="shared" si="15"/>
        <v>市政基础设施</v>
      </c>
      <c r="AA40" s="3261">
        <f t="shared" si="3"/>
        <v>1</v>
      </c>
      <c r="AB40" s="3261">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558"/>
      <c r="Q41" s="3260" t="str">
        <f t="shared" si="11"/>
        <v>层高</v>
      </c>
      <c r="R41" s="713" t="s">
        <v>17</v>
      </c>
      <c r="S41" s="714">
        <f t="shared" si="12"/>
        <v>100</v>
      </c>
      <c r="T41" s="713" t="s">
        <v>17</v>
      </c>
      <c r="U41" s="714">
        <f t="shared" si="13"/>
        <v>100</v>
      </c>
      <c r="V41" s="713" t="s">
        <v>17</v>
      </c>
      <c r="W41" s="714">
        <f t="shared" si="14"/>
        <v>100</v>
      </c>
      <c r="X41" s="3257"/>
      <c r="Y41" s="3560"/>
      <c r="Z41" s="3258" t="str">
        <f t="shared" si="15"/>
        <v>层高</v>
      </c>
      <c r="AA41" s="3261">
        <f t="shared" si="3"/>
        <v>1</v>
      </c>
      <c r="AB41" s="3261">
        <f t="shared" si="4"/>
        <v>1</v>
      </c>
      <c r="AC41" s="2098">
        <f t="shared" si="5"/>
        <v>1</v>
      </c>
    </row>
    <row r="42" spans="1:29" s="429" customFormat="1" ht="15" hidden="1">
      <c r="A42" s="426"/>
      <c r="B42" s="3259"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558"/>
      <c r="Q42" s="715" t="str">
        <f t="shared" si="11"/>
        <v>单套建筑面积</v>
      </c>
      <c r="R42" s="716" t="s">
        <v>17</v>
      </c>
      <c r="S42" s="717">
        <f t="shared" si="12"/>
        <v>100</v>
      </c>
      <c r="T42" s="716" t="s">
        <v>17</v>
      </c>
      <c r="U42" s="717">
        <f t="shared" si="13"/>
        <v>100</v>
      </c>
      <c r="V42" s="716" t="s">
        <v>17</v>
      </c>
      <c r="W42" s="717">
        <f t="shared" si="14"/>
        <v>100</v>
      </c>
      <c r="X42" s="718"/>
      <c r="Y42" s="3560"/>
      <c r="Z42" s="719" t="str">
        <f t="shared" si="15"/>
        <v>单套建筑面积</v>
      </c>
      <c r="AA42" s="3261">
        <f t="shared" si="3"/>
        <v>1</v>
      </c>
      <c r="AB42" s="3261">
        <f t="shared" si="4"/>
        <v>1</v>
      </c>
      <c r="AC42" s="2098">
        <f t="shared" si="5"/>
        <v>1</v>
      </c>
    </row>
    <row r="43" spans="1:29" ht="15">
      <c r="A43" s="430"/>
      <c r="B43" s="380" t="s">
        <v>2248</v>
      </c>
      <c r="C43" s="418" t="s">
        <v>3280</v>
      </c>
      <c r="D43" s="393">
        <v>100</v>
      </c>
      <c r="E43" s="418" t="s">
        <v>3255</v>
      </c>
      <c r="F43" s="419">
        <f>SUMIF(123:123,E43,124:124)-SUMIF(123:123,C43,124:124)+100</f>
        <v>105</v>
      </c>
      <c r="G43" s="418" t="s">
        <v>3255</v>
      </c>
      <c r="H43" s="393">
        <f>SUMIF(123:123,G43,124:124)-SUMIF(123:123,C43,124:124)+100</f>
        <v>105</v>
      </c>
      <c r="I43" s="418" t="s">
        <v>3255</v>
      </c>
      <c r="J43" s="393">
        <f>SUMIF(123:123,I43,124:124)-SUMIF(123:123,C43,124:124)+100</f>
        <v>105</v>
      </c>
      <c r="K43" s="568">
        <v>5</v>
      </c>
      <c r="L43" s="2900"/>
      <c r="M43" s="2894"/>
      <c r="N43" s="2894"/>
      <c r="O43" s="2894"/>
      <c r="P43" s="3558"/>
      <c r="Q43" s="3260" t="str">
        <f t="shared" si="11"/>
        <v>内部装修</v>
      </c>
      <c r="R43" s="713" t="s">
        <v>17</v>
      </c>
      <c r="S43" s="714">
        <f t="shared" si="12"/>
        <v>105</v>
      </c>
      <c r="T43" s="713" t="s">
        <v>17</v>
      </c>
      <c r="U43" s="714">
        <f t="shared" si="13"/>
        <v>105</v>
      </c>
      <c r="V43" s="713" t="s">
        <v>17</v>
      </c>
      <c r="W43" s="714">
        <f t="shared" si="14"/>
        <v>105</v>
      </c>
      <c r="X43" s="3257"/>
      <c r="Y43" s="3560"/>
      <c r="Z43" s="3258" t="str">
        <f t="shared" si="15"/>
        <v>内部装修</v>
      </c>
      <c r="AA43" s="3261">
        <f t="shared" si="3"/>
        <v>0.95238095238095233</v>
      </c>
      <c r="AB43" s="3261">
        <f t="shared" si="4"/>
        <v>0.95238095238095233</v>
      </c>
      <c r="AC43" s="2098">
        <f t="shared" si="5"/>
        <v>0.95238095238095233</v>
      </c>
    </row>
    <row r="44" spans="1:29" ht="15">
      <c r="A44" s="430"/>
      <c r="B44" s="380" t="s">
        <v>2156</v>
      </c>
      <c r="C44" s="418" t="s">
        <v>3249</v>
      </c>
      <c r="D44" s="393">
        <v>100</v>
      </c>
      <c r="E44" s="2042" t="s">
        <v>3249</v>
      </c>
      <c r="F44" s="419">
        <f>SUMIF(125:125,E44,126:126)-SUMIF(125:125,C44,126:126)+100</f>
        <v>100</v>
      </c>
      <c r="G44" s="2042" t="s">
        <v>3249</v>
      </c>
      <c r="H44" s="393">
        <f>SUMIF(125:125,G44,126:126)-SUMIF(125:125,C44,126:126)+100</f>
        <v>100</v>
      </c>
      <c r="I44" s="2042" t="s">
        <v>3249</v>
      </c>
      <c r="J44" s="393">
        <f>SUMIF(125:125,I44,126:126)-SUMIF(125:125,C44,126:126)+100</f>
        <v>100</v>
      </c>
      <c r="K44" s="568">
        <v>1</v>
      </c>
      <c r="L44" s="2900"/>
      <c r="M44" s="2894"/>
      <c r="N44" s="2894"/>
      <c r="O44" s="2894"/>
      <c r="P44" s="3558"/>
      <c r="Q44" s="3260" t="str">
        <f t="shared" si="11"/>
        <v>内部装修维护情况</v>
      </c>
      <c r="R44" s="713" t="s">
        <v>17</v>
      </c>
      <c r="S44" s="714">
        <f t="shared" si="12"/>
        <v>100</v>
      </c>
      <c r="T44" s="713" t="s">
        <v>17</v>
      </c>
      <c r="U44" s="714">
        <f t="shared" si="13"/>
        <v>100</v>
      </c>
      <c r="V44" s="713" t="s">
        <v>17</v>
      </c>
      <c r="W44" s="714">
        <f t="shared" si="14"/>
        <v>100</v>
      </c>
      <c r="X44" s="3257"/>
      <c r="Y44" s="3560"/>
      <c r="Z44" s="3258" t="str">
        <f t="shared" si="15"/>
        <v>内部装修维护情况</v>
      </c>
      <c r="AA44" s="3261">
        <f t="shared" si="3"/>
        <v>1</v>
      </c>
      <c r="AB44" s="3261">
        <f t="shared" si="4"/>
        <v>1</v>
      </c>
      <c r="AC44" s="2098">
        <f t="shared" si="5"/>
        <v>1</v>
      </c>
    </row>
    <row r="45" spans="1:29" s="113" customFormat="1" ht="15">
      <c r="A45" s="431"/>
      <c r="B45" s="3264" t="s">
        <v>3253</v>
      </c>
      <c r="C45" s="3266" t="s">
        <v>3257</v>
      </c>
      <c r="D45" s="131">
        <v>100</v>
      </c>
      <c r="E45" s="3265" t="s">
        <v>3254</v>
      </c>
      <c r="F45" s="383">
        <f>SUMIF(127:127,E45,128:128)-SUMIF(127:127,C45,128:128)+100</f>
        <v>105</v>
      </c>
      <c r="G45" s="3265" t="s">
        <v>3254</v>
      </c>
      <c r="H45" s="131">
        <f>SUMIF(127:127,G45,128:128)-SUMIF(127:127,C45,128:128)+100</f>
        <v>105</v>
      </c>
      <c r="I45" s="3265" t="s">
        <v>3254</v>
      </c>
      <c r="J45" s="131">
        <f>SUMIF(127:127,I45,128:128)-SUMIF(127:127,C45,128:128)+100</f>
        <v>105</v>
      </c>
      <c r="K45" s="569"/>
      <c r="L45" s="2895"/>
      <c r="M45" s="2896"/>
      <c r="N45" s="2896"/>
      <c r="O45" s="2896"/>
      <c r="P45" s="3558"/>
      <c r="Q45" s="3256" t="str">
        <f t="shared" si="11"/>
        <v>设施设备</v>
      </c>
      <c r="R45" s="709" t="s">
        <v>17</v>
      </c>
      <c r="S45" s="710">
        <f t="shared" si="12"/>
        <v>105</v>
      </c>
      <c r="T45" s="709" t="s">
        <v>17</v>
      </c>
      <c r="U45" s="710">
        <f t="shared" si="13"/>
        <v>105</v>
      </c>
      <c r="V45" s="709" t="s">
        <v>17</v>
      </c>
      <c r="W45" s="710">
        <f t="shared" si="14"/>
        <v>105</v>
      </c>
      <c r="X45" s="711"/>
      <c r="Y45" s="3560"/>
      <c r="Z45" s="3255" t="str">
        <f t="shared" si="15"/>
        <v>设施设备</v>
      </c>
      <c r="AA45" s="712">
        <f t="shared" si="3"/>
        <v>0.95238095238095233</v>
      </c>
      <c r="AB45" s="712">
        <f t="shared" si="4"/>
        <v>0.95238095238095233</v>
      </c>
      <c r="AC45" s="2095">
        <f t="shared" si="5"/>
        <v>0.95238095238095233</v>
      </c>
    </row>
    <row r="46" spans="1:29" ht="15">
      <c r="A46" s="430"/>
      <c r="B46" s="1247">
        <v>111</v>
      </c>
      <c r="C46" s="3266"/>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558"/>
      <c r="Q46" s="3260">
        <f t="shared" si="11"/>
        <v>111</v>
      </c>
      <c r="R46" s="713" t="s">
        <v>17</v>
      </c>
      <c r="S46" s="714">
        <f t="shared" si="12"/>
        <v>100</v>
      </c>
      <c r="T46" s="713" t="s">
        <v>17</v>
      </c>
      <c r="U46" s="714">
        <f t="shared" si="13"/>
        <v>100</v>
      </c>
      <c r="V46" s="713" t="s">
        <v>17</v>
      </c>
      <c r="W46" s="714">
        <f t="shared" si="14"/>
        <v>100</v>
      </c>
      <c r="X46" s="3257"/>
      <c r="Y46" s="3560"/>
      <c r="Z46" s="3258">
        <f t="shared" si="15"/>
        <v>111</v>
      </c>
      <c r="AA46" s="3261">
        <f t="shared" si="3"/>
        <v>1</v>
      </c>
      <c r="AB46" s="3261">
        <f t="shared" si="4"/>
        <v>1</v>
      </c>
      <c r="AC46" s="2098">
        <f t="shared" si="5"/>
        <v>1</v>
      </c>
    </row>
    <row r="47" spans="1:29" ht="15.75" thickBot="1">
      <c r="A47" s="436"/>
      <c r="B47" s="2031">
        <v>111</v>
      </c>
      <c r="C47" s="395">
        <v>2001</v>
      </c>
      <c r="D47" s="396">
        <v>100</v>
      </c>
      <c r="E47" s="390">
        <v>2014</v>
      </c>
      <c r="F47" s="397">
        <f>SUMIF(131:131,E47,132:132)-SUMIF(131:131,C47,132:132)+100</f>
        <v>100</v>
      </c>
      <c r="G47" s="390"/>
      <c r="H47" s="396">
        <f>SUMIF(131:131,G47,132:132)-SUMIF(131:131,C47,132:132)+100</f>
        <v>100</v>
      </c>
      <c r="I47" s="390">
        <v>2006</v>
      </c>
      <c r="J47" s="396">
        <f>SUMIF(131:131,I47,132:132)-SUMIF(131:131,C47,132:132)+100</f>
        <v>100</v>
      </c>
      <c r="K47" s="569"/>
      <c r="L47" s="2900"/>
      <c r="M47" s="2894"/>
      <c r="N47" s="2894"/>
      <c r="O47" s="2894"/>
      <c r="P47" s="3559"/>
      <c r="Q47" s="3260">
        <f t="shared" si="11"/>
        <v>111</v>
      </c>
      <c r="R47" s="713" t="s">
        <v>17</v>
      </c>
      <c r="S47" s="714">
        <f t="shared" si="12"/>
        <v>100</v>
      </c>
      <c r="T47" s="713" t="s">
        <v>17</v>
      </c>
      <c r="U47" s="714">
        <f t="shared" si="13"/>
        <v>100</v>
      </c>
      <c r="V47" s="713" t="s">
        <v>17</v>
      </c>
      <c r="W47" s="714">
        <f t="shared" si="14"/>
        <v>100</v>
      </c>
      <c r="X47" s="3257"/>
      <c r="Y47" s="3561"/>
      <c r="Z47" s="3258">
        <f t="shared" si="15"/>
        <v>111</v>
      </c>
      <c r="AA47" s="3261">
        <f t="shared" si="3"/>
        <v>1</v>
      </c>
      <c r="AB47" s="3261">
        <f t="shared" si="4"/>
        <v>1</v>
      </c>
      <c r="AC47" s="2098">
        <f t="shared" si="5"/>
        <v>1</v>
      </c>
    </row>
    <row r="48" spans="1:29" ht="15">
      <c r="A48" s="437" t="s">
        <v>2157</v>
      </c>
      <c r="B48" s="438"/>
      <c r="C48" s="1268" t="s">
        <v>1</v>
      </c>
      <c r="D48" s="1269"/>
      <c r="E48" s="3330">
        <f>Sheet2!H9</f>
        <v>56777</v>
      </c>
      <c r="F48" s="1271"/>
      <c r="G48" s="3331">
        <f>Sheet2!H13</f>
        <v>52757</v>
      </c>
      <c r="H48" s="1273"/>
      <c r="I48" s="3330">
        <f>Sheet2!H31</f>
        <v>56726</v>
      </c>
      <c r="J48" s="443"/>
      <c r="K48" s="722"/>
      <c r="L48" s="2902"/>
      <c r="M48" s="2894"/>
      <c r="N48" s="2894"/>
      <c r="O48" s="2894"/>
      <c r="P48" s="3564" t="str">
        <f>A48</f>
        <v>成交单价（元/平方米）</v>
      </c>
      <c r="Q48" s="3553"/>
      <c r="R48" s="3554">
        <f>E48</f>
        <v>56777</v>
      </c>
      <c r="S48" s="3554"/>
      <c r="T48" s="3554">
        <f>G48</f>
        <v>52757</v>
      </c>
      <c r="U48" s="3554"/>
      <c r="V48" s="3554">
        <f>I48</f>
        <v>56726</v>
      </c>
      <c r="W48" s="3554"/>
      <c r="X48" s="404"/>
      <c r="Y48" s="720"/>
      <c r="Z48" s="404"/>
      <c r="AA48" s="404"/>
      <c r="AB48" s="404"/>
      <c r="AC48" s="585"/>
    </row>
    <row r="49" spans="1:29" ht="15.75" thickBot="1">
      <c r="A49" s="444" t="s">
        <v>2158</v>
      </c>
      <c r="B49" s="445"/>
      <c r="C49" s="1274">
        <f>R50</f>
        <v>47127</v>
      </c>
      <c r="D49" s="2488" t="s">
        <v>2639</v>
      </c>
      <c r="E49" s="1275">
        <f>R49</f>
        <v>46726</v>
      </c>
      <c r="F49" s="2489"/>
      <c r="G49" s="1274">
        <f>T49</f>
        <v>44680</v>
      </c>
      <c r="H49" s="2489"/>
      <c r="I49" s="1275">
        <f>V49</f>
        <v>49974</v>
      </c>
      <c r="J49" s="2489"/>
      <c r="K49" s="2491">
        <f>F49+H49+J49</f>
        <v>0</v>
      </c>
      <c r="L49" s="2902"/>
      <c r="M49" s="2894"/>
      <c r="N49" s="2894"/>
      <c r="O49" s="2894"/>
      <c r="P49" s="3564" t="str">
        <f>A49</f>
        <v>比较价值（元/平方米）</v>
      </c>
      <c r="Q49" s="3553"/>
      <c r="R49" s="3554">
        <f>IF(F1="售价",ROUND(PRODUCT(R48,AA7:AA47),0),ROUND(PRODUCT(R48,AA7:AA47),1))</f>
        <v>46726</v>
      </c>
      <c r="S49" s="3554"/>
      <c r="T49" s="3554">
        <f>IF(F1="售价",ROUND(PRODUCT(T48,AB7:AB47),0),ROUND(PRODUCT(T48,AB7:AB47),1))</f>
        <v>44680</v>
      </c>
      <c r="U49" s="3554"/>
      <c r="V49" s="3554">
        <f>IF(F1="售价",ROUND(PRODUCT(V48,AC7:AC47),0),ROUND(PRODUCT(V48,AC7:AC47),1))</f>
        <v>49974</v>
      </c>
      <c r="W49" s="3554"/>
      <c r="X49" s="404"/>
      <c r="Y49" s="404"/>
      <c r="Z49" s="404"/>
      <c r="AA49" s="404"/>
      <c r="AB49" s="404"/>
      <c r="AC49" s="585"/>
    </row>
    <row r="50" spans="1:29" ht="15.75" thickBot="1">
      <c r="A50" s="448" t="s">
        <v>2159</v>
      </c>
      <c r="B50" s="449"/>
      <c r="C50" s="1277">
        <f>R50</f>
        <v>47127</v>
      </c>
      <c r="D50" s="1277"/>
      <c r="E50" s="1277"/>
      <c r="F50" s="1277"/>
      <c r="G50" s="1277"/>
      <c r="H50" s="1277"/>
      <c r="I50" s="1277"/>
      <c r="J50" s="450"/>
      <c r="K50" s="723"/>
      <c r="L50" s="2902"/>
      <c r="M50" s="2894"/>
      <c r="N50" s="2894"/>
      <c r="O50" s="2894"/>
      <c r="P50" s="3596" t="str">
        <f>A50</f>
        <v>估价对象XX用房的比较价值（楼面单价，元/平方米）</v>
      </c>
      <c r="Q50" s="3597"/>
      <c r="R50" s="3598">
        <f>IF(F1="售价",ROUND(IF(D49="简单平均",AVERAGE(R49:V49),R49*F49+T49*H49+V49*J49),0),ROUND(IF(D49="简单平均",AVERAGE(R49:V49),R49*F49+T49*H49+V49*J49),1))</f>
        <v>47127</v>
      </c>
      <c r="S50" s="3598"/>
      <c r="T50" s="3598"/>
      <c r="U50" s="3598"/>
      <c r="V50" s="3598"/>
      <c r="W50" s="3598"/>
      <c r="X50" s="2082"/>
      <c r="Y50" s="2082"/>
      <c r="Z50" s="2082"/>
      <c r="AA50" s="2082"/>
      <c r="AB50" s="2082"/>
      <c r="AC50" s="2083"/>
    </row>
    <row r="51" spans="1:29">
      <c r="A51" s="2903"/>
      <c r="B51" s="2903"/>
      <c r="C51" s="2903">
        <v>2.7</v>
      </c>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2160</v>
      </c>
      <c r="D53" s="454"/>
      <c r="E53" s="455">
        <f>IF(E48&lt;E49,E49/E48-1,E48/E49-1)</f>
        <v>0.21510508068313139</v>
      </c>
      <c r="F53" s="456" t="str">
        <f>IF(OR(E53&gt;=0.3,E53&lt;=-0.3),"超过30%","")</f>
        <v/>
      </c>
      <c r="G53" s="455">
        <f>IF(G48&lt;G49,G49/G48-1,G48/G49-1)</f>
        <v>0.1807743957027752</v>
      </c>
      <c r="H53" s="456" t="str">
        <f>IF(OR(G53&gt;=0.3,G53&lt;=-0.3),"超过30%","")</f>
        <v/>
      </c>
      <c r="I53" s="455">
        <f>IF(I48&lt;I49,I49/I48-1,I48/I49-1)</f>
        <v>0.13511025733381365</v>
      </c>
      <c r="J53" s="456"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2161</v>
      </c>
      <c r="D54" s="457"/>
      <c r="E54" s="455">
        <f>IF(E49&lt;G49,G49/E49-1,E49/G49-1)</f>
        <v>4.5792300805729713E-2</v>
      </c>
      <c r="F54" s="456" t="str">
        <f>IF(OR(E54&gt;=0.2,E54&lt;=-0.2),"超过20%","")</f>
        <v/>
      </c>
      <c r="G54" s="455">
        <f>IF(G49&lt;I49,I49/G49-1,G49/I49-1)</f>
        <v>0.11848701880035817</v>
      </c>
      <c r="H54" s="456" t="str">
        <f>IF(OR(G54&gt;=0.2,G54&lt;=-0.2),"超过20%","")</f>
        <v/>
      </c>
      <c r="I54" s="455">
        <f>IF(I49&lt;E49,E49/I49-1,I49/E49-1)</f>
        <v>6.9511620939091801E-2</v>
      </c>
      <c r="J54" s="456"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2162</v>
      </c>
      <c r="D55" s="457"/>
      <c r="E55" s="455">
        <f>IF(E48&lt;G48,G48/E48-1,E48/G48-1)</f>
        <v>7.6198419167124776E-2</v>
      </c>
      <c r="F55" s="456" t="str">
        <f>IF(OR(E55&gt;=0.3,E55&lt;=-0.3),"超过30%","")</f>
        <v/>
      </c>
      <c r="G55" s="455">
        <f>IF(G48&lt;I48,I48/G48-1,G48/I48-1)</f>
        <v>7.52317228045567E-2</v>
      </c>
      <c r="H55" s="456" t="str">
        <f>IF(OR(G55&gt;=0.3,G55&lt;=-0.3),"超过30%","")</f>
        <v/>
      </c>
      <c r="I55" s="455">
        <f>IF(I48&lt;E48,E48/I48-1,I48/E48-1)</f>
        <v>8.990586327257688E-4</v>
      </c>
      <c r="J55" s="456"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2163</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3"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3" customFormat="1" ht="15">
      <c r="A62" s="477" t="s">
        <v>2130</v>
      </c>
      <c r="B62" s="466"/>
      <c r="C62" s="478" t="s">
        <v>2167</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3"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24</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v>0</v>
      </c>
      <c r="D69" s="505">
        <v>1</v>
      </c>
      <c r="E69" s="505">
        <v>2</v>
      </c>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95</v>
      </c>
      <c r="E78" s="500">
        <f>D78-$K15</f>
        <v>90</v>
      </c>
      <c r="F78" s="500">
        <f>E78-$K15</f>
        <v>85</v>
      </c>
      <c r="G78" s="500">
        <f>F78-$K15</f>
        <v>80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99.5</v>
      </c>
      <c r="E80" s="500">
        <f>D80-$K17</f>
        <v>99</v>
      </c>
      <c r="F80" s="500">
        <f>E80-$K17</f>
        <v>98.5</v>
      </c>
      <c r="G80" s="500">
        <f>F80-$K17</f>
        <v>98</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98</v>
      </c>
      <c r="E82" s="500">
        <f>D82-$K19</f>
        <v>96</v>
      </c>
      <c r="F82" s="500">
        <f>E82-$K19</f>
        <v>94</v>
      </c>
      <c r="G82" s="500">
        <f>F82-$K19</f>
        <v>92</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98</v>
      </c>
      <c r="E84" s="500">
        <f>D84-$K21</f>
        <v>96</v>
      </c>
      <c r="F84" s="500">
        <f>E84-$K21</f>
        <v>94</v>
      </c>
      <c r="G84" s="500">
        <f>F84-$K21</f>
        <v>92</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98</v>
      </c>
      <c r="E86" s="500">
        <f>D86-$K23</f>
        <v>96</v>
      </c>
      <c r="F86" s="500">
        <f>E86-$K23</f>
        <v>94</v>
      </c>
      <c r="G86" s="500">
        <f>F86-$K23</f>
        <v>92</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3"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3267" t="s">
        <v>3259</v>
      </c>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0"/>
      <c r="B103" s="494" t="s">
        <v>2193</v>
      </c>
      <c r="C103" s="534" t="str">
        <f>C104&amp;"(含)"&amp;"-"&amp;D104</f>
        <v>0(含)-10000</v>
      </c>
      <c r="D103" s="534" t="str">
        <f t="shared" ref="D103:L103" si="23">D104&amp;"(含)"&amp;"-"&amp;E104</f>
        <v>10000(含)-20000</v>
      </c>
      <c r="E103" s="534" t="str">
        <f t="shared" si="23"/>
        <v>20000(含)-50000</v>
      </c>
      <c r="F103" s="534" t="str">
        <f t="shared" si="23"/>
        <v>50000(含)-100000</v>
      </c>
      <c r="G103" s="534" t="str">
        <f t="shared" si="23"/>
        <v>100000(含)-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v>0</v>
      </c>
      <c r="D104" s="551">
        <v>10000</v>
      </c>
      <c r="E104" s="551">
        <v>20000</v>
      </c>
      <c r="F104" s="551">
        <v>50000</v>
      </c>
      <c r="G104" s="551">
        <v>100000</v>
      </c>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v>100</v>
      </c>
      <c r="D105" s="492">
        <f>C105-1</f>
        <v>99</v>
      </c>
      <c r="E105" s="492">
        <f t="shared" ref="E105:G105" si="24">D105-1</f>
        <v>98</v>
      </c>
      <c r="F105" s="492">
        <f t="shared" si="24"/>
        <v>97</v>
      </c>
      <c r="G105" s="492">
        <f t="shared" si="24"/>
        <v>96</v>
      </c>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3263" t="s">
        <v>3260</v>
      </c>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5">C107-$K35</f>
        <v>100</v>
      </c>
      <c r="E107" s="500">
        <f t="shared" si="25"/>
        <v>100</v>
      </c>
      <c r="F107" s="500">
        <f t="shared" si="25"/>
        <v>100</v>
      </c>
      <c r="G107" s="500">
        <f t="shared" si="25"/>
        <v>100</v>
      </c>
      <c r="H107" s="500">
        <f t="shared" si="25"/>
        <v>100</v>
      </c>
      <c r="I107" s="500">
        <f t="shared" si="25"/>
        <v>100</v>
      </c>
      <c r="J107" s="500">
        <f t="shared" si="25"/>
        <v>100</v>
      </c>
      <c r="K107" s="500">
        <f t="shared" si="25"/>
        <v>100</v>
      </c>
      <c r="L107" s="500">
        <f t="shared" si="25"/>
        <v>100</v>
      </c>
      <c r="M107" s="501">
        <f t="shared" si="25"/>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3263" t="s">
        <v>3262</v>
      </c>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6">C109-$K36</f>
        <v>100</v>
      </c>
      <c r="E109" s="500">
        <f t="shared" si="26"/>
        <v>100</v>
      </c>
      <c r="F109" s="500">
        <f t="shared" si="26"/>
        <v>100</v>
      </c>
      <c r="G109" s="500">
        <f t="shared" si="26"/>
        <v>100</v>
      </c>
      <c r="H109" s="500">
        <f t="shared" si="26"/>
        <v>100</v>
      </c>
      <c r="I109" s="500">
        <f t="shared" si="26"/>
        <v>100</v>
      </c>
      <c r="J109" s="500">
        <f t="shared" si="26"/>
        <v>100</v>
      </c>
      <c r="K109" s="500">
        <f t="shared" si="26"/>
        <v>100</v>
      </c>
      <c r="L109" s="500">
        <f t="shared" si="26"/>
        <v>100</v>
      </c>
      <c r="M109" s="501">
        <f t="shared" si="26"/>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103</v>
      </c>
      <c r="E112" s="500">
        <f t="shared" ref="E112:M112" si="27">D112+$K37</f>
        <v>106</v>
      </c>
      <c r="F112" s="500">
        <f t="shared" si="27"/>
        <v>109</v>
      </c>
      <c r="G112" s="500">
        <f t="shared" si="27"/>
        <v>112</v>
      </c>
      <c r="H112" s="500">
        <f t="shared" si="27"/>
        <v>115</v>
      </c>
      <c r="I112" s="500">
        <f t="shared" si="27"/>
        <v>118</v>
      </c>
      <c r="J112" s="500">
        <f t="shared" si="27"/>
        <v>121</v>
      </c>
      <c r="K112" s="500">
        <f t="shared" si="27"/>
        <v>124</v>
      </c>
      <c r="L112" s="500">
        <f t="shared" si="27"/>
        <v>127</v>
      </c>
      <c r="M112" s="500">
        <f t="shared" si="27"/>
        <v>130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3263" t="s">
        <v>3422</v>
      </c>
      <c r="D113" s="3263" t="s">
        <v>3420</v>
      </c>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97</v>
      </c>
      <c r="E114" s="500">
        <f t="shared" ref="E114:M114" si="28">D114-$K38</f>
        <v>94</v>
      </c>
      <c r="F114" s="500">
        <f t="shared" si="28"/>
        <v>91</v>
      </c>
      <c r="G114" s="500">
        <f t="shared" si="28"/>
        <v>88</v>
      </c>
      <c r="H114" s="500">
        <f t="shared" si="28"/>
        <v>85</v>
      </c>
      <c r="I114" s="500">
        <f t="shared" si="28"/>
        <v>82</v>
      </c>
      <c r="J114" s="500">
        <f t="shared" si="28"/>
        <v>79</v>
      </c>
      <c r="K114" s="500">
        <f t="shared" si="28"/>
        <v>76</v>
      </c>
      <c r="L114" s="500">
        <f t="shared" si="28"/>
        <v>73</v>
      </c>
      <c r="M114" s="500">
        <f t="shared" si="28"/>
        <v>70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3263" t="s">
        <v>3264</v>
      </c>
      <c r="D115" s="3263" t="s">
        <v>3266</v>
      </c>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3263" t="s">
        <v>3267</v>
      </c>
      <c r="D117" s="3263" t="s">
        <v>3268</v>
      </c>
      <c r="E117" s="3263" t="s">
        <v>3270</v>
      </c>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30">D120-$K41</f>
        <v>100</v>
      </c>
      <c r="F120" s="500">
        <f t="shared" si="30"/>
        <v>100</v>
      </c>
      <c r="G120" s="500">
        <f t="shared" si="30"/>
        <v>100</v>
      </c>
      <c r="H120" s="500">
        <f t="shared" si="30"/>
        <v>100</v>
      </c>
      <c r="I120" s="500">
        <f t="shared" si="30"/>
        <v>100</v>
      </c>
      <c r="J120" s="500">
        <f t="shared" si="30"/>
        <v>100</v>
      </c>
      <c r="K120" s="500">
        <f t="shared" si="30"/>
        <v>100</v>
      </c>
      <c r="L120" s="500">
        <f t="shared" si="30"/>
        <v>100</v>
      </c>
      <c r="M120" s="500">
        <f t="shared" si="30"/>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3263" t="s">
        <v>3252</v>
      </c>
      <c r="D123" s="3263" t="s">
        <v>3256</v>
      </c>
      <c r="E123" s="3263" t="s">
        <v>3281</v>
      </c>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1">C124-$K43</f>
        <v>95</v>
      </c>
      <c r="E124" s="500">
        <f t="shared" si="31"/>
        <v>90</v>
      </c>
      <c r="F124" s="500">
        <f t="shared" si="31"/>
        <v>85</v>
      </c>
      <c r="G124" s="500">
        <f t="shared" si="31"/>
        <v>80</v>
      </c>
      <c r="H124" s="500">
        <f t="shared" si="31"/>
        <v>75</v>
      </c>
      <c r="I124" s="500">
        <f t="shared" si="31"/>
        <v>70</v>
      </c>
      <c r="J124" s="500">
        <f t="shared" si="31"/>
        <v>65</v>
      </c>
      <c r="K124" s="500">
        <f t="shared" si="31"/>
        <v>60</v>
      </c>
      <c r="L124" s="500">
        <f t="shared" si="31"/>
        <v>55</v>
      </c>
      <c r="M124" s="501">
        <f t="shared" si="31"/>
        <v>50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99</v>
      </c>
      <c r="E126" s="500">
        <f>D126-$K44</f>
        <v>98</v>
      </c>
      <c r="F126" s="500">
        <f>E126-$K44</f>
        <v>97</v>
      </c>
      <c r="G126" s="500">
        <f>F126-$K44</f>
        <v>96</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t="str">
        <f>B45</f>
        <v>设施设备</v>
      </c>
      <c r="C127" s="3263" t="s">
        <v>3254</v>
      </c>
      <c r="D127" s="3263" t="s">
        <v>3257</v>
      </c>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v>100</v>
      </c>
      <c r="D128" s="492">
        <v>95</v>
      </c>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xr:uid="{00000000-0002-0000-2A00-000000000000}">
      <formula1>"简单平均,加权平均"</formula1>
    </dataValidation>
    <dataValidation type="list" allowBlank="1" showInputMessage="1" showErrorMessage="1" sqref="F2" xr:uid="{00000000-0002-0000-2A00-000001000000}">
      <formula1>估价方法</formula1>
    </dataValidation>
    <dataValidation type="list" allowBlank="1" showInputMessage="1" showErrorMessage="1" sqref="C2" xr:uid="{00000000-0002-0000-2A00-000002000000}">
      <formula1>"需扣减承租人权益,——"</formula1>
    </dataValidation>
    <dataValidation type="list" allowBlank="1" showInputMessage="1" showErrorMessage="1" sqref="F1" xr:uid="{00000000-0002-0000-2A00-000003000000}">
      <formula1>"售价,租金"</formula1>
    </dataValidation>
    <dataValidation type="list" allowBlank="1" showInputMessage="1" showErrorMessage="1" sqref="C22 E22 G22 I22" xr:uid="{00000000-0002-0000-2A00-000004000000}">
      <formula1>基础设施水平</formula1>
    </dataValidation>
    <dataValidation type="list" allowBlank="1" showInputMessage="1" showErrorMessage="1" sqref="C8 E8 G8 I8" xr:uid="{00000000-0002-0000-2A00-000005000000}">
      <formula1>办公交易情况</formula1>
    </dataValidation>
    <dataValidation type="list" allowBlank="1" showInputMessage="1" showErrorMessage="1" sqref="C43 E43 G43 I43" xr:uid="{00000000-0002-0000-2A00-000006000000}">
      <formula1>办公内部装修</formula1>
    </dataValidation>
    <dataValidation type="list" allowBlank="1" showInputMessage="1" showErrorMessage="1" sqref="C41 E41 G41 I41" xr:uid="{00000000-0002-0000-2A00-000007000000}">
      <formula1>办公层高</formula1>
    </dataValidation>
    <dataValidation type="list" allowBlank="1" showInputMessage="1" showErrorMessage="1" sqref="C40 G40 E40 I40" xr:uid="{00000000-0002-0000-2A00-000008000000}">
      <formula1>办公基础设施水平</formula1>
    </dataValidation>
    <dataValidation type="list" allowBlank="1" showInputMessage="1" showErrorMessage="1" sqref="C39 G39 E39 I39" xr:uid="{00000000-0002-0000-2A00-000009000000}">
      <formula1>办公物业管理</formula1>
    </dataValidation>
    <dataValidation type="list" allowBlank="1" showInputMessage="1" showErrorMessage="1" sqref="C38 E38 G38 I38" xr:uid="{00000000-0002-0000-2A00-00000A000000}">
      <formula1>写字楼等级</formula1>
    </dataValidation>
    <dataValidation type="list" allowBlank="1" showInputMessage="1" showErrorMessage="1" sqref="C36 G36 E36 I36" xr:uid="{00000000-0002-0000-2A00-00000B000000}">
      <formula1>办公公共部分装修</formula1>
    </dataValidation>
    <dataValidation type="list" allowBlank="1" showInputMessage="1" showErrorMessage="1" sqref="C33 G33 E33 I33" xr:uid="{00000000-0002-0000-2A00-00000C000000}">
      <formula1>办公建筑类型</formula1>
    </dataValidation>
    <dataValidation type="list" allowBlank="1" showInputMessage="1" showErrorMessage="1" sqref="C27 E27 G27 I27" xr:uid="{00000000-0002-0000-2A00-00000D000000}">
      <formula1>办公楼层</formula1>
    </dataValidation>
    <dataValidation type="list" allowBlank="1" showInputMessage="1" showErrorMessage="1" sqref="C28 E28 G28 I28" xr:uid="{00000000-0002-0000-2A00-00000E000000}">
      <formula1>办公朝向</formula1>
    </dataValidation>
    <dataValidation type="list" allowBlank="1" showInputMessage="1" showErrorMessage="1" sqref="G26 C26 E26 I26" xr:uid="{00000000-0002-0000-2A00-00000F000000}">
      <formula1>办公道路级别</formula1>
    </dataValidation>
    <dataValidation type="list" allowBlank="1" showInputMessage="1" showErrorMessage="1" sqref="C16 E16 G16 I16" xr:uid="{00000000-0002-0000-2A00-000010000000}">
      <formula1>办公集聚程度</formula1>
    </dataValidation>
    <dataValidation type="list" allowBlank="1" showInputMessage="1" showErrorMessage="1" sqref="E9 G9 I9" xr:uid="{00000000-0002-0000-2A00-000011000000}">
      <formula1>办公用途</formula1>
    </dataValidation>
    <dataValidation type="list" allowBlank="1" showInputMessage="1" showErrorMessage="1" sqref="C10 E10 G10 I10" xr:uid="{00000000-0002-0000-2A00-000012000000}">
      <formula1>土地年限区间</formula1>
    </dataValidation>
    <dataValidation type="list" allowBlank="1" showInputMessage="1" showErrorMessage="1" sqref="D1" xr:uid="{00000000-0002-0000-2A00-000013000000}">
      <formula1>项目类型</formula1>
    </dataValidation>
    <dataValidation type="list" allowBlank="1" showInputMessage="1" showErrorMessage="1" sqref="C44 E44 G44 I44" xr:uid="{00000000-0002-0000-2A00-000014000000}">
      <formula1>内部装修维护情况</formula1>
    </dataValidation>
    <dataValidation type="list" allowBlank="1" showInputMessage="1" showErrorMessage="1" sqref="E20 I20 G20 C20" xr:uid="{00000000-0002-0000-2A00-000015000000}">
      <formula1>公共配套设施</formula1>
    </dataValidation>
    <dataValidation type="list" allowBlank="1" showInputMessage="1" showErrorMessage="1" sqref="E18 G18 I18 C18" xr:uid="{00000000-0002-0000-2A00-000016000000}">
      <formula1>交通便捷度</formula1>
    </dataValidation>
    <dataValidation type="list" allowBlank="1" showInputMessage="1" showErrorMessage="1" sqref="E24 G24 I24 C24" xr:uid="{00000000-0002-0000-2A00-000017000000}">
      <formula1>环境</formula1>
    </dataValidation>
    <dataValidation type="list" allowBlank="1" showInputMessage="1" showErrorMessage="1" sqref="C35 G35 E35 I35" xr:uid="{00000000-0002-0000-2A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92D050"/>
  </sheetPr>
  <dimension ref="D2:K31"/>
  <sheetViews>
    <sheetView topLeftCell="A126" workbookViewId="0">
      <selection activeCell="Q143" sqref="M137:Q143"/>
    </sheetView>
  </sheetViews>
  <sheetFormatPr defaultRowHeight="13.5"/>
  <sheetData>
    <row r="2" spans="8:11">
      <c r="H2" s="3231" t="s">
        <v>3271</v>
      </c>
      <c r="I2">
        <v>5</v>
      </c>
      <c r="J2">
        <v>155</v>
      </c>
      <c r="K2">
        <v>2008</v>
      </c>
    </row>
    <row r="3" spans="8:11">
      <c r="H3" s="3231" t="s">
        <v>3272</v>
      </c>
      <c r="I3">
        <v>6.5</v>
      </c>
      <c r="J3">
        <v>171</v>
      </c>
      <c r="K3">
        <v>2005</v>
      </c>
    </row>
    <row r="4" spans="8:11">
      <c r="H4" s="3231" t="s">
        <v>3273</v>
      </c>
      <c r="I4">
        <v>3.5</v>
      </c>
      <c r="J4">
        <v>500</v>
      </c>
    </row>
    <row r="5" spans="8:11">
      <c r="H5" s="3231" t="s">
        <v>3274</v>
      </c>
      <c r="I5">
        <v>5</v>
      </c>
      <c r="J5">
        <v>940</v>
      </c>
      <c r="K5">
        <v>1998</v>
      </c>
    </row>
    <row r="6" spans="8:11">
      <c r="H6" s="3231" t="s">
        <v>3275</v>
      </c>
      <c r="I6" s="3231" t="s">
        <v>3276</v>
      </c>
      <c r="J6">
        <v>300</v>
      </c>
      <c r="K6">
        <v>1999</v>
      </c>
    </row>
    <row r="7" spans="8:11">
      <c r="H7" s="3231" t="s">
        <v>3277</v>
      </c>
      <c r="I7" s="3268" t="s">
        <v>3278</v>
      </c>
      <c r="J7">
        <v>500</v>
      </c>
      <c r="K7">
        <v>1998</v>
      </c>
    </row>
    <row r="8" spans="8:11">
      <c r="H8" s="3231" t="s">
        <v>3279</v>
      </c>
      <c r="I8" s="3231">
        <v>5</v>
      </c>
      <c r="J8">
        <v>200</v>
      </c>
      <c r="K8">
        <v>1998</v>
      </c>
    </row>
    <row r="9" spans="8:11">
      <c r="H9" s="3231" t="s">
        <v>3282</v>
      </c>
      <c r="I9" s="3231">
        <v>5</v>
      </c>
      <c r="J9">
        <v>500</v>
      </c>
      <c r="K9">
        <v>2005</v>
      </c>
    </row>
    <row r="27" spans="4:6">
      <c r="E27">
        <v>4</v>
      </c>
    </row>
    <row r="28" spans="4:6">
      <c r="E28">
        <v>4</v>
      </c>
    </row>
    <row r="29" spans="4:6">
      <c r="D29" s="3231" t="s">
        <v>3208</v>
      </c>
      <c r="E29">
        <v>5</v>
      </c>
      <c r="F29">
        <v>200</v>
      </c>
    </row>
    <row r="30" spans="4:6">
      <c r="D30" s="3231" t="s">
        <v>3207</v>
      </c>
      <c r="E30">
        <v>5</v>
      </c>
      <c r="F30">
        <v>500</v>
      </c>
    </row>
    <row r="31" spans="4:6">
      <c r="D31" s="3231" t="s">
        <v>3251</v>
      </c>
      <c r="E31">
        <v>5</v>
      </c>
      <c r="F31">
        <v>275</v>
      </c>
    </row>
  </sheetData>
  <phoneticPr fontId="14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B1:G53"/>
  <sheetViews>
    <sheetView topLeftCell="A21" workbookViewId="0">
      <selection activeCell="B1" sqref="B1:G23"/>
    </sheetView>
  </sheetViews>
  <sheetFormatPr defaultRowHeight="13.5"/>
  <cols>
    <col min="2" max="2" width="4.125" customWidth="1"/>
    <col min="3" max="3" width="12.75" customWidth="1"/>
    <col min="4" max="4" width="27.5" customWidth="1"/>
    <col min="5" max="5" width="4.875" customWidth="1"/>
    <col min="6" max="6" width="8.75" customWidth="1"/>
    <col min="7" max="7" width="11.5" customWidth="1"/>
  </cols>
  <sheetData>
    <row r="1" spans="2:7">
      <c r="B1" s="3244" t="s">
        <v>3212</v>
      </c>
      <c r="C1" s="3244" t="s">
        <v>3213</v>
      </c>
      <c r="D1" s="3244" t="s">
        <v>3214</v>
      </c>
      <c r="E1" s="3244" t="s">
        <v>3216</v>
      </c>
      <c r="F1" s="3244" t="s">
        <v>3215</v>
      </c>
      <c r="G1" s="3244" t="s">
        <v>3220</v>
      </c>
    </row>
    <row r="2" spans="2:7">
      <c r="B2" s="3245">
        <v>1</v>
      </c>
      <c r="C2" s="3244" t="s">
        <v>3217</v>
      </c>
      <c r="D2" s="3244" t="s">
        <v>3218</v>
      </c>
      <c r="E2" s="3244" t="s">
        <v>3219</v>
      </c>
      <c r="F2" s="3246">
        <v>154.68</v>
      </c>
      <c r="G2" s="3244" t="s">
        <v>3221</v>
      </c>
    </row>
    <row r="3" spans="2:7">
      <c r="B3" s="3245">
        <v>2</v>
      </c>
      <c r="C3" s="3244" t="s">
        <v>3217</v>
      </c>
      <c r="D3" s="3244" t="s">
        <v>3224</v>
      </c>
      <c r="E3" s="3244" t="s">
        <v>3219</v>
      </c>
      <c r="F3" s="3246">
        <v>147.41</v>
      </c>
      <c r="G3" s="3244" t="s">
        <v>3221</v>
      </c>
    </row>
    <row r="4" spans="2:7">
      <c r="B4" s="3245">
        <v>3</v>
      </c>
      <c r="C4" s="3244" t="s">
        <v>3217</v>
      </c>
      <c r="D4" s="3244" t="s">
        <v>3225</v>
      </c>
      <c r="E4" s="3244" t="s">
        <v>3219</v>
      </c>
      <c r="F4" s="3246">
        <v>359.28</v>
      </c>
      <c r="G4" s="3244" t="s">
        <v>3221</v>
      </c>
    </row>
    <row r="5" spans="2:7">
      <c r="B5" s="3245">
        <v>4</v>
      </c>
      <c r="C5" s="3244" t="s">
        <v>3217</v>
      </c>
      <c r="D5" s="3244" t="s">
        <v>3226</v>
      </c>
      <c r="E5" s="3244" t="s">
        <v>3219</v>
      </c>
      <c r="F5" s="3246">
        <v>19.649999999999999</v>
      </c>
      <c r="G5" s="3244" t="s">
        <v>3221</v>
      </c>
    </row>
    <row r="6" spans="2:7">
      <c r="B6" s="3245">
        <v>5</v>
      </c>
      <c r="C6" s="3244" t="s">
        <v>3217</v>
      </c>
      <c r="D6" s="3244" t="s">
        <v>3227</v>
      </c>
      <c r="E6" s="3244" t="s">
        <v>3219</v>
      </c>
      <c r="F6" s="3246">
        <v>969.68</v>
      </c>
      <c r="G6" s="3244" t="s">
        <v>3221</v>
      </c>
    </row>
    <row r="7" spans="2:7" ht="14.25">
      <c r="B7" s="3245">
        <v>6</v>
      </c>
      <c r="C7" s="3244" t="s">
        <v>3217</v>
      </c>
      <c r="D7" s="3244" t="s">
        <v>3228</v>
      </c>
      <c r="E7" s="3244" t="s">
        <v>3219</v>
      </c>
      <c r="F7" s="3247">
        <v>354.54</v>
      </c>
      <c r="G7" s="3244" t="s">
        <v>3221</v>
      </c>
    </row>
    <row r="8" spans="2:7" ht="14.25">
      <c r="B8" s="3245">
        <v>7</v>
      </c>
      <c r="C8" s="3244" t="s">
        <v>3217</v>
      </c>
      <c r="D8" s="3244" t="s">
        <v>3229</v>
      </c>
      <c r="E8" s="3244" t="s">
        <v>3219</v>
      </c>
      <c r="F8" s="3247">
        <v>297.13</v>
      </c>
      <c r="G8" s="3244" t="s">
        <v>3221</v>
      </c>
    </row>
    <row r="9" spans="2:7" ht="14.25">
      <c r="B9" s="3245">
        <v>8</v>
      </c>
      <c r="C9" s="3244" t="s">
        <v>3217</v>
      </c>
      <c r="D9" s="3244" t="s">
        <v>3230</v>
      </c>
      <c r="E9" s="3244" t="s">
        <v>3219</v>
      </c>
      <c r="F9" s="3247">
        <v>162.94999999999999</v>
      </c>
      <c r="G9" s="3244" t="s">
        <v>3221</v>
      </c>
    </row>
    <row r="10" spans="2:7" ht="14.25">
      <c r="B10" s="3245">
        <v>9</v>
      </c>
      <c r="C10" s="3244" t="s">
        <v>3217</v>
      </c>
      <c r="D10" s="3244" t="s">
        <v>3231</v>
      </c>
      <c r="E10" s="3244" t="s">
        <v>3219</v>
      </c>
      <c r="F10" s="3247">
        <v>175.17</v>
      </c>
      <c r="G10" s="3244" t="s">
        <v>3221</v>
      </c>
    </row>
    <row r="11" spans="2:7" ht="14.25">
      <c r="B11" s="3245">
        <v>10</v>
      </c>
      <c r="C11" s="3244" t="s">
        <v>3217</v>
      </c>
      <c r="D11" s="3244" t="s">
        <v>3232</v>
      </c>
      <c r="E11" s="3244" t="s">
        <v>3219</v>
      </c>
      <c r="F11" s="3247">
        <v>54.01</v>
      </c>
      <c r="G11" s="3244" t="s">
        <v>3221</v>
      </c>
    </row>
    <row r="12" spans="2:7" ht="14.25">
      <c r="B12" s="3245">
        <v>11</v>
      </c>
      <c r="C12" s="3244" t="s">
        <v>3217</v>
      </c>
      <c r="D12" s="3244" t="s">
        <v>3233</v>
      </c>
      <c r="E12" s="3244" t="s">
        <v>3219</v>
      </c>
      <c r="F12" s="3247">
        <v>168.71</v>
      </c>
      <c r="G12" s="3244" t="s">
        <v>3221</v>
      </c>
    </row>
    <row r="13" spans="2:7" ht="14.25">
      <c r="B13" s="3245">
        <v>12</v>
      </c>
      <c r="C13" s="3244" t="s">
        <v>3217</v>
      </c>
      <c r="D13" s="3244" t="s">
        <v>3234</v>
      </c>
      <c r="E13" s="3244" t="s">
        <v>3219</v>
      </c>
      <c r="F13" s="3247">
        <v>293.75</v>
      </c>
      <c r="G13" s="3244" t="s">
        <v>3221</v>
      </c>
    </row>
    <row r="14" spans="2:7" ht="14.25">
      <c r="B14" s="3245">
        <v>13</v>
      </c>
      <c r="C14" s="3244" t="s">
        <v>3217</v>
      </c>
      <c r="D14" s="3244" t="s">
        <v>3235</v>
      </c>
      <c r="E14" s="3244" t="s">
        <v>3219</v>
      </c>
      <c r="F14" s="3247">
        <v>199.53</v>
      </c>
      <c r="G14" s="3244" t="s">
        <v>3221</v>
      </c>
    </row>
    <row r="15" spans="2:7" ht="14.25">
      <c r="B15" s="3245">
        <v>14</v>
      </c>
      <c r="C15" s="3244" t="s">
        <v>3217</v>
      </c>
      <c r="D15" s="3244" t="s">
        <v>3236</v>
      </c>
      <c r="E15" s="3244" t="s">
        <v>3219</v>
      </c>
      <c r="F15" s="3247">
        <v>293.42</v>
      </c>
      <c r="G15" s="3244" t="s">
        <v>3221</v>
      </c>
    </row>
    <row r="16" spans="2:7" ht="14.25">
      <c r="B16" s="3245">
        <v>15</v>
      </c>
      <c r="C16" s="3244" t="s">
        <v>3217</v>
      </c>
      <c r="D16" s="3244" t="s">
        <v>3237</v>
      </c>
      <c r="E16" s="3244" t="s">
        <v>3219</v>
      </c>
      <c r="F16" s="3247">
        <v>158.28</v>
      </c>
      <c r="G16" s="3244" t="s">
        <v>3221</v>
      </c>
    </row>
    <row r="17" spans="2:7" ht="14.25">
      <c r="B17" s="3245">
        <v>16</v>
      </c>
      <c r="C17" s="3244" t="s">
        <v>3217</v>
      </c>
      <c r="D17" s="3244" t="s">
        <v>3238</v>
      </c>
      <c r="E17" s="3244" t="s">
        <v>3219</v>
      </c>
      <c r="F17" s="3247">
        <v>1162.98</v>
      </c>
      <c r="G17" s="3244" t="s">
        <v>3221</v>
      </c>
    </row>
    <row r="18" spans="2:7" ht="14.25">
      <c r="B18" s="3245">
        <v>17</v>
      </c>
      <c r="C18" s="3244" t="s">
        <v>3217</v>
      </c>
      <c r="D18" s="3244" t="s">
        <v>3239</v>
      </c>
      <c r="E18" s="3244" t="s">
        <v>3219</v>
      </c>
      <c r="F18" s="3247">
        <v>180.4</v>
      </c>
      <c r="G18" s="3244" t="s">
        <v>3221</v>
      </c>
    </row>
    <row r="19" spans="2:7" ht="14.25">
      <c r="B19" s="3245">
        <v>18</v>
      </c>
      <c r="C19" s="3244" t="s">
        <v>3217</v>
      </c>
      <c r="D19" s="3244" t="s">
        <v>3240</v>
      </c>
      <c r="E19" s="3244" t="s">
        <v>3219</v>
      </c>
      <c r="F19" s="3247">
        <v>154.32</v>
      </c>
      <c r="G19" s="3244" t="s">
        <v>3221</v>
      </c>
    </row>
    <row r="20" spans="2:7" ht="14.25">
      <c r="B20" s="3245">
        <v>19</v>
      </c>
      <c r="C20" s="3244" t="s">
        <v>3217</v>
      </c>
      <c r="D20" s="3244" t="s">
        <v>3241</v>
      </c>
      <c r="E20" s="3244" t="s">
        <v>3219</v>
      </c>
      <c r="F20" s="3247">
        <v>329.79</v>
      </c>
      <c r="G20" s="3244" t="s">
        <v>3221</v>
      </c>
    </row>
    <row r="21" spans="2:7" ht="14.25">
      <c r="B21" s="3245">
        <v>20</v>
      </c>
      <c r="C21" s="3244" t="s">
        <v>3217</v>
      </c>
      <c r="D21" s="3244" t="s">
        <v>3242</v>
      </c>
      <c r="E21" s="3244" t="s">
        <v>3219</v>
      </c>
      <c r="F21" s="3247">
        <v>363.75</v>
      </c>
      <c r="G21" s="3244" t="s">
        <v>3221</v>
      </c>
    </row>
    <row r="22" spans="2:7" ht="14.25">
      <c r="B22" s="3245">
        <v>21</v>
      </c>
      <c r="C22" s="3244" t="s">
        <v>3217</v>
      </c>
      <c r="D22" s="3244" t="s">
        <v>3243</v>
      </c>
      <c r="E22" s="3244" t="s">
        <v>3219</v>
      </c>
      <c r="F22" s="3247">
        <v>193.36</v>
      </c>
      <c r="G22" s="3244" t="s">
        <v>3221</v>
      </c>
    </row>
    <row r="23" spans="2:7">
      <c r="B23" s="3684" t="s">
        <v>3222</v>
      </c>
      <c r="C23" s="3684"/>
      <c r="D23" s="3684"/>
      <c r="E23" s="3684"/>
      <c r="F23" s="3248">
        <f>SUM(F2:F22)</f>
        <v>6192.7899999999991</v>
      </c>
      <c r="G23" s="3249" t="s">
        <v>3223</v>
      </c>
    </row>
    <row r="31" spans="2:7">
      <c r="B31" s="3234" t="s">
        <v>3212</v>
      </c>
      <c r="C31" s="3234" t="s">
        <v>3213</v>
      </c>
      <c r="D31" s="3234" t="s">
        <v>3214</v>
      </c>
      <c r="E31" s="3234" t="s">
        <v>3216</v>
      </c>
      <c r="F31" s="3234" t="s">
        <v>3215</v>
      </c>
      <c r="G31" s="3234" t="s">
        <v>3220</v>
      </c>
    </row>
    <row r="32" spans="2:7">
      <c r="B32" s="3235">
        <v>1</v>
      </c>
      <c r="C32" s="3234" t="s">
        <v>3217</v>
      </c>
      <c r="D32" s="3239" t="s">
        <v>3225</v>
      </c>
      <c r="E32" s="3234" t="s">
        <v>3219</v>
      </c>
      <c r="F32" s="3236">
        <v>359.28</v>
      </c>
      <c r="G32" s="3234" t="s">
        <v>3221</v>
      </c>
    </row>
    <row r="33" spans="2:7">
      <c r="B33" s="3235">
        <v>2</v>
      </c>
      <c r="C33" s="3234" t="s">
        <v>3217</v>
      </c>
      <c r="D33" s="3239" t="s">
        <v>3226</v>
      </c>
      <c r="E33" s="3234" t="s">
        <v>3219</v>
      </c>
      <c r="F33" s="3236">
        <v>19.649999999999999</v>
      </c>
      <c r="G33" s="3234" t="s">
        <v>3221</v>
      </c>
    </row>
    <row r="34" spans="2:7">
      <c r="B34" s="3235">
        <v>3</v>
      </c>
      <c r="C34" s="3234" t="s">
        <v>3217</v>
      </c>
      <c r="D34" s="3239" t="s">
        <v>3224</v>
      </c>
      <c r="E34" s="3234" t="s">
        <v>3219</v>
      </c>
      <c r="F34" s="3236">
        <v>147.41</v>
      </c>
      <c r="G34" s="3234" t="s">
        <v>3221</v>
      </c>
    </row>
    <row r="35" spans="2:7" ht="14.25">
      <c r="B35" s="3235">
        <v>4</v>
      </c>
      <c r="C35" s="3234" t="s">
        <v>3217</v>
      </c>
      <c r="D35" s="3239" t="s">
        <v>3232</v>
      </c>
      <c r="E35" s="3234" t="s">
        <v>3219</v>
      </c>
      <c r="F35" s="3237">
        <v>54.01</v>
      </c>
      <c r="G35" s="3234" t="s">
        <v>3221</v>
      </c>
    </row>
    <row r="36" spans="2:7" ht="14.25">
      <c r="B36" s="3235">
        <v>5</v>
      </c>
      <c r="C36" s="3234" t="s">
        <v>3217</v>
      </c>
      <c r="D36" s="3239" t="s">
        <v>3240</v>
      </c>
      <c r="E36" s="3234" t="s">
        <v>3219</v>
      </c>
      <c r="F36" s="3237">
        <v>154.32</v>
      </c>
      <c r="G36" s="3234" t="s">
        <v>3221</v>
      </c>
    </row>
    <row r="37" spans="2:7" ht="14.25">
      <c r="B37" s="3235">
        <v>6</v>
      </c>
      <c r="C37" s="3234" t="s">
        <v>3217</v>
      </c>
      <c r="D37" s="3234" t="s">
        <v>3238</v>
      </c>
      <c r="E37" s="3234" t="s">
        <v>3219</v>
      </c>
      <c r="F37" s="3237">
        <v>1162.98</v>
      </c>
      <c r="G37" s="3234" t="s">
        <v>3221</v>
      </c>
    </row>
    <row r="38" spans="2:7">
      <c r="B38" s="3235">
        <v>7</v>
      </c>
      <c r="C38" s="3234" t="s">
        <v>3217</v>
      </c>
      <c r="D38" s="3241" t="s">
        <v>3227</v>
      </c>
      <c r="E38" s="3234" t="s">
        <v>3219</v>
      </c>
      <c r="F38" s="3236">
        <v>969.68</v>
      </c>
      <c r="G38" s="3234" t="s">
        <v>3221</v>
      </c>
    </row>
    <row r="39" spans="2:7" ht="14.25">
      <c r="B39" s="3235">
        <v>8</v>
      </c>
      <c r="C39" s="3234" t="s">
        <v>3217</v>
      </c>
      <c r="D39" s="3241" t="s">
        <v>3242</v>
      </c>
      <c r="E39" s="3234" t="s">
        <v>3219</v>
      </c>
      <c r="F39" s="3237">
        <v>363.75</v>
      </c>
      <c r="G39" s="3234" t="s">
        <v>3221</v>
      </c>
    </row>
    <row r="40" spans="2:7" ht="14.25">
      <c r="B40" s="3235">
        <v>9</v>
      </c>
      <c r="C40" s="3234" t="s">
        <v>3217</v>
      </c>
      <c r="D40" s="3241" t="s">
        <v>3228</v>
      </c>
      <c r="E40" s="3234" t="s">
        <v>3219</v>
      </c>
      <c r="F40" s="3237">
        <v>354.54</v>
      </c>
      <c r="G40" s="3234" t="s">
        <v>3221</v>
      </c>
    </row>
    <row r="41" spans="2:7" ht="14.25">
      <c r="B41" s="3235">
        <v>10</v>
      </c>
      <c r="C41" s="3234" t="s">
        <v>3217</v>
      </c>
      <c r="D41" s="3242" t="s">
        <v>3229</v>
      </c>
      <c r="E41" s="3234" t="s">
        <v>3219</v>
      </c>
      <c r="F41" s="3237">
        <v>297.13</v>
      </c>
      <c r="G41" s="3234" t="s">
        <v>3221</v>
      </c>
    </row>
    <row r="42" spans="2:7" ht="14.25">
      <c r="B42" s="3235">
        <v>11</v>
      </c>
      <c r="C42" s="3234" t="s">
        <v>3217</v>
      </c>
      <c r="D42" s="3242" t="s">
        <v>3239</v>
      </c>
      <c r="E42" s="3234" t="s">
        <v>3219</v>
      </c>
      <c r="F42" s="3237">
        <v>180.4</v>
      </c>
      <c r="G42" s="3234" t="s">
        <v>3221</v>
      </c>
    </row>
    <row r="43" spans="2:7" ht="14.25">
      <c r="B43" s="3235">
        <v>12</v>
      </c>
      <c r="C43" s="3234" t="s">
        <v>3217</v>
      </c>
      <c r="D43" s="3242" t="s">
        <v>3241</v>
      </c>
      <c r="E43" s="3234" t="s">
        <v>3219</v>
      </c>
      <c r="F43" s="3237">
        <v>329.79</v>
      </c>
      <c r="G43" s="3234" t="s">
        <v>3221</v>
      </c>
    </row>
    <row r="44" spans="2:7" ht="14.25">
      <c r="B44" s="3235">
        <v>13</v>
      </c>
      <c r="C44" s="3234" t="s">
        <v>3217</v>
      </c>
      <c r="D44" s="3242" t="s">
        <v>3230</v>
      </c>
      <c r="E44" s="3234" t="s">
        <v>3219</v>
      </c>
      <c r="F44" s="3237">
        <v>162.94999999999999</v>
      </c>
      <c r="G44" s="3234" t="s">
        <v>3221</v>
      </c>
    </row>
    <row r="45" spans="2:7" ht="14.25">
      <c r="B45" s="3235">
        <v>14</v>
      </c>
      <c r="C45" s="3234" t="s">
        <v>3217</v>
      </c>
      <c r="D45" s="3240" t="s">
        <v>3243</v>
      </c>
      <c r="E45" s="3234" t="s">
        <v>3219</v>
      </c>
      <c r="F45" s="3237">
        <v>193.36</v>
      </c>
      <c r="G45" s="3234" t="s">
        <v>3221</v>
      </c>
    </row>
    <row r="46" spans="2:7" ht="14.25">
      <c r="B46" s="3235">
        <v>15</v>
      </c>
      <c r="C46" s="3234" t="s">
        <v>3217</v>
      </c>
      <c r="D46" s="3240" t="s">
        <v>3233</v>
      </c>
      <c r="E46" s="3234" t="s">
        <v>3219</v>
      </c>
      <c r="F46" s="3237">
        <v>168.71</v>
      </c>
      <c r="G46" s="3234" t="s">
        <v>3221</v>
      </c>
    </row>
    <row r="47" spans="2:7" ht="14.25">
      <c r="B47" s="3235">
        <v>16</v>
      </c>
      <c r="C47" s="3234" t="s">
        <v>3217</v>
      </c>
      <c r="D47" s="3240" t="s">
        <v>3234</v>
      </c>
      <c r="E47" s="3234" t="s">
        <v>3219</v>
      </c>
      <c r="F47" s="3237">
        <v>293.75</v>
      </c>
      <c r="G47" s="3234" t="s">
        <v>3221</v>
      </c>
    </row>
    <row r="48" spans="2:7">
      <c r="B48" s="3235">
        <v>17</v>
      </c>
      <c r="C48" s="3234" t="s">
        <v>3217</v>
      </c>
      <c r="D48" s="3240" t="s">
        <v>3218</v>
      </c>
      <c r="E48" s="3234" t="s">
        <v>3219</v>
      </c>
      <c r="F48" s="3236">
        <v>154.68</v>
      </c>
      <c r="G48" s="3234" t="s">
        <v>3221</v>
      </c>
    </row>
    <row r="49" spans="2:7" ht="14.25">
      <c r="B49" s="3235">
        <v>18</v>
      </c>
      <c r="C49" s="3234" t="s">
        <v>3217</v>
      </c>
      <c r="D49" s="3243" t="s">
        <v>3235</v>
      </c>
      <c r="E49" s="3234" t="s">
        <v>3219</v>
      </c>
      <c r="F49" s="3237">
        <v>199.53</v>
      </c>
      <c r="G49" s="3234" t="s">
        <v>3221</v>
      </c>
    </row>
    <row r="50" spans="2:7" ht="14.25">
      <c r="B50" s="3235">
        <v>19</v>
      </c>
      <c r="C50" s="3234" t="s">
        <v>3217</v>
      </c>
      <c r="D50" s="3243" t="s">
        <v>3231</v>
      </c>
      <c r="E50" s="3234" t="s">
        <v>3219</v>
      </c>
      <c r="F50" s="3237">
        <v>175.17</v>
      </c>
      <c r="G50" s="3234" t="s">
        <v>3221</v>
      </c>
    </row>
    <row r="51" spans="2:7" ht="14.25">
      <c r="B51" s="3235">
        <v>20</v>
      </c>
      <c r="C51" s="3234" t="s">
        <v>3217</v>
      </c>
      <c r="D51" s="3243" t="s">
        <v>3236</v>
      </c>
      <c r="E51" s="3234" t="s">
        <v>3219</v>
      </c>
      <c r="F51" s="3237">
        <v>293.42</v>
      </c>
      <c r="G51" s="3234" t="s">
        <v>3221</v>
      </c>
    </row>
    <row r="52" spans="2:7" ht="14.25">
      <c r="B52" s="3235">
        <v>21</v>
      </c>
      <c r="C52" s="3234" t="s">
        <v>3217</v>
      </c>
      <c r="D52" s="3243" t="s">
        <v>3237</v>
      </c>
      <c r="E52" s="3234" t="s">
        <v>3219</v>
      </c>
      <c r="F52" s="3237">
        <v>158.28</v>
      </c>
      <c r="G52" s="3234" t="s">
        <v>3221</v>
      </c>
    </row>
    <row r="53" spans="2:7">
      <c r="B53" s="3681" t="s">
        <v>3222</v>
      </c>
      <c r="C53" s="3682"/>
      <c r="D53" s="3682"/>
      <c r="E53" s="3683"/>
      <c r="F53" s="3238">
        <f>SUM(F32:F52)</f>
        <v>6192.79</v>
      </c>
      <c r="G53" s="3233" t="s">
        <v>3223</v>
      </c>
    </row>
  </sheetData>
  <sortState xmlns:xlrd2="http://schemas.microsoft.com/office/spreadsheetml/2017/richdata2" ref="B2:G54">
    <sortCondition ref="B2:B54"/>
  </sortState>
  <mergeCells count="2">
    <mergeCell ref="B53:E53"/>
    <mergeCell ref="B23:E23"/>
  </mergeCells>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44820</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2813</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92D050"/>
  </sheetPr>
  <dimension ref="A1:L38"/>
  <sheetViews>
    <sheetView zoomScale="110" zoomScaleNormal="110" workbookViewId="0">
      <selection activeCell="D31" sqref="D31"/>
    </sheetView>
  </sheetViews>
  <sheetFormatPr defaultColWidth="9.5" defaultRowHeight="10.5"/>
  <cols>
    <col min="1" max="1" width="5.125" style="3271" customWidth="1"/>
    <col min="2" max="2" width="8.5" style="3271" customWidth="1"/>
    <col min="3" max="3" width="6.125" style="3271" customWidth="1"/>
    <col min="4" max="4" width="21.5" style="3271" customWidth="1"/>
    <col min="5" max="6" width="9.5" style="3271"/>
    <col min="7" max="7" width="7.875" style="3271" customWidth="1"/>
    <col min="8" max="8" width="9.25" style="3271" customWidth="1"/>
    <col min="9" max="9" width="14.125" style="3271" customWidth="1"/>
    <col min="10" max="10" width="20" style="3271" customWidth="1"/>
    <col min="11" max="11" width="18.625" style="3271" customWidth="1"/>
    <col min="12" max="16384" width="9.5" style="3271"/>
  </cols>
  <sheetData>
    <row r="1" spans="1:12" ht="11.25">
      <c r="A1" s="3685" t="s">
        <v>3288</v>
      </c>
      <c r="B1" s="3686"/>
      <c r="C1" s="3686"/>
      <c r="D1" s="3686"/>
      <c r="E1" s="3686"/>
      <c r="F1" s="3686"/>
      <c r="G1" s="3686"/>
      <c r="H1" s="3686"/>
    </row>
    <row r="2" spans="1:12" ht="31.5">
      <c r="A2" s="3272" t="s">
        <v>3289</v>
      </c>
      <c r="B2" s="3272" t="s">
        <v>3290</v>
      </c>
      <c r="C2" s="3272" t="s">
        <v>3291</v>
      </c>
      <c r="D2" s="3273" t="s">
        <v>3292</v>
      </c>
      <c r="E2" s="3272" t="s">
        <v>3293</v>
      </c>
      <c r="F2" s="3274" t="s">
        <v>3294</v>
      </c>
      <c r="G2" s="3274" t="s">
        <v>3295</v>
      </c>
      <c r="H2" s="3275" t="s">
        <v>3296</v>
      </c>
      <c r="I2" s="3276" t="s">
        <v>3297</v>
      </c>
      <c r="J2" s="3273" t="s">
        <v>3298</v>
      </c>
      <c r="K2" s="3273" t="s">
        <v>3299</v>
      </c>
    </row>
    <row r="3" spans="1:12">
      <c r="A3" s="3277">
        <v>1</v>
      </c>
      <c r="B3" s="3278" t="s">
        <v>3300</v>
      </c>
      <c r="C3" s="3278" t="s">
        <v>27</v>
      </c>
      <c r="D3" s="3278" t="s">
        <v>3301</v>
      </c>
      <c r="E3" s="3278" t="s">
        <v>3302</v>
      </c>
      <c r="F3" s="3279">
        <v>37.1</v>
      </c>
      <c r="G3" s="3280">
        <v>109000</v>
      </c>
      <c r="H3" s="3281">
        <v>33940</v>
      </c>
      <c r="I3" s="3282" t="s">
        <v>3303</v>
      </c>
      <c r="J3" s="3282" t="s">
        <v>3304</v>
      </c>
      <c r="K3" s="3282" t="s">
        <v>3305</v>
      </c>
    </row>
    <row r="4" spans="1:12">
      <c r="A4" s="3283">
        <v>2</v>
      </c>
      <c r="B4" s="3284" t="s">
        <v>3300</v>
      </c>
      <c r="C4" s="3284" t="s">
        <v>6</v>
      </c>
      <c r="D4" s="3284" t="s">
        <v>3306</v>
      </c>
      <c r="E4" s="3284" t="s">
        <v>3307</v>
      </c>
      <c r="F4" s="3285">
        <v>28</v>
      </c>
      <c r="G4" s="3286">
        <v>114200</v>
      </c>
      <c r="H4" s="3287">
        <v>24518</v>
      </c>
      <c r="I4" s="3288" t="s">
        <v>3303</v>
      </c>
      <c r="J4" s="3288" t="s">
        <v>3308</v>
      </c>
      <c r="K4" s="3288" t="s">
        <v>3309</v>
      </c>
    </row>
    <row r="5" spans="1:12">
      <c r="A5" s="3277">
        <v>3</v>
      </c>
      <c r="B5" s="3278" t="s">
        <v>3300</v>
      </c>
      <c r="C5" s="3278" t="s">
        <v>3310</v>
      </c>
      <c r="D5" s="3278" t="s">
        <v>3311</v>
      </c>
      <c r="E5" s="3278" t="s">
        <v>3312</v>
      </c>
      <c r="F5" s="3289">
        <v>20.48</v>
      </c>
      <c r="G5" s="3280">
        <v>37923</v>
      </c>
      <c r="H5" s="3281">
        <v>54004</v>
      </c>
      <c r="I5" s="3282" t="s">
        <v>3303</v>
      </c>
      <c r="J5" s="3282" t="s">
        <v>3313</v>
      </c>
      <c r="K5" s="3282" t="s">
        <v>3314</v>
      </c>
    </row>
    <row r="6" spans="1:12">
      <c r="A6" s="3283">
        <v>4</v>
      </c>
      <c r="B6" s="3284" t="s">
        <v>3300</v>
      </c>
      <c r="C6" s="3284" t="s">
        <v>3315</v>
      </c>
      <c r="D6" s="3290" t="s">
        <v>3316</v>
      </c>
      <c r="E6" s="3284" t="s">
        <v>3317</v>
      </c>
      <c r="F6" s="3285">
        <v>13</v>
      </c>
      <c r="G6" s="3286">
        <v>48000</v>
      </c>
      <c r="H6" s="3287">
        <v>27083</v>
      </c>
      <c r="I6" s="3288" t="s">
        <v>3318</v>
      </c>
      <c r="J6" s="3288" t="s">
        <v>3319</v>
      </c>
      <c r="K6" s="3288" t="s">
        <v>3320</v>
      </c>
    </row>
    <row r="7" spans="1:12">
      <c r="A7" s="3277">
        <v>5</v>
      </c>
      <c r="B7" s="3278" t="s">
        <v>3300</v>
      </c>
      <c r="C7" s="3278" t="s">
        <v>27</v>
      </c>
      <c r="D7" s="3278" t="s">
        <v>3321</v>
      </c>
      <c r="E7" s="3278" t="s">
        <v>3322</v>
      </c>
      <c r="F7" s="3289">
        <v>10.84</v>
      </c>
      <c r="G7" s="3280">
        <v>24252</v>
      </c>
      <c r="H7" s="3291">
        <v>44697</v>
      </c>
      <c r="I7" s="3282" t="s">
        <v>3318</v>
      </c>
      <c r="J7" s="3282" t="s">
        <v>3323</v>
      </c>
      <c r="K7" s="3282" t="s">
        <v>3324</v>
      </c>
    </row>
    <row r="8" spans="1:12">
      <c r="A8" s="3283">
        <v>6</v>
      </c>
      <c r="B8" s="3284" t="s">
        <v>3325</v>
      </c>
      <c r="C8" s="3284" t="s">
        <v>27</v>
      </c>
      <c r="D8" s="3284" t="s">
        <v>3326</v>
      </c>
      <c r="E8" s="3284" t="s">
        <v>3307</v>
      </c>
      <c r="F8" s="3292">
        <v>26.5</v>
      </c>
      <c r="G8" s="3286">
        <v>35940</v>
      </c>
      <c r="H8" s="3287">
        <v>73734</v>
      </c>
      <c r="I8" s="3288" t="s">
        <v>3303</v>
      </c>
      <c r="J8" s="3288" t="s">
        <v>3327</v>
      </c>
      <c r="K8" s="3288" t="s">
        <v>3328</v>
      </c>
    </row>
    <row r="9" spans="1:12" s="3299" customFormat="1" ht="21">
      <c r="A9" s="3293">
        <v>7</v>
      </c>
      <c r="B9" s="3294" t="s">
        <v>3325</v>
      </c>
      <c r="C9" s="3294" t="s">
        <v>27</v>
      </c>
      <c r="D9" s="3294" t="s">
        <v>3329</v>
      </c>
      <c r="E9" s="3294" t="s">
        <v>3312</v>
      </c>
      <c r="F9" s="3295">
        <v>24</v>
      </c>
      <c r="G9" s="3296">
        <v>52838</v>
      </c>
      <c r="H9" s="3297">
        <v>56777</v>
      </c>
      <c r="I9" s="3298" t="s">
        <v>3303</v>
      </c>
      <c r="J9" s="3298" t="s">
        <v>3330</v>
      </c>
      <c r="K9" s="3298" t="s">
        <v>3331</v>
      </c>
      <c r="L9" s="3299">
        <f>H9/0.8</f>
        <v>70971.25</v>
      </c>
    </row>
    <row r="10" spans="1:12">
      <c r="A10" s="3283">
        <v>8</v>
      </c>
      <c r="B10" s="3284" t="s">
        <v>3325</v>
      </c>
      <c r="C10" s="3284" t="s">
        <v>3332</v>
      </c>
      <c r="D10" s="3284" t="s">
        <v>3333</v>
      </c>
      <c r="E10" s="3284" t="s">
        <v>3307</v>
      </c>
      <c r="F10" s="3300">
        <v>25.64</v>
      </c>
      <c r="G10" s="3301"/>
      <c r="H10" s="3302"/>
      <c r="I10" s="3288" t="s">
        <v>3303</v>
      </c>
      <c r="J10" s="3288" t="s">
        <v>3334</v>
      </c>
      <c r="K10" s="3288" t="s">
        <v>3335</v>
      </c>
    </row>
    <row r="11" spans="1:12">
      <c r="A11" s="3277">
        <v>9</v>
      </c>
      <c r="B11" s="3278" t="s">
        <v>3336</v>
      </c>
      <c r="C11" s="3278" t="s">
        <v>27</v>
      </c>
      <c r="D11" s="3278" t="s">
        <v>3337</v>
      </c>
      <c r="E11" s="3278" t="s">
        <v>3307</v>
      </c>
      <c r="F11" s="3279">
        <v>8.5</v>
      </c>
      <c r="G11" s="3303">
        <v>15776</v>
      </c>
      <c r="H11" s="3291">
        <v>53879</v>
      </c>
      <c r="I11" s="3282" t="s">
        <v>3303</v>
      </c>
      <c r="J11" s="3282" t="s">
        <v>3338</v>
      </c>
      <c r="K11" s="3282" t="s">
        <v>3339</v>
      </c>
    </row>
    <row r="12" spans="1:12">
      <c r="A12" s="3283">
        <v>10</v>
      </c>
      <c r="B12" s="3284" t="s">
        <v>3336</v>
      </c>
      <c r="C12" s="3284" t="s">
        <v>27</v>
      </c>
      <c r="D12" s="3304" t="s">
        <v>3340</v>
      </c>
      <c r="E12" s="3284" t="s">
        <v>3341</v>
      </c>
      <c r="F12" s="3300">
        <v>15.05</v>
      </c>
      <c r="G12" s="3305">
        <v>24205</v>
      </c>
      <c r="H12" s="3287">
        <v>62177</v>
      </c>
      <c r="I12" s="3288" t="s">
        <v>3318</v>
      </c>
      <c r="J12" s="3288" t="s">
        <v>3342</v>
      </c>
      <c r="K12" s="3288" t="s">
        <v>3343</v>
      </c>
    </row>
    <row r="13" spans="1:12" s="3299" customFormat="1">
      <c r="A13" s="3293">
        <v>11</v>
      </c>
      <c r="B13" s="3294" t="s">
        <v>3336</v>
      </c>
      <c r="C13" s="3294" t="s">
        <v>27</v>
      </c>
      <c r="D13" s="3294" t="s">
        <v>3344</v>
      </c>
      <c r="E13" s="3294" t="s">
        <v>3312</v>
      </c>
      <c r="F13" s="3306">
        <v>3.66</v>
      </c>
      <c r="G13" s="3296">
        <v>6938</v>
      </c>
      <c r="H13" s="3297">
        <v>52757</v>
      </c>
      <c r="I13" s="3298" t="s">
        <v>3303</v>
      </c>
      <c r="J13" s="3298" t="s">
        <v>3345</v>
      </c>
      <c r="K13" s="3298" t="s">
        <v>3346</v>
      </c>
    </row>
    <row r="14" spans="1:12">
      <c r="A14" s="3283">
        <v>12</v>
      </c>
      <c r="B14" s="3284" t="s">
        <v>3347</v>
      </c>
      <c r="C14" s="3284" t="s">
        <v>3315</v>
      </c>
      <c r="D14" s="3284" t="s">
        <v>3348</v>
      </c>
      <c r="E14" s="3284" t="s">
        <v>3307</v>
      </c>
      <c r="F14" s="3285">
        <v>6</v>
      </c>
      <c r="G14" s="3305">
        <v>15000</v>
      </c>
      <c r="H14" s="3307">
        <v>40000</v>
      </c>
      <c r="I14" s="3288" t="s">
        <v>3303</v>
      </c>
      <c r="J14" s="3288" t="s">
        <v>3349</v>
      </c>
      <c r="K14" s="3288" t="s">
        <v>3350</v>
      </c>
    </row>
    <row r="15" spans="1:12">
      <c r="A15" s="3277">
        <v>13</v>
      </c>
      <c r="B15" s="3278" t="s">
        <v>3347</v>
      </c>
      <c r="C15" s="3278" t="s">
        <v>27</v>
      </c>
      <c r="D15" s="3278" t="s">
        <v>3351</v>
      </c>
      <c r="E15" s="3278" t="s">
        <v>3317</v>
      </c>
      <c r="F15" s="3289">
        <v>16.739999999999998</v>
      </c>
      <c r="G15" s="3303">
        <v>28829</v>
      </c>
      <c r="H15" s="3291">
        <v>58077</v>
      </c>
      <c r="I15" s="3282" t="s">
        <v>3318</v>
      </c>
      <c r="J15" s="3282" t="s">
        <v>3352</v>
      </c>
      <c r="K15" s="3282" t="s">
        <v>3353</v>
      </c>
    </row>
    <row r="16" spans="1:12">
      <c r="A16" s="3283">
        <v>14</v>
      </c>
      <c r="B16" s="3284" t="s">
        <v>3347</v>
      </c>
      <c r="C16" s="3284" t="s">
        <v>3315</v>
      </c>
      <c r="D16" s="3284" t="s">
        <v>3354</v>
      </c>
      <c r="E16" s="3284" t="s">
        <v>3302</v>
      </c>
      <c r="F16" s="3292">
        <v>7.2</v>
      </c>
      <c r="G16" s="3305">
        <v>41900</v>
      </c>
      <c r="H16" s="3307">
        <v>17184</v>
      </c>
      <c r="I16" s="3288" t="s">
        <v>3318</v>
      </c>
      <c r="J16" s="3288" t="s">
        <v>3355</v>
      </c>
      <c r="K16" s="3288" t="s">
        <v>3356</v>
      </c>
    </row>
    <row r="17" spans="1:11">
      <c r="A17" s="3277">
        <v>15</v>
      </c>
      <c r="B17" s="3278" t="s">
        <v>3357</v>
      </c>
      <c r="C17" s="3278" t="s">
        <v>27</v>
      </c>
      <c r="D17" s="3278" t="s">
        <v>3358</v>
      </c>
      <c r="E17" s="3278" t="s">
        <v>3307</v>
      </c>
      <c r="F17" s="3289">
        <v>5.61</v>
      </c>
      <c r="G17" s="3303">
        <v>11645</v>
      </c>
      <c r="H17" s="3291">
        <v>48158</v>
      </c>
      <c r="I17" s="3282" t="s">
        <v>3318</v>
      </c>
      <c r="J17" s="3282" t="s">
        <v>3359</v>
      </c>
      <c r="K17" s="3282" t="s">
        <v>3360</v>
      </c>
    </row>
    <row r="18" spans="1:11">
      <c r="A18" s="3308">
        <v>16</v>
      </c>
      <c r="B18" s="3309" t="s">
        <v>3357</v>
      </c>
      <c r="C18" s="3309" t="s">
        <v>27</v>
      </c>
      <c r="D18" s="3309" t="s">
        <v>3361</v>
      </c>
      <c r="E18" s="3309" t="s">
        <v>3312</v>
      </c>
      <c r="F18" s="3310">
        <v>90.6</v>
      </c>
      <c r="G18" s="3311">
        <v>107627</v>
      </c>
      <c r="H18" s="3307">
        <v>84180</v>
      </c>
      <c r="I18" s="3312" t="s">
        <v>3303</v>
      </c>
      <c r="J18" s="3312" t="s">
        <v>3362</v>
      </c>
      <c r="K18" s="3312" t="s">
        <v>3363</v>
      </c>
    </row>
    <row r="19" spans="1:11">
      <c r="A19" s="3277">
        <v>17</v>
      </c>
      <c r="B19" s="3278" t="s">
        <v>3357</v>
      </c>
      <c r="C19" s="3278" t="s">
        <v>3332</v>
      </c>
      <c r="D19" s="3278" t="s">
        <v>3364</v>
      </c>
      <c r="E19" s="3278" t="s">
        <v>3322</v>
      </c>
      <c r="F19" s="3313">
        <v>40</v>
      </c>
      <c r="G19" s="3303">
        <v>100030</v>
      </c>
      <c r="H19" s="3291">
        <v>40000</v>
      </c>
      <c r="I19" s="3282" t="s">
        <v>3365</v>
      </c>
      <c r="J19" s="3282" t="s">
        <v>3366</v>
      </c>
      <c r="K19" s="3282" t="s">
        <v>3367</v>
      </c>
    </row>
    <row r="20" spans="1:11">
      <c r="A20" s="3283">
        <v>18</v>
      </c>
      <c r="B20" s="3284" t="s">
        <v>3368</v>
      </c>
      <c r="C20" s="3284" t="s">
        <v>3369</v>
      </c>
      <c r="D20" s="3284" t="s">
        <v>3370</v>
      </c>
      <c r="E20" s="3284" t="s">
        <v>3341</v>
      </c>
      <c r="F20" s="3292">
        <v>43.3</v>
      </c>
      <c r="G20" s="3305">
        <v>110996</v>
      </c>
      <c r="H20" s="3307">
        <v>55732</v>
      </c>
      <c r="I20" s="3288" t="s">
        <v>3371</v>
      </c>
      <c r="J20" s="3288" t="s">
        <v>3372</v>
      </c>
      <c r="K20" s="3288" t="s">
        <v>3373</v>
      </c>
    </row>
    <row r="21" spans="1:11">
      <c r="A21" s="3277">
        <v>19</v>
      </c>
      <c r="B21" s="3278" t="s">
        <v>3374</v>
      </c>
      <c r="C21" s="3278" t="s">
        <v>3332</v>
      </c>
      <c r="D21" s="3294" t="s">
        <v>3375</v>
      </c>
      <c r="E21" s="3278" t="s">
        <v>3312</v>
      </c>
      <c r="F21" s="3289">
        <v>16.45</v>
      </c>
      <c r="G21" s="3303">
        <v>41197</v>
      </c>
      <c r="H21" s="3291">
        <v>39930</v>
      </c>
      <c r="I21" s="3282" t="s">
        <v>3318</v>
      </c>
      <c r="J21" s="3282" t="s">
        <v>3376</v>
      </c>
      <c r="K21" s="3314" t="s">
        <v>3377</v>
      </c>
    </row>
    <row r="22" spans="1:11">
      <c r="A22" s="3283">
        <v>20</v>
      </c>
      <c r="B22" s="3284" t="s">
        <v>3374</v>
      </c>
      <c r="C22" s="3284" t="s">
        <v>27</v>
      </c>
      <c r="D22" s="3284" t="s">
        <v>3378</v>
      </c>
      <c r="E22" s="3284" t="s">
        <v>3379</v>
      </c>
      <c r="F22" s="3300">
        <v>20</v>
      </c>
      <c r="G22" s="3305">
        <v>49000</v>
      </c>
      <c r="H22" s="3307">
        <v>40816</v>
      </c>
      <c r="I22" s="3288" t="s">
        <v>3318</v>
      </c>
      <c r="J22" s="3288" t="s">
        <v>3380</v>
      </c>
      <c r="K22" s="3288" t="s">
        <v>3381</v>
      </c>
    </row>
    <row r="23" spans="1:11" ht="21">
      <c r="A23" s="3277">
        <v>21</v>
      </c>
      <c r="B23" s="3278" t="s">
        <v>3374</v>
      </c>
      <c r="C23" s="3315" t="s">
        <v>3382</v>
      </c>
      <c r="D23" s="3278" t="s">
        <v>3383</v>
      </c>
      <c r="E23" s="3278" t="s">
        <v>3384</v>
      </c>
      <c r="F23" s="3289">
        <v>6.55</v>
      </c>
      <c r="G23" s="3303">
        <v>37002</v>
      </c>
      <c r="H23" s="3291">
        <v>17702</v>
      </c>
      <c r="I23" s="3282" t="s">
        <v>3303</v>
      </c>
      <c r="J23" s="3282" t="s">
        <v>3385</v>
      </c>
      <c r="K23" s="3282" t="s">
        <v>3386</v>
      </c>
    </row>
    <row r="24" spans="1:11">
      <c r="A24" s="3283">
        <v>22</v>
      </c>
      <c r="B24" s="3284" t="s">
        <v>3374</v>
      </c>
      <c r="C24" s="3284" t="s">
        <v>27</v>
      </c>
      <c r="D24" s="3284" t="s">
        <v>3387</v>
      </c>
      <c r="E24" s="3284" t="s">
        <v>3384</v>
      </c>
      <c r="F24" s="3300">
        <v>8.67</v>
      </c>
      <c r="G24" s="3305">
        <v>38464</v>
      </c>
      <c r="H24" s="3307">
        <v>22547</v>
      </c>
      <c r="I24" s="3288" t="s">
        <v>3318</v>
      </c>
      <c r="J24" s="3288" t="s">
        <v>3388</v>
      </c>
      <c r="K24" s="3288" t="s">
        <v>3389</v>
      </c>
    </row>
    <row r="25" spans="1:11">
      <c r="A25" s="3277">
        <v>23</v>
      </c>
      <c r="B25" s="3278" t="s">
        <v>3374</v>
      </c>
      <c r="C25" s="3278" t="s">
        <v>27</v>
      </c>
      <c r="D25" s="3278" t="s">
        <v>3390</v>
      </c>
      <c r="E25" s="3278" t="s">
        <v>3391</v>
      </c>
      <c r="F25" s="3289">
        <v>8.75</v>
      </c>
      <c r="G25" s="3303">
        <v>45240</v>
      </c>
      <c r="H25" s="3291">
        <v>19343</v>
      </c>
      <c r="I25" s="3282" t="s">
        <v>3318</v>
      </c>
      <c r="J25" s="3282" t="s">
        <v>3392</v>
      </c>
      <c r="K25" s="3282" t="s">
        <v>3393</v>
      </c>
    </row>
    <row r="26" spans="1:11">
      <c r="A26" s="3283">
        <v>24</v>
      </c>
      <c r="B26" s="3284" t="s">
        <v>3374</v>
      </c>
      <c r="C26" s="3284" t="s">
        <v>27</v>
      </c>
      <c r="D26" s="3284" t="s">
        <v>3394</v>
      </c>
      <c r="E26" s="3284" t="s">
        <v>3302</v>
      </c>
      <c r="F26" s="3300">
        <v>2.97</v>
      </c>
      <c r="G26" s="3305">
        <v>3507</v>
      </c>
      <c r="H26" s="3307">
        <v>84688</v>
      </c>
      <c r="I26" s="3288" t="s">
        <v>3318</v>
      </c>
      <c r="J26" s="3288" t="s">
        <v>3395</v>
      </c>
      <c r="K26" s="3288" t="s">
        <v>3396</v>
      </c>
    </row>
    <row r="27" spans="1:11">
      <c r="A27" s="3277">
        <v>25</v>
      </c>
      <c r="B27" s="3278" t="s">
        <v>3397</v>
      </c>
      <c r="C27" s="3278" t="s">
        <v>27</v>
      </c>
      <c r="D27" s="3278" t="s">
        <v>3398</v>
      </c>
      <c r="E27" s="3278" t="s">
        <v>3302</v>
      </c>
      <c r="F27" s="3289">
        <v>16.440000000000001</v>
      </c>
      <c r="G27" s="3303">
        <v>66158</v>
      </c>
      <c r="H27" s="3291">
        <v>24847</v>
      </c>
      <c r="I27" s="3282" t="s">
        <v>3318</v>
      </c>
      <c r="J27" s="3282" t="s">
        <v>3399</v>
      </c>
      <c r="K27" s="3282" t="s">
        <v>3400</v>
      </c>
    </row>
    <row r="28" spans="1:11">
      <c r="A28" s="3283">
        <v>26</v>
      </c>
      <c r="B28" s="3284" t="s">
        <v>3397</v>
      </c>
      <c r="C28" s="3284" t="s">
        <v>27</v>
      </c>
      <c r="D28" s="3284" t="s">
        <v>3401</v>
      </c>
      <c r="E28" s="3284" t="s">
        <v>3307</v>
      </c>
      <c r="F28" s="3300">
        <v>3.08</v>
      </c>
      <c r="G28" s="3305">
        <v>11951</v>
      </c>
      <c r="H28" s="3307">
        <v>25751</v>
      </c>
      <c r="I28" s="3288" t="s">
        <v>3318</v>
      </c>
      <c r="J28" s="3288" t="s">
        <v>3402</v>
      </c>
      <c r="K28" s="3288" t="s">
        <v>3403</v>
      </c>
    </row>
    <row r="29" spans="1:11">
      <c r="A29" s="3277">
        <v>27</v>
      </c>
      <c r="B29" s="3278" t="s">
        <v>3404</v>
      </c>
      <c r="C29" s="3278" t="s">
        <v>6</v>
      </c>
      <c r="D29" s="3278" t="s">
        <v>3405</v>
      </c>
      <c r="E29" s="3278" t="s">
        <v>3379</v>
      </c>
      <c r="F29" s="3289">
        <v>1.7</v>
      </c>
      <c r="G29" s="3303">
        <v>5382</v>
      </c>
      <c r="H29" s="3291">
        <v>31587</v>
      </c>
      <c r="I29" s="3282" t="s">
        <v>3318</v>
      </c>
      <c r="J29" s="3282" t="s">
        <v>3406</v>
      </c>
      <c r="K29" s="3282" t="s">
        <v>3407</v>
      </c>
    </row>
    <row r="30" spans="1:11" ht="21">
      <c r="A30" s="3283">
        <v>28</v>
      </c>
      <c r="B30" s="3284" t="s">
        <v>3404</v>
      </c>
      <c r="C30" s="3284" t="s">
        <v>6</v>
      </c>
      <c r="D30" s="3290" t="s">
        <v>3408</v>
      </c>
      <c r="E30" s="3284" t="s">
        <v>3409</v>
      </c>
      <c r="F30" s="3300">
        <v>10.5</v>
      </c>
      <c r="G30" s="3305">
        <v>9671</v>
      </c>
      <c r="H30" s="3307">
        <v>108567</v>
      </c>
      <c r="I30" s="3288" t="s">
        <v>3303</v>
      </c>
      <c r="J30" s="3288" t="s">
        <v>3410</v>
      </c>
      <c r="K30" s="3288" t="s">
        <v>3411</v>
      </c>
    </row>
    <row r="31" spans="1:11">
      <c r="A31" s="3316">
        <v>29</v>
      </c>
      <c r="B31" s="3317" t="s">
        <v>3404</v>
      </c>
      <c r="C31" s="3317" t="s">
        <v>27</v>
      </c>
      <c r="D31" s="3317" t="s">
        <v>3412</v>
      </c>
      <c r="E31" s="3317" t="s">
        <v>3413</v>
      </c>
      <c r="F31" s="3318">
        <v>15.75</v>
      </c>
      <c r="G31" s="3319">
        <v>27765</v>
      </c>
      <c r="H31" s="3320">
        <v>56726</v>
      </c>
      <c r="I31" s="3321" t="s">
        <v>3303</v>
      </c>
      <c r="J31" s="3321" t="s">
        <v>3414</v>
      </c>
      <c r="K31" s="3321" t="s">
        <v>3415</v>
      </c>
    </row>
    <row r="32" spans="1:11">
      <c r="A32" s="3322"/>
      <c r="B32" s="3322"/>
      <c r="C32" s="3322"/>
      <c r="D32" s="3322"/>
      <c r="E32" s="3322"/>
      <c r="F32" s="3323">
        <f>SUM(F3:F31)</f>
        <v>533.08000000000004</v>
      </c>
      <c r="G32" s="3324">
        <f>SUM(G3:G31)</f>
        <v>1220436</v>
      </c>
      <c r="H32" s="3323">
        <f>F32*10000/G32</f>
        <v>4.367947192642629</v>
      </c>
      <c r="I32" s="3322"/>
      <c r="J32" s="3322"/>
      <c r="K32" s="3322"/>
    </row>
    <row r="33" spans="3:8">
      <c r="C33" s="3325" t="s">
        <v>27</v>
      </c>
      <c r="D33" s="3326">
        <v>17</v>
      </c>
      <c r="F33" s="3327"/>
      <c r="G33" s="3327"/>
      <c r="H33" s="3327"/>
    </row>
    <row r="34" spans="3:8">
      <c r="C34" s="3325" t="s">
        <v>3332</v>
      </c>
      <c r="D34" s="3326">
        <v>3</v>
      </c>
      <c r="F34" s="3327"/>
      <c r="G34" s="3327"/>
      <c r="H34" s="3327"/>
    </row>
    <row r="35" spans="3:8">
      <c r="C35" s="3325" t="s">
        <v>3315</v>
      </c>
      <c r="D35" s="3326">
        <v>3</v>
      </c>
      <c r="F35" s="3327"/>
      <c r="G35" s="3327"/>
      <c r="H35" s="3327"/>
    </row>
    <row r="36" spans="3:8">
      <c r="C36" s="3325" t="s">
        <v>3310</v>
      </c>
      <c r="D36" s="3326">
        <v>2</v>
      </c>
      <c r="F36" s="3327"/>
      <c r="G36" s="3327"/>
      <c r="H36" s="3327"/>
    </row>
    <row r="37" spans="3:8">
      <c r="C37" s="3325" t="s">
        <v>6</v>
      </c>
      <c r="D37" s="3326">
        <v>3</v>
      </c>
      <c r="F37" s="3327"/>
      <c r="G37" s="3327"/>
      <c r="H37" s="3327"/>
    </row>
    <row r="38" spans="3:8">
      <c r="C38" s="3325" t="s">
        <v>3369</v>
      </c>
      <c r="D38" s="3326">
        <v>1</v>
      </c>
      <c r="F38" s="3327"/>
      <c r="G38" s="3327"/>
      <c r="H38" s="3327"/>
    </row>
  </sheetData>
  <mergeCells count="1">
    <mergeCell ref="A1:H1"/>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352" t="str">
        <f>IF(项目基本情况!B9="房地产市场价值","估价结果一览表","结果表-2")</f>
        <v>结果表-2</v>
      </c>
      <c r="B1" s="3352"/>
      <c r="C1" s="3352"/>
      <c r="D1" s="3352"/>
      <c r="E1" s="3352"/>
      <c r="F1" s="3352"/>
      <c r="G1" s="3352"/>
      <c r="H1" s="3352"/>
      <c r="I1" s="3352"/>
    </row>
    <row r="2" spans="1:9" ht="30" customHeight="1" thickTop="1">
      <c r="A2" s="3353" t="s">
        <v>1365</v>
      </c>
      <c r="B2" s="3353" t="s">
        <v>1366</v>
      </c>
      <c r="C2" s="3353" t="s">
        <v>1367</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spans="1:9" ht="15">
      <c r="A3" s="3347"/>
      <c r="B3" s="3347"/>
      <c r="C3" s="3347"/>
      <c r="D3" s="943" t="s">
        <v>1362</v>
      </c>
      <c r="E3" s="943" t="s">
        <v>1368</v>
      </c>
      <c r="F3" s="943" t="s">
        <v>1362</v>
      </c>
      <c r="G3" s="943" t="s">
        <v>1363</v>
      </c>
      <c r="H3" s="943" t="s">
        <v>1362</v>
      </c>
      <c r="I3" s="943" t="s">
        <v>1363</v>
      </c>
    </row>
    <row r="4" spans="1:9" ht="15">
      <c r="A4" s="1640" t="str">
        <f>项目基本情况!S2</f>
        <v>北京市房地产</v>
      </c>
      <c r="B4" s="943">
        <f>项目基本情况!C17</f>
        <v>6192.7899999999991</v>
      </c>
      <c r="C4" s="943">
        <f>项目基本情况!C18</f>
        <v>801.32</v>
      </c>
      <c r="D4" s="943" t="e">
        <f ca="1">结果表!D118</f>
        <v>#REF!</v>
      </c>
      <c r="E4" s="943" t="e">
        <f ca="1">结果表!E118</f>
        <v>#REF!</v>
      </c>
      <c r="F4" s="943" t="e">
        <f ca="1">结果表!F118</f>
        <v>#REF!</v>
      </c>
      <c r="G4" s="943" t="e">
        <f ca="1">结果表!G118</f>
        <v>#REF!</v>
      </c>
      <c r="H4" s="943" t="e">
        <f ca="1">结果表!H118</f>
        <v>#REF!</v>
      </c>
      <c r="I4" s="943" t="e">
        <f ca="1">结果表!I118</f>
        <v>#REF!</v>
      </c>
    </row>
    <row r="5" spans="1:9" ht="30" customHeight="1">
      <c r="A5" s="3347" t="s">
        <v>1364</v>
      </c>
      <c r="B5" s="3347"/>
      <c r="C5" s="3347"/>
      <c r="D5" s="3348" t="e">
        <f ca="1">结果表!D119</f>
        <v>#REF!</v>
      </c>
      <c r="E5" s="3348"/>
      <c r="F5" s="3348" t="e">
        <f ca="1">结果表!F119</f>
        <v>#REF!</v>
      </c>
      <c r="G5" s="3348"/>
      <c r="H5" s="3348" t="e">
        <f ca="1">结果表!H119</f>
        <v>#REF!</v>
      </c>
      <c r="I5" s="3348"/>
    </row>
    <row r="6" spans="1:9" ht="15.75">
      <c r="A6" s="3346" t="str">
        <f>结果表!A120</f>
        <v>估价师知悉的法定优先受偿款</v>
      </c>
      <c r="B6" s="3346"/>
      <c r="C6" s="3346"/>
      <c r="D6" s="3346">
        <f>结果表!D120</f>
        <v>0</v>
      </c>
      <c r="E6" s="3346"/>
      <c r="F6" s="3346"/>
      <c r="G6" s="3346"/>
      <c r="H6" s="3346"/>
      <c r="I6" s="3346"/>
    </row>
    <row r="7" spans="1:9" ht="15">
      <c r="A7" s="3347" t="s">
        <v>1364</v>
      </c>
      <c r="B7" s="3347"/>
      <c r="C7" s="3347"/>
      <c r="D7" s="3349" t="str">
        <f>结果表!D121</f>
        <v>零元整</v>
      </c>
      <c r="E7" s="3350"/>
      <c r="F7" s="3350"/>
      <c r="G7" s="3350"/>
      <c r="H7" s="3350"/>
      <c r="I7" s="3351"/>
    </row>
    <row r="8" spans="1:9" ht="15.75">
      <c r="A8" s="3346" t="str">
        <f>结果表!A122</f>
        <v>房地产抵押价值</v>
      </c>
      <c r="B8" s="3346"/>
      <c r="C8" s="3346"/>
      <c r="D8" s="3346" t="e">
        <f ca="1">结果表!D122</f>
        <v>#REF!</v>
      </c>
      <c r="E8" s="3346"/>
      <c r="F8" s="3346"/>
      <c r="G8" s="3346"/>
      <c r="H8" s="3346"/>
      <c r="I8" s="3346"/>
    </row>
    <row r="9" spans="1:9" ht="15">
      <c r="A9" s="3347" t="s">
        <v>1364</v>
      </c>
      <c r="B9" s="3347"/>
      <c r="C9" s="3347"/>
      <c r="D9" s="3348" t="e">
        <f ca="1">结果表!D123</f>
        <v>#REF!</v>
      </c>
      <c r="E9" s="3348"/>
      <c r="F9" s="3348"/>
      <c r="G9" s="3348"/>
      <c r="H9" s="3348"/>
      <c r="I9" s="3348"/>
    </row>
    <row r="10" spans="1:9" ht="15.75">
      <c r="A10" s="3346" t="str">
        <f>结果表!A124</f>
        <v/>
      </c>
      <c r="B10" s="3346"/>
      <c r="C10" s="3346"/>
      <c r="D10" s="3346" t="str">
        <f>结果表!D124</f>
        <v>——</v>
      </c>
      <c r="E10" s="3346"/>
      <c r="F10" s="3346"/>
      <c r="G10" s="3346"/>
      <c r="H10" s="3346"/>
      <c r="I10" s="3346"/>
    </row>
    <row r="11" spans="1:9" ht="15">
      <c r="A11" s="3347" t="s">
        <v>1364</v>
      </c>
      <c r="B11" s="3347"/>
      <c r="C11" s="3347"/>
      <c r="D11" s="3348" t="e">
        <f>结果表!D125</f>
        <v>#VALUE!</v>
      </c>
      <c r="E11" s="3348"/>
      <c r="F11" s="3348"/>
      <c r="G11" s="3348"/>
      <c r="H11" s="3348"/>
      <c r="I11" s="3348"/>
    </row>
    <row r="12" spans="1:9" ht="15.75">
      <c r="A12" s="3346" t="str">
        <f>结果表!A126</f>
        <v/>
      </c>
      <c r="B12" s="3346"/>
      <c r="C12" s="3346"/>
      <c r="D12" s="3346" t="str">
        <f>结果表!D126</f>
        <v>——</v>
      </c>
      <c r="E12" s="3346"/>
      <c r="F12" s="3346"/>
      <c r="G12" s="3346"/>
      <c r="H12" s="3346"/>
      <c r="I12" s="3346"/>
    </row>
    <row r="13" spans="1:9" ht="15.75" thickBot="1">
      <c r="A13" s="3343" t="s">
        <v>1364</v>
      </c>
      <c r="B13" s="3343"/>
      <c r="C13" s="3343"/>
      <c r="D13" s="3344" t="e">
        <f>结果表!D127</f>
        <v>#VALUE!</v>
      </c>
      <c r="E13" s="3344"/>
      <c r="F13" s="3344"/>
      <c r="G13" s="3344"/>
      <c r="H13" s="3344"/>
      <c r="I13" s="3344"/>
    </row>
    <row r="14" spans="1:9" ht="15" thickTop="1">
      <c r="A14" s="3345" t="s">
        <v>1369</v>
      </c>
      <c r="B14" s="3345"/>
      <c r="C14" s="3345"/>
      <c r="D14" s="3345"/>
      <c r="E14" s="3345"/>
      <c r="F14" s="3345"/>
      <c r="G14" s="3345"/>
      <c r="H14" s="3345"/>
      <c r="I14" s="3345"/>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60" t="s">
        <v>1386</v>
      </c>
      <c r="B1" s="3360"/>
      <c r="C1" s="3360"/>
      <c r="D1" s="3360"/>
    </row>
    <row r="2" spans="1:4" ht="18">
      <c r="A2" s="3361" t="s">
        <v>1370</v>
      </c>
      <c r="B2" s="3361"/>
      <c r="C2" s="3361"/>
      <c r="D2" s="3361"/>
    </row>
    <row r="3" spans="1:4" ht="18.75">
      <c r="A3" s="1644" t="s">
        <v>1371</v>
      </c>
      <c r="B3" s="1644" t="s">
        <v>1372</v>
      </c>
      <c r="C3" s="1644" t="s">
        <v>1373</v>
      </c>
      <c r="D3" s="1644" t="s">
        <v>1374</v>
      </c>
    </row>
    <row r="4" spans="1:4" ht="56.25" customHeight="1">
      <c r="A4" s="1645" t="str">
        <f>项目基本情况!B4</f>
        <v>陈颖</v>
      </c>
      <c r="B4" s="1646">
        <f ca="1">项目基本情况!C4</f>
        <v>1120060040</v>
      </c>
      <c r="C4" s="1647"/>
      <c r="D4" s="1648" t="s">
        <v>1375</v>
      </c>
    </row>
    <row r="5" spans="1:4" ht="56.25" customHeight="1">
      <c r="A5" s="1645">
        <f>项目基本情况!D4</f>
        <v>0</v>
      </c>
      <c r="B5" s="1646">
        <f>项目基本情况!E4</f>
        <v>0</v>
      </c>
      <c r="C5" s="1649"/>
      <c r="D5" s="1648" t="s">
        <v>1375</v>
      </c>
    </row>
    <row r="6" spans="1:4" ht="18">
      <c r="A6" s="3361" t="s">
        <v>1376</v>
      </c>
      <c r="B6" s="3361"/>
      <c r="C6" s="3361"/>
      <c r="D6" s="3361"/>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362" t="s">
        <v>1379</v>
      </c>
      <c r="B11" s="3354"/>
      <c r="C11" s="3354"/>
      <c r="D11" s="3354"/>
    </row>
    <row r="12" spans="1:4" ht="15.75">
      <c r="A12" s="33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59"/>
      <c r="C12" s="3359"/>
      <c r="D12" s="3359"/>
    </row>
    <row r="13" spans="1:4" ht="30" customHeight="1">
      <c r="A13" s="3354" t="str">
        <f>IF(项目基本情况!B8="抵押","3.抵押双方在办理抵押登记手续时，应使用本公司出具的正式《房地产评估报告》，特提醒报告使用者注意。","——")</f>
        <v>——</v>
      </c>
      <c r="B13" s="3359"/>
      <c r="C13" s="3359"/>
      <c r="D13" s="3359"/>
    </row>
    <row r="14" spans="1:4" ht="15.75" customHeight="1">
      <c r="A14" s="3354" t="str">
        <f>IF(项目基本情况!B8="抵押","4.本次评估估价师所知悉的法定优先受偿款情况说明如下：","——")</f>
        <v>——</v>
      </c>
      <c r="B14" s="3359"/>
      <c r="C14" s="3359"/>
      <c r="D14" s="3359"/>
    </row>
    <row r="15" spans="1:4" ht="42" customHeight="1">
      <c r="A15" s="3354" t="str">
        <f>IF(项目基本情况!B8="抵押","（1）"&amp;CONCATENATE(项目基本情况!L20,项目基本情况!L21,项目基本情况!L22),"——")</f>
        <v>——</v>
      </c>
      <c r="B15" s="3354"/>
      <c r="C15" s="3354"/>
      <c r="D15" s="3354"/>
    </row>
    <row r="16" spans="1:4" ht="30" customHeight="1">
      <c r="A16" s="3356" t="s">
        <v>1380</v>
      </c>
      <c r="B16" s="3356"/>
      <c r="C16" s="3356"/>
      <c r="D16" s="3356"/>
    </row>
    <row r="17" spans="1:4" ht="144" customHeight="1">
      <c r="A17" s="3356" t="s">
        <v>1381</v>
      </c>
      <c r="B17" s="3356"/>
      <c r="C17" s="3356"/>
      <c r="D17" s="3356"/>
    </row>
    <row r="18" spans="1:4" ht="15.75" customHeight="1">
      <c r="A18" s="3354" t="str">
        <f>IF(项目基本情况!B8="抵押",结果表!K120,"——")</f>
        <v>——</v>
      </c>
      <c r="B18" s="3354"/>
      <c r="C18" s="3354"/>
      <c r="D18" s="3354"/>
    </row>
    <row r="19" spans="1:4" ht="46.5" customHeight="1">
      <c r="A19" s="33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57.75" customHeight="1">
      <c r="A20" s="33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4"/>
      <c r="C20" s="3354"/>
      <c r="D20" s="3354"/>
    </row>
    <row r="21" spans="1:4" ht="57.75" customHeight="1">
      <c r="A21" s="33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7"/>
      <c r="C21" s="3357"/>
      <c r="D21" s="3357"/>
    </row>
    <row r="22" spans="1:4" ht="18.75" customHeight="1">
      <c r="A22" s="3358" t="s">
        <v>1382</v>
      </c>
      <c r="B22" s="3358"/>
      <c r="C22" s="3358"/>
      <c r="D22" s="3358"/>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355">
        <v>42551</v>
      </c>
      <c r="D31" s="33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68" t="s">
        <v>1393</v>
      </c>
      <c r="B15" s="3363" t="s">
        <v>136</v>
      </c>
      <c r="C15" s="3364"/>
    </row>
    <row r="16" spans="1:7" ht="13.5">
      <c r="A16" s="3369"/>
      <c r="B16" s="3363" t="s">
        <v>69</v>
      </c>
      <c r="C16" s="3364"/>
    </row>
    <row r="17" spans="1:3" ht="13.5">
      <c r="A17" s="3369"/>
      <c r="B17" s="3366" t="s">
        <v>1394</v>
      </c>
      <c r="C17" s="1667" t="s">
        <v>1393</v>
      </c>
    </row>
    <row r="18" spans="1:3" ht="13.5">
      <c r="A18" s="3369"/>
      <c r="B18" s="3366"/>
      <c r="C18" s="1667" t="s">
        <v>1395</v>
      </c>
    </row>
    <row r="19" spans="1:3" ht="13.5">
      <c r="A19" s="3369"/>
      <c r="B19" s="3366"/>
      <c r="C19" s="1667" t="s">
        <v>1396</v>
      </c>
    </row>
    <row r="20" spans="1:3" ht="13.5">
      <c r="A20" s="3370"/>
      <c r="B20" s="3365" t="s">
        <v>1397</v>
      </c>
      <c r="C20" s="3364"/>
    </row>
    <row r="21" spans="1:3" ht="13.5">
      <c r="A21" s="1668" t="s">
        <v>1398</v>
      </c>
      <c r="B21" s="1669"/>
      <c r="C21" s="1670"/>
    </row>
    <row r="22" spans="1:3" ht="13.5">
      <c r="A22" s="3367" t="s">
        <v>1399</v>
      </c>
      <c r="B22" s="3365" t="s">
        <v>1400</v>
      </c>
      <c r="C22" s="3364"/>
    </row>
    <row r="23" spans="1:3" ht="13.5">
      <c r="A23" s="3367"/>
      <c r="B23" s="3365" t="s">
        <v>1401</v>
      </c>
      <c r="C23" s="3364"/>
    </row>
    <row r="24" spans="1:3" ht="13.5">
      <c r="A24" s="3367"/>
      <c r="B24" s="3365" t="s">
        <v>1402</v>
      </c>
      <c r="C24" s="3364"/>
    </row>
    <row r="25" spans="1:3" ht="13.5">
      <c r="A25" s="3367"/>
      <c r="B25" s="3366" t="s">
        <v>1403</v>
      </c>
      <c r="C25" s="1667" t="s">
        <v>1404</v>
      </c>
    </row>
    <row r="26" spans="1:3" ht="13.5">
      <c r="A26" s="3367"/>
      <c r="B26" s="3366"/>
      <c r="C26" s="1667" t="s">
        <v>1405</v>
      </c>
    </row>
    <row r="27" spans="1:3" ht="13.5">
      <c r="A27" s="3367"/>
      <c r="B27" s="3366"/>
      <c r="C27" s="1667" t="s">
        <v>1406</v>
      </c>
    </row>
    <row r="28" spans="1:3" ht="13.5">
      <c r="A28" s="3367"/>
      <c r="B28" s="3366"/>
      <c r="C28" s="1667" t="s">
        <v>1407</v>
      </c>
    </row>
    <row r="29" spans="1:3" ht="13.5">
      <c r="A29" s="3367"/>
      <c r="B29" s="3366"/>
      <c r="C29" s="1667" t="s">
        <v>1408</v>
      </c>
    </row>
    <row r="30" spans="1:3" ht="13.5">
      <c r="A30" s="3367"/>
      <c r="B30" s="3366"/>
      <c r="C30" s="1667" t="s">
        <v>1409</v>
      </c>
    </row>
    <row r="31" spans="1:3" ht="13.5">
      <c r="A31" s="3367"/>
      <c r="B31" s="3366"/>
      <c r="C31" s="1667" t="s">
        <v>1410</v>
      </c>
    </row>
    <row r="32" spans="1:3" ht="13.5">
      <c r="A32" s="3367"/>
      <c r="B32" s="3366"/>
      <c r="C32" s="1667" t="s">
        <v>1411</v>
      </c>
    </row>
    <row r="33" spans="1:3" ht="13.5">
      <c r="A33" s="3367"/>
      <c r="B33" s="3366"/>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44825</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f ca="1">IF(C4&lt;B2,"已过期",1119970066)</f>
        <v>1119970066</v>
      </c>
      <c r="C4" s="2518">
        <v>44876</v>
      </c>
      <c r="D4" s="2519" t="str">
        <f ca="1">A4&amp;"（注册号："&amp;B4&amp;"）"</f>
        <v>梁津（注册号：1119970066）</v>
      </c>
      <c r="E4" s="2520" t="s">
        <v>2649</v>
      </c>
      <c r="F4" s="1424">
        <f ca="1">IF(G4&lt;B2,"已过期",96010014)</f>
        <v>96010014</v>
      </c>
      <c r="G4" s="2521">
        <v>47118</v>
      </c>
      <c r="H4" s="2522" t="str">
        <f ca="1">E4&amp;"（注册号："&amp;F4&amp;"）"</f>
        <v>梁津（注册号：96010014）</v>
      </c>
    </row>
    <row r="5" spans="1:8" ht="24" customHeight="1">
      <c r="A5" s="1424" t="s">
        <v>2650</v>
      </c>
      <c r="B5" s="1424">
        <f ca="1">IF(C5&lt;B2,"已过期",1119970111)</f>
        <v>1119970111</v>
      </c>
      <c r="C5" s="2518">
        <v>44876</v>
      </c>
      <c r="D5" s="2519" t="str">
        <f t="shared" ref="D5:D15" ca="1" si="0">A5&amp;"（注册号："&amp;B5&amp;"）"</f>
        <v>叶凌（注册号：1119970111）</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f ca="1">IF(C7&lt;B2,"已过期",1120000080)</f>
        <v>1120000080</v>
      </c>
      <c r="C7" s="2518">
        <v>44876</v>
      </c>
      <c r="D7" s="2519" t="str">
        <f t="shared" ca="1" si="0"/>
        <v>欧红伟（注册号：1120000080）</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f ca="1">IF(C11&lt;B2,"已过期",1120070131)</f>
        <v>1120070131</v>
      </c>
      <c r="C11" s="2518">
        <v>44849</v>
      </c>
      <c r="D11" s="2519" t="str">
        <f t="shared" ca="1" si="0"/>
        <v>郑燚（注册号：1120070131）</v>
      </c>
      <c r="E11" s="2520" t="s">
        <v>2656</v>
      </c>
      <c r="F11" s="1424">
        <f ca="1">IF(G11&lt;B2,"已过期",2014110011)</f>
        <v>2014110011</v>
      </c>
      <c r="G11" s="2521">
        <v>49302</v>
      </c>
      <c r="H11" s="2522" t="str">
        <f t="shared" ca="1" si="1"/>
        <v>郑燚（注册号：2014110011）</v>
      </c>
    </row>
    <row r="12" spans="1:8" ht="24" customHeight="1">
      <c r="A12" s="1424" t="s">
        <v>2657</v>
      </c>
      <c r="B12" s="1424">
        <f ca="1">IF(C12&lt;B2,"已过期",1120040230)</f>
        <v>1120040230</v>
      </c>
      <c r="C12" s="2523">
        <v>44864</v>
      </c>
      <c r="D12" s="2519" t="str">
        <f t="shared" ca="1" si="0"/>
        <v>苏海（注册号：1120040230）</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2941</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71" t="s">
        <v>2661</v>
      </c>
      <c r="B17" s="3371"/>
      <c r="C17" s="3371"/>
      <c r="D17" s="3371"/>
      <c r="E17" s="3371"/>
      <c r="F17" s="3371"/>
      <c r="G17" s="3371"/>
      <c r="H17" s="3371"/>
    </row>
    <row r="18" spans="1:8" ht="24" customHeight="1">
      <c r="A18" s="3372" t="s">
        <v>2662</v>
      </c>
      <c r="B18" s="3372"/>
      <c r="C18" s="3372"/>
      <c r="D18" s="2516"/>
      <c r="E18" s="3373" t="s">
        <v>2663</v>
      </c>
      <c r="F18" s="3372"/>
      <c r="G18" s="3372"/>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2942</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比较法-办公大宗</vt:lpstr>
      <vt:lpstr>案例</vt:lpstr>
      <vt:lpstr>面积表</vt:lpstr>
      <vt:lpstr>存贷款利率</vt:lpstr>
      <vt:lpstr>Sheet2</vt:lpstr>
      <vt:lpstr>区片价（范围）</vt:lpstr>
      <vt:lpstr>'比较法-办公大宗'!Print_Area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2022-09-15T08:56:21Z</cp:lastPrinted>
  <dcterms:created xsi:type="dcterms:W3CDTF">2015-07-13T07:17:23Z</dcterms:created>
  <dcterms:modified xsi:type="dcterms:W3CDTF">2022-09-21T03:26:36Z</dcterms:modified>
</cp:coreProperties>
</file>