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5" i="43" l="1"/>
  <c r="G86" i="43"/>
  <c r="G87" i="43"/>
  <c r="G88" i="43"/>
  <c r="G89" i="43"/>
  <c r="G90" i="43"/>
  <c r="G91" i="43"/>
  <c r="G8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91" i="43"/>
  <c r="D70" i="43"/>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I24" i="43" s="1"/>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5" i="73"/>
  <c r="F38" i="67"/>
  <c r="F37" i="15"/>
  <c r="J15" i="15"/>
  <c r="D5" i="73"/>
  <c r="M29" i="15"/>
  <c r="F43" i="67"/>
  <c r="M28" i="15"/>
  <c r="F40" i="15"/>
  <c r="F41" i="15"/>
  <c r="D2" i="36"/>
  <c r="AO7" i="1"/>
  <c r="D34" i="9"/>
  <c r="AO12" i="1"/>
  <c r="L48" i="15"/>
  <c r="B11" i="76"/>
  <c r="M8" i="15"/>
  <c r="F13" i="67"/>
  <c r="C76" i="15"/>
  <c r="F42" i="15"/>
  <c r="E11" i="76"/>
  <c r="F40" i="67"/>
  <c r="AO11" i="1"/>
  <c r="F4" i="73"/>
  <c r="B9" i="76"/>
  <c r="M23" i="67"/>
  <c r="M22" i="15"/>
  <c r="E13" i="76"/>
  <c r="E12" i="76"/>
  <c r="F6" i="67"/>
  <c r="B13" i="76"/>
  <c r="M27" i="15"/>
  <c r="F38" i="15"/>
  <c r="F16" i="15"/>
  <c r="D20" i="9"/>
  <c r="F7" i="67"/>
  <c r="F8" i="15"/>
  <c r="D7" i="73"/>
  <c r="M6" i="67"/>
  <c r="F20" i="31"/>
  <c r="M23" i="15"/>
  <c r="M8" i="67"/>
  <c r="M6" i="15"/>
  <c r="E8" i="76"/>
  <c r="AO10" i="1"/>
  <c r="AO13" i="1"/>
  <c r="D2" i="37"/>
  <c r="F3" i="73"/>
  <c r="F13" i="15"/>
  <c r="M9" i="15"/>
  <c r="D2" i="34"/>
  <c r="E7" i="76"/>
  <c r="D12" i="52" l="1"/>
  <c r="D127" i="9"/>
  <c r="D13" i="52" s="1"/>
  <c r="C30" i="69"/>
  <c r="D85" i="43"/>
  <c r="D90" i="43"/>
  <c r="D86" i="43"/>
  <c r="D84" i="43"/>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15"/>
  <c r="C16" i="67"/>
  <c r="E84" i="43" l="1"/>
  <c r="B82" i="43" s="1"/>
  <c r="C28"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43" i="15" l="1"/>
  <c r="Q56" i="15"/>
  <c r="Q47" i="15"/>
  <c r="Q53" i="15" s="1"/>
  <c r="C80" i="15"/>
  <c r="C79" i="15" s="1"/>
  <c r="C83" i="15"/>
  <c r="C82" i="15" s="1"/>
  <c r="Q65" i="15"/>
  <c r="B2" i="15"/>
  <c r="B3" i="15" s="1"/>
  <c r="Q69" i="15"/>
  <c r="Q68" i="15" s="1"/>
  <c r="L57" i="15"/>
  <c r="L60" i="15" s="1"/>
  <c r="Q66" i="15" s="1"/>
  <c r="Q67"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Q75"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c r="F14" i="74"/>
  <c r="N61" i="9"/>
  <c r="N60" i="9"/>
  <c r="D53" i="9"/>
  <c r="D52" i="9"/>
  <c r="C105" i="9"/>
  <c r="I4" i="52"/>
  <c r="H4" i="52"/>
  <c r="C104" i="9"/>
  <c r="D6" i="74"/>
  <c r="C6" i="74"/>
  <c r="P57" i="9"/>
  <c r="N58" i="9"/>
  <c r="C5" i="74"/>
  <c r="D14" i="74"/>
  <c r="B5" i="74"/>
  <c r="D5" i="74"/>
  <c r="B6" i="74"/>
  <c r="G14" i="74"/>
  <c r="D8" i="52"/>
  <c r="M48" i="9"/>
  <c r="N59" i="9"/>
  <c r="B30" i="72"/>
  <c r="B20" i="72"/>
  <c r="B53" i="72"/>
  <c r="B49" i="72"/>
  <c r="B51" i="72"/>
  <c r="L68" i="9"/>
  <c r="M68" i="9"/>
  <c r="B47" i="72"/>
  <c r="B31" i="72"/>
  <c r="B48" i="72"/>
  <c r="L66" i="9"/>
  <c r="M66" i="9"/>
  <c r="B52" i="72"/>
  <c r="C81" i="9"/>
  <c r="E81" i="9"/>
  <c r="B21" i="72"/>
  <c r="C93" i="9"/>
  <c r="C86" i="9"/>
  <c r="L67" i="9"/>
  <c r="M67" i="9"/>
  <c r="N69" i="9"/>
  <c r="M55" i="9"/>
  <c r="F4" i="52"/>
  <c r="D4" i="52"/>
  <c r="E4" i="52"/>
  <c r="L65" i="9"/>
  <c r="M65" i="9"/>
  <c r="L64" i="9"/>
  <c r="M64" i="9"/>
  <c r="D59" i="9"/>
  <c r="G4" i="52"/>
  <c r="H108" i="9"/>
  <c r="D15" i="53"/>
  <c r="H102" i="9"/>
  <c r="D7" i="53"/>
  <c r="C96" i="9"/>
  <c r="E96" i="9"/>
  <c r="E97" i="9"/>
  <c r="D13" i="53"/>
  <c r="D14" i="53"/>
  <c r="B32" i="72"/>
  <c r="C64" i="9"/>
  <c r="C63" i="9"/>
  <c r="C67" i="9"/>
  <c r="C68" i="9"/>
  <c r="D54" i="9"/>
  <c r="C78" i="9"/>
  <c r="C73" i="9"/>
  <c r="D122" i="9"/>
  <c r="D123" i="9"/>
  <c r="D9" i="52"/>
  <c r="G118" i="9"/>
  <c r="F118" i="9"/>
  <c r="F119" i="9"/>
  <c r="F5" i="52"/>
  <c r="M54" i="9"/>
  <c r="C72" i="9"/>
  <c r="C79" i="9"/>
  <c r="C80" i="9"/>
  <c r="E80" i="9"/>
  <c r="D5" i="53"/>
  <c r="D6" i="53"/>
  <c r="B22" i="72"/>
  <c r="H107" i="9"/>
  <c r="M49" i="9"/>
  <c r="L63" i="9"/>
  <c r="M63" i="9"/>
  <c r="M69" i="9"/>
  <c r="D55" i="9"/>
  <c r="M53" i="9"/>
  <c r="N57" i="9"/>
  <c r="E118" i="9"/>
  <c r="D118" i="9"/>
  <c r="D119" i="9"/>
  <c r="D5" i="52"/>
  <c r="H119" i="9"/>
  <c r="H5" i="5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<sst xmlns="http://schemas.openxmlformats.org/spreadsheetml/2006/main" count="7727" uniqueCount="3113">
  <si>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</si>
  <si>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</si>
  <si>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</si>
  <si>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</si>
  <si>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</si>
  <si>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</si>
  <si>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</si>
  <si>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</si>
  <si>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</si>
  <si>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</si>
  <si>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</si>
  <si>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</si>
  <si>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</si>
  <si>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</si>
  <si>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</si>
  <si>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</si>
  <si>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</si>
  <si>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</si>
  <si>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</si>
  <si>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</si>
  <si>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</si>
  <si>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</si>
  <si>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</si>
  <si>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</si>
  <si>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</si>
  <si>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</si>
  <si>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</si>
  <si>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</si>
  <si>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</si>
  <si>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</si>
  <si>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</si>
  <si>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</si>
  <si>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</si>
  <si>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</si>
  <si>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</si>
  <si>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</si>
  <si>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</si>
  <si>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</si>
  <si>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</si>
  <si>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</si>
  <si>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</si>
  <si>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</si>
  <si>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</si>
  <si>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</si>
  <si>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</si>
  <si>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</si>
  <si>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</si>
  <si>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</si>
  <si>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</si>
  <si>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</si>
  <si>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</si>
  <si>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</si>
  <si>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</si>
  <si>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</si>
  <si>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</si>
  <si>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</si>
  <si>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</si>
  <si>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</si>
  <si>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</si>
  <si>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</si>
  <si>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</si>
  <si>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</si>
  <si>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</si>
  <si>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</si>
  <si>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</si>
  <si>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</si>
  <si>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</si>
  <si>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</si>
  <si>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</si>
  <si>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</si>
  <si>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</si>
  <si>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</si>
  <si>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</si>
  <si>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</si>
  <si>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</si>
  <si>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</si>
  <si>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</si>
  <si>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</si>
  <si>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</si>
  <si>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</si>
  <si>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</si>
  <si>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</si>
  <si>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</si>
  <si>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</si>
  <si>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</si>
  <si>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</si>
  <si>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</si>
  <si>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</si>
  <si>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</si>
  <si>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</si>
  <si>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</si>
  <si>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</si>
  <si>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</si>
  <si>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</si>
  <si>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</si>
  <si>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</si>
  <si>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</si>
  <si>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</si>
  <si>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</si>
  <si>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</si>
  <si>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</si>
  <si>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</si>
  <si>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</si>
  <si>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</si>
  <si>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</si>
  <si>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</si>
  <si>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</si>
  <si>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</si>
  <si>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</si>
  <si>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</si>
  <si>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</si>
  <si>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</si>
  <si>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</si>
  <si>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</si>
  <si>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</si>
  <si>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</si>
  <si>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</si>
  <si>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</si>
  <si>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</si>
  <si>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</si>
  <si>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</si>
  <si>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</si>
  <si>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</si>
  <si>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</si>
  <si>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</si>
  <si>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</si>
  <si>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</si>
  <si>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</si>
  <si>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</si>
  <si>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</si>
  <si>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</si>
  <si>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</si>
  <si>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</si>
  <si>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</si>
  <si>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</si>
  <si>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</si>
  <si>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</si>
  <si>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</si>
  <si>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</si>
  <si>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</si>
  <si>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</si>
  <si>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</si>
  <si>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</si>
  <si>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</si>
  <si>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</si>
  <si>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</si>
  <si>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</si>
  <si>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</si>
  <si>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</si>
  <si>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</si>
  <si>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</si>
  <si>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</si>
  <si>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</si>
  <si>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</si>
  <si>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</si>
  <si>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</si>
  <si>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</si>
  <si>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</si>
  <si>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</si>
  <si>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</si>
  <si>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</si>
  <si>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</si>
  <si>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</si>
  <si>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</si>
  <si>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</si>
  <si>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</si>
  <si>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</si>
  <si>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</si>
  <si>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</si>
  <si>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</si>
  <si>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</si>
  <si>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</si>
  <si>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</si>
  <si>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</si>
  <si>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</si>
  <si>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</si>
  <si>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</si>
  <si>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</si>
  <si>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</si>
  <si>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</si>
  <si>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</si>
  <si>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</si>
  <si>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</si>
  <si>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</si>
  <si>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</si>
  <si>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</si>
  <si>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</si>
  <si>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</si>
  <si>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</si>
  <si>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</si>
  <si>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</si>
  <si>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</si>
  <si>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</si>
  <si>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</si>
  <si>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</si>
  <si>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</si>
  <si>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</si>
  <si>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</si>
  <si>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</si>
  <si>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</si>
  <si>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</si>
  <si>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</si>
  <si>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</si>
  <si>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</si>
  <si>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</si>
  <si>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</si>
  <si>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</si>
  <si>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</si>
  <si>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</si>
  <si>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</si>
  <si>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</si>
  <si>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</si>
  <si>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</si>
  <si>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</si>
  <si>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</si>
  <si>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</si>
  <si>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</si>
  <si>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</si>
  <si>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</si>
  <si>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</si>
  <si>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</si>
  <si>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</si>
  <si>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</si>
  <si>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</si>
  <si>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</si>
  <si>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</si>
  <si>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</si>
  <si>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</si>
  <si>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</si>
  <si>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</si>
  <si>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</si>
  <si>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</si>
  <si>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</si>
  <si>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</si>
  <si>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</si>
  <si>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</si>
  <si>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</si>
  <si>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</si>
  <si>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</si>
  <si>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</si>
  <si>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</si>
  <si>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</si>
  <si>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</si>
  <si>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</si>
  <si>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</si>
  <si>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</si>
  <si>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</si>
  <si>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</si>
  <si>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</si>
  <si>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</si>
  <si>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</si>
  <si>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</si>
  <si>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</si>
  <si>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</si>
  <si>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</si>
  <si>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</si>
  <si>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</si>
  <si>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</si>
  <si>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</si>
  <si>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</si>
  <si>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</si>
  <si>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</si>
  <si>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</si>
  <si>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</si>
  <si>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</si>
  <si>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</si>
  <si>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</si>
  <si>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</si>
  <si>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</si>
  <si>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</si>
  <si>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</si>
  <si>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</si>
  <si>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</si>
  <si>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</si>
  <si>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</si>
  <si>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</si>
  <si>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</si>
  <si>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</si>
  <si>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</si>
  <si>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</si>
  <si>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</si>
  <si>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</si>
  <si>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</si>
  <si>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</si>
  <si>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</si>
  <si>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</si>
  <si>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</si>
  <si>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</si>
  <si>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</si>
  <si>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</si>
  <si>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</si>
  <si>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</si>
  <si>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</si>
  <si>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</si>
  <si>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</si>
  <si>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</si>
  <si>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</si>
  <si>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</si>
  <si>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</si>
  <si>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</si>
  <si>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</si>
  <si>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</si>
  <si>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</si>
  <si>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</si>
  <si>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</si>
  <si>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</si>
  <si>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</si>
  <si>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</si>
  <si>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</si>
  <si>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</si>
  <si>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</si>
  <si>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</si>
  <si>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</si>
  <si>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</si>
  <si>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</si>
  <si>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</si>
  <si>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</si>
  <si>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</si>
  <si>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</si>
  <si>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</si>
  <si>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</si>
  <si>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</si>
  <si>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</si>
  <si>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</si>
  <si>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</si>
  <si>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</si>
  <si>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</si>
  <si>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</si>
  <si>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</si>
  <si>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</si>
  <si>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</si>
  <si>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</si>
  <si>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</si>
  <si>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</si>
  <si>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</si>
  <si>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</si>
  <si>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</si>
  <si>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</si>
  <si>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</si>
  <si>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</si>
  <si>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</si>
  <si>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</si>
  <si>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</si>
  <si>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</si>
  <si>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</si>
  <si>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</si>
  <si>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</si>
  <si>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</si>
  <si>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</si>
  <si>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</si>
  <si>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</si>
  <si>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</si>
  <si>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</si>
  <si>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</si>
  <si>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</si>
  <si>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</si>
  <si>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</si>
  <si>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</si>
  <si>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</si>
  <si>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</si>
  <si>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</si>
  <si>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</si>
  <si>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</si>
  <si>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</si>
  <si>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</si>
  <si>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</si>
  <si>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</si>
  <si>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</si>
  <si>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</si>
  <si>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</si>
  <si>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</si>
  <si>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</si>
  <si>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</si>
  <si>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</si>
  <si>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</si>
  <si>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</si>
  <si>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</si>
  <si>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</si>
  <si>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</si>
  <si>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</si>
  <si>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</si>
  <si>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</si>
  <si>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</si>
  <si>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</si>
  <si>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</si>
  <si>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</si>
  <si>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</si>
  <si>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</si>
  <si>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</si>
  <si>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</si>
  <si>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</si>
  <si>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</si>
  <si>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</si>
  <si>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</si>
  <si>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</si>
  <si>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</si>
  <si>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</si>
  <si>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</si>
  <si>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</si>
  <si>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</si>
  <si>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</si>
  <si>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</si>
  <si>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</si>
  <si>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</si>
  <si>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</si>
  <si>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</si>
  <si>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</si>
  <si>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</si>
  <si>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</si>
  <si>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</si>
  <si>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</si>
  <si>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</si>
  <si>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</si>
  <si>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</si>
  <si>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</si>
  <si>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</si>
  <si>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</si>
  <si>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</si>
  <si>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</si>
  <si>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</si>
  <si>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</si>
  <si>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</si>
  <si>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</si>
  <si>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</si>
  <si>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</si>
  <si>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</si>
  <si>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</si>
  <si>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</si>
  <si>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</si>
  <si>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</si>
  <si>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</si>
  <si>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</si>
  <si>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</si>
  <si>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</si>
  <si>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</si>
  <si>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</si>
  <si>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</si>
  <si>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</si>
  <si>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</si>
  <si>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</si>
  <si>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</si>
  <si>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</si>
  <si>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</si>
  <si>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</si>
  <si>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</si>
  <si>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</si>
  <si>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</si>
  <si>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</si>
  <si>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</si>
  <si>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</si>
  <si>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</si>
  <si>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</si>
  <si>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</si>
  <si>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</si>
  <si>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</si>
  <si>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</si>
  <si>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</si>
  <si>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</si>
  <si>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</si>
  <si>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</si>
  <si>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</si>
  <si>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</si>
  <si>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</si>
  <si>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</si>
  <si>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</si>
  <si>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</si>
  <si>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</si>
  <si>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</si>
  <si>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</si>
  <si>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</si>
  <si>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</si>
  <si>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</si>
  <si>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</si>
  <si>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</si>
  <si>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</si>
  <si>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</si>
  <si>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</si>
  <si>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</si>
  <si>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</si>
  <si>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</si>
  <si>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</si>
  <si>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</si>
  <si>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</si>
  <si>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</si>
  <si>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</si>
  <si>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</si>
  <si>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</si>
  <si>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</si>
  <si>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</si>
  <si>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</si>
  <si>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</si>
  <si>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</si>
  <si>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</si>
  <si>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</si>
  <si>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</si>
  <si>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</si>
  <si>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</si>
  <si>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</si>
  <si>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</si>
  <si>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</si>
  <si>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</si>
  <si>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</si>
  <si>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</si>
  <si>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</si>
  <si>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</si>
  <si>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</si>
  <si>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</si>
  <si>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</si>
  <si>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</si>
  <si>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</si>
  <si>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</si>
  <si>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</si>
  <si>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</si>
  <si>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</si>
  <si>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</si>
  <si>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</si>
  <si>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</si>
  <si>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</si>
  <si>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</si>
  <si>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</si>
  <si>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</si>
  <si>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</si>
  <si>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</si>
  <si>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</si>
  <si>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</si>
  <si>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</si>
  <si>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</si>
  <si>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</si>
  <si>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</si>
  <si>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</si>
  <si>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</si>
  <si>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</si>
  <si>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</si>
  <si>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</si>
  <si>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</si>
  <si>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</si>
  <si>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</si>
  <si>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</si>
  <si>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</si>
  <si>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</si>
  <si>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</si>
  <si>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</si>
  <si>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</si>
  <si>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</si>
  <si>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</si>
  <si>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</si>
  <si>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</si>
  <si>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</si>
  <si>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</si>
  <si>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</si>
  <si>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</si>
  <si>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</si>
  <si>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</si>
  <si>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</si>
  <si>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</si>
  <si>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</si>
  <si>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</si>
  <si>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</si>
  <si>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</si>
  <si>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</si>
  <si>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</si>
  <si>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</si>
  <si>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</si>
  <si>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</si>
  <si>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</si>
  <si>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</si>
  <si>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</si>
  <si>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</si>
  <si>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</si>
  <si>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</si>
  <si>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</si>
  <si>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</si>
  <si>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</si>
  <si>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</si>
  <si>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</si>
  <si>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</si>
  <si>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</si>
  <si>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</si>
  <si>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</si>
  <si>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</si>
  <si>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</si>
  <si>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</si>
  <si>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</si>
  <si>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</si>
  <si>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</si>
  <si>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</si>
  <si>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</si>
  <si>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</si>
  <si>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</si>
  <si>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</si>
  <si>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</si>
  <si>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</si>
  <si>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</si>
  <si>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</si>
  <si>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</si>
  <si>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</si>
  <si>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</si>
  <si>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</si>
  <si>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</si>
  <si>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</si>
  <si>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</si>
  <si>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</si>
  <si>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</si>
  <si>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</si>
  <si>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</si>
  <si>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</si>
  <si>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</si>
  <si>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</si>
  <si>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</si>
  <si>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</si>
  <si>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</si>
  <si>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</si>
  <si>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</si>
  <si>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</si>
  <si>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</si>
  <si>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</si>
  <si>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</si>
  <si>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</si>
  <si>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</si>
  <si>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</si>
  <si>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</si>
  <si>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</si>
  <si>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</si>
  <si>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</si>
  <si>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</si>
  <si>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</si>
  <si>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</si>
  <si>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</si>
  <si>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</si>
  <si>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</si>
  <si>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</si>
  <si>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</si>
  <si>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</si>
  <si>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</si>
  <si>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</si>
  <si>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</si>
  <si>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</si>
  <si>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</si>
  <si>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</si>
  <si>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</si>
  <si>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</si>
  <si>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</si>
  <si>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</si>
  <si>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</si>
  <si>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</si>
  <si>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</si>
  <si>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</si>
  <si>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</si>
  <si>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</si>
  <si>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</si>
  <si>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</si>
  <si>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</si>
  <si>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</si>
  <si>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</si>
  <si>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</si>
  <si>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</si>
  <si>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</si>
  <si>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</si>
  <si>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</si>
  <si>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</si>
  <si>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</si>
  <si>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</si>
  <si>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</si>
  <si>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</si>
  <si>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</si>
  <si>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</si>
  <si>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</si>
  <si>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</si>
  <si>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</si>
  <si>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</si>
  <si>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</si>
  <si>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</si>
  <si>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</si>
  <si>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</si>
  <si>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</si>
  <si>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</si>
  <si>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</si>
  <si>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</si>
  <si>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</si>
  <si>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</si>
  <si>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</si>
  <si>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</si>
  <si>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</si>
  <si>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</si>
  <si>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</si>
  <si>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</si>
  <si>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</si>
  <si>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</si>
  <si>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</si>
  <si>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</si>
  <si>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</si>
  <si>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</si>
  <si>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</si>
  <si>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</si>
  <si>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</si>
  <si>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</si>
  <si>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</si>
  <si>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</si>
  <si>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</si>
  <si>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</si>
  <si>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</si>
  <si>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</si>
  <si>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</si>
  <si>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</si>
  <si>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</si>
  <si>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</si>
  <si>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</si>
  <si>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</si>
  <si>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</si>
  <si>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</si>
  <si>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</si>
  <si>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</si>
  <si>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</si>
  <si>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</si>
  <si>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</si>
  <si>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</si>
  <si>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</si>
  <si>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</si>
  <si>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</si>
  <si>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</si>
  <si>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</si>
  <si>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</si>
  <si>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</si>
  <si>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</si>
  <si>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</si>
  <si>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</si>
  <si>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</si>
  <si>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</si>
  <si>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</si>
  <si>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</si>
  <si>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</si>
  <si>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</si>
  <si>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</si>
  <si>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</si>
  <si>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</si>
  <si>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</si>
  <si>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</si>
  <si>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</si>
  <si>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</si>
  <si>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</si>
  <si>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</si>
  <si>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</si>
  <si>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</si>
  <si>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</si>
  <si>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</si>
  <si>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</si>
  <si>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</si>
  <si>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</si>
  <si>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</si>
  <si>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</si>
  <si>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</si>
  <si>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</si>
  <si>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</si>
  <si>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</si>
  <si>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</si>
  <si>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</si>
  <si>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</si>
  <si>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</si>
  <si>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</si>
  <si>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</si>
  <si>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</si>
  <si>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</si>
  <si>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</si>
  <si>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</si>
  <si>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</si>
  <si>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</si>
  <si>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</si>
  <si>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</si>
  <si>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</si>
  <si>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</si>
  <si>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</si>
  <si>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</si>
  <si>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</si>
  <si>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</si>
  <si>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</si>
  <si>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</si>
  <si>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</si>
  <si>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</si>
  <si>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</si>
  <si>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</si>
  <si>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</si>
  <si>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</si>
  <si>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</si>
  <si>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</si>
  <si>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</si>
  <si>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</si>
  <si>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</si>
  <si>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</si>
  <si>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</si>
  <si>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</si>
  <si>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</si>
  <si>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</si>
  <si>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</si>
  <si>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</si>
  <si>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</si>
  <si>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</si>
  <si>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</si>
  <si>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</si>
  <si>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</si>
  <si>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</si>
  <si>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</si>
  <si>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</si>
  <si>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</si>
  <si>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</si>
  <si>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</si>
  <si>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</si>
  <si>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</si>
  <si>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</si>
  <si>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</si>
  <si>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</si>
  <si>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</si>
  <si>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</si>
  <si>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</si>
  <si>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</si>
  <si>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</si>
  <si>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</si>
  <si>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</si>
  <si>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</si>
  <si>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</si>
  <si>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</si>
  <si>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</si>
  <si>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</si>
  <si>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</si>
  <si>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</si>
  <si>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</si>
  <si>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</si>
  <si>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</si>
  <si>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</si>
  <si>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</si>
  <si>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</si>
  <si>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</si>
  <si>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</si>
  <si>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</si>
  <si>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</si>
  <si>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</si>
  <si>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</si>
  <si>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</si>
  <si>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</si>
  <si>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</si>
  <si>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</si>
  <si>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</si>
  <si>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</si>
  <si>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</si>
  <si>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</si>
  <si>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</si>
  <si>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</si>
  <si>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</si>
  <si>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</si>
  <si>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</si>
  <si>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</si>
  <si>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</si>
  <si>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</si>
  <si>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</si>
  <si>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</si>
  <si>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</si>
  <si>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</si>
  <si>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</si>
  <si>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</si>
  <si>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</si>
  <si>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</si>
  <si>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</si>
  <si>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</si>
  <si>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</si>
  <si>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</si>
  <si>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</si>
  <si>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</si>
  <si>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</si>
  <si>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</si>
  <si>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</si>
  <si>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</si>
  <si>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</si>
  <si>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</si>
  <si>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</si>
  <si>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</si>
  <si>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</si>
  <si>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</si>
  <si>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</si>
  <si>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</si>
  <si>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</si>
  <si>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</si>
  <si>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</si>
  <si>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</si>
  <si>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</si>
  <si>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</si>
  <si>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</si>
  <si>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</si>
  <si>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</si>
  <si>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</si>
  <si>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</si>
  <si>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</si>
  <si>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</si>
  <si>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</si>
  <si>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</si>
  <si>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</si>
  <si>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</si>
  <si>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</si>
  <si>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</si>
  <si>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</si>
  <si>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</si>
  <si>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</si>
  <si>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</si>
  <si>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</si>
  <si>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</si>
  <si>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</si>
  <si>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</si>
  <si>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</si>
  <si>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</si>
  <si>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</si>
  <si>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</si>
  <si>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</si>
  <si>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</si>
  <si>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</si>
  <si>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</si>
  <si>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</si>
  <si>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</si>
  <si>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</si>
  <si>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</si>
  <si>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</si>
  <si>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</si>
  <si>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</si>
  <si>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</si>
  <si>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</si>
  <si>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</si>
  <si>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</si>
  <si>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</si>
  <si>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</si>
  <si>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</si>
  <si>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</si>
  <si>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</si>
  <si>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</si>
  <si>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</si>
  <si>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</si>
  <si>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</si>
  <si>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</si>
  <si>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</si>
  <si>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</si>
  <si>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</si>
  <si>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</si>
  <si>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</si>
  <si>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</si>
  <si>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</si>
  <si>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</si>
  <si>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</si>
  <si>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</si>
  <si>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</si>
  <si>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</si>
  <si>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</si>
  <si>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</si>
  <si>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</si>
  <si>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</si>
  <si>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</si>
  <si>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</si>
  <si>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</si>
  <si>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</si>
  <si>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</si>
  <si>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</si>
  <si>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</si>
  <si>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</si>
  <si>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</si>
  <si>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</si>
  <si>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</si>
  <si>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</si>
  <si>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</si>
  <si>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</si>
  <si>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</si>
  <si>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</si>
  <si>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</si>
  <si>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</si>
  <si>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</si>
  <si>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</si>
  <si>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</si>
  <si>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</si>
  <si>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</si>
  <si>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</si>
  <si>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</si>
  <si>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</si>
  <si>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</si>
  <si>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</si>
  <si>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</si>
  <si>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</si>
  <si>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</si>
  <si>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</si>
  <si>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</si>
  <si>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</si>
  <si>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</si>
  <si>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</si>
  <si>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</si>
  <si>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</si>
  <si>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</si>
  <si>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</si>
  <si>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</si>
  <si>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</si>
  <si>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</si>
  <si>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</si>
  <si>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</si>
  <si>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</si>
  <si>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</si>
  <si>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</si>
  <si>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</si>
  <si>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</si>
  <si>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</si>
  <si>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</si>
  <si>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</si>
  <si>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</si>
  <si>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</si>
  <si>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</si>
  <si>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</si>
  <si>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</si>
  <si>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</si>
  <si>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</si>
  <si>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</si>
  <si>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</si>
  <si>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</si>
  <si>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</si>
  <si>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</si>
  <si>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</si>
  <si>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</si>
  <si>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</si>
  <si>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</si>
  <si>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</si>
  <si>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</si>
  <si>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</si>
  <si>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</si>
  <si>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</si>
  <si>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</si>
  <si>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</si>
  <si>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</si>
  <si>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</si>
  <si>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</si>
  <si>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</si>
  <si>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</si>
  <si>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</si>
  <si>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</si>
  <si>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</si>
  <si>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</si>
  <si>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</si>
  <si>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</si>
  <si>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</si>
  <si>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</si>
  <si>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</si>
  <si>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</si>
  <si>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</si>
  <si>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</si>
  <si>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</si>
  <si>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</si>
  <si>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</si>
  <si>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</si>
  <si>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</si>
  <si>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</si>
  <si>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</si>
  <si>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</si>
  <si>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</si>
  <si>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</si>
  <si>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</si>
  <si>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</si>
  <si>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</si>
  <si>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</si>
  <si>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</si>
  <si>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</si>
  <si>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</si>
  <si>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</si>
  <si>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</si>
  <si>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</si>
  <si>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</si>
  <si>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</si>
  <si>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</si>
  <si>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</si>
  <si>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</si>
  <si>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</si>
  <si>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</si>
  <si>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</si>
  <si>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</si>
  <si>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</si>
  <si>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</si>
  <si>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</si>
  <si>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</si>
  <si>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</si>
  <si>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</si>
  <si>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</si>
  <si>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</si>
  <si>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</si>
  <si>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</si>
  <si>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</si>
  <si>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</si>
  <si>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</si>
  <si>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</si>
  <si>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</si>
  <si>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</si>
  <si>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</si>
  <si>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</si>
  <si>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</si>
  <si>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</si>
  <si>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</si>
  <si>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</si>
  <si>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</si>
  <si>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</si>
  <si>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</si>
  <si>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</si>
  <si>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</si>
  <si>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</si>
  <si>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</si>
  <si>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</si>
  <si>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</si>
  <si>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</si>
  <si>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</si>
  <si>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</si>
  <si>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</si>
  <si>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</si>
  <si>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</si>
  <si>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</si>
  <si>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</si>
  <si>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</si>
  <si>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</si>
  <si>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</si>
  <si>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</si>
  <si>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</si>
  <si>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</si>
  <si>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</si>
  <si>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</si>
  <si>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</si>
  <si>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</si>
  <si>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</si>
  <si>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</si>
  <si>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</si>
  <si>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</si>
  <si>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</si>
  <si>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</si>
  <si>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</si>
  <si>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</si>
  <si>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</si>
  <si>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</si>
  <si>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</si>
  <si>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</si>
  <si>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</si>
  <si>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</si>
  <si>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</si>
  <si>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</si>
  <si>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</si>
  <si>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</si>
  <si>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</si>
  <si>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</si>
  <si>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</si>
  <si>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</si>
  <si>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</si>
  <si>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</si>
  <si>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</si>
  <si>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</si>
  <si>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</si>
  <si>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</si>
  <si>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</si>
  <si>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</si>
  <si>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</si>
  <si>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</si>
  <si>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</si>
  <si>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</si>
  <si>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</si>
  <si>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</si>
  <si>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</si>
  <si>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</si>
  <si>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</si>
  <si>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</si>
  <si>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</si>
  <si>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</si>
  <si>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</si>
  <si>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</si>
  <si>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</si>
  <si>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</si>
  <si>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</si>
  <si>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</si>
  <si>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</si>
  <si>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</si>
  <si>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</si>
  <si>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</si>
  <si>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</si>
  <si>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</si>
  <si>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</si>
  <si>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</si>
  <si>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</si>
  <si>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</si>
  <si>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</si>
  <si>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</si>
  <si>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</si>
  <si>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</si>
  <si>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</si>
  <si>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</si>
  <si>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</si>
  <si>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</si>
  <si>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</si>
  <si>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</si>
  <si>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</si>
  <si>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</si>
  <si>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</si>
  <si>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</si>
  <si>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</si>
  <si>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</si>
  <si>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</si>
  <si>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</si>
  <si>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</si>
  <si>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</si>
  <si>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</si>
  <si>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</si>
  <si>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</si>
  <si>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</si>
  <si>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</si>
  <si>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</si>
  <si>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</si>
  <si>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</si>
  <si>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</si>
  <si>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</si>
  <si>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</si>
  <si>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</si>
  <si>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</si>
  <si>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</si>
  <si>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</si>
  <si>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</si>
  <si>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</si>
  <si>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</si>
  <si>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</si>
  <si>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</si>
  <si>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</si>
  <si>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</si>
  <si>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</si>
  <si>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</si>
  <si>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</si>
  <si>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</si>
  <si>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</si>
  <si>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</si>
  <si>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</si>
  <si>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</si>
  <si>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</si>
  <si>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</si>
  <si>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</si>
  <si>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</si>
  <si>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</si>
  <si>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</si>
  <si>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</si>
  <si>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</si>
  <si>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</si>
  <si>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</si>
  <si>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</si>
  <si>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</si>
  <si>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</si>
  <si>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</si>
  <si>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</si>
  <si>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</si>
  <si>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</si>
  <si>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</si>
  <si>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</si>
  <si>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</si>
  <si>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</si>
  <si>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</si>
  <si>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</si>
  <si>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</si>
  <si>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</si>
  <si>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</si>
  <si>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</si>
  <si>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</si>
  <si>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</si>
  <si>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</si>
  <si>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</si>
  <si>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</si>
  <si>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</si>
  <si>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</si>
  <si>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</si>
  <si>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</si>
  <si>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</si>
  <si>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</si>
  <si>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</si>
  <si>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</si>
  <si>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</si>
  <si>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</si>
  <si>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</si>
  <si>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</si>
  <si>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</si>
  <si>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</si>
  <si>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</si>
  <si>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</si>
  <si>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</si>
  <si>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</si>
  <si>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</si>
  <si>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</si>
  <si>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</si>
  <si>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</si>
  <si>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</si>
  <si>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</si>
  <si>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</si>
  <si>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</si>
  <si>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</si>
  <si>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</si>
  <si>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</si>
  <si>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</si>
  <si>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</si>
  <si>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</si>
  <si>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</si>
  <si>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</si>
  <si>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</si>
  <si>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</si>
  <si>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</si>
  <si>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</si>
  <si>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</si>
  <si>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</si>
  <si>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</si>
  <si>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</si>
  <si>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</si>
  <si>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</si>
  <si>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</si>
  <si>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</si>
  <si>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</si>
  <si>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</si>
  <si>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</si>
  <si>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</si>
  <si>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</si>
  <si>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</si>
  <si>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</si>
  <si>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</si>
  <si>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</si>
  <si>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</si>
  <si>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</si>
  <si>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</si>
  <si>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</si>
  <si>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</si>
  <si>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</si>
  <si>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</si>
  <si>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</si>
  <si>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</si>
  <si>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</si>
  <si>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</si>
  <si>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</si>
  <si>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</si>
  <si>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</si>
  <si>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</si>
  <si>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</si>
  <si>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</si>
  <si>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</si>
  <si>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</si>
  <si>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</si>
  <si>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</si>
  <si>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</si>
  <si>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</si>
  <si>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</si>
  <si>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</si>
  <si>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</si>
  <si>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</si>
  <si>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</si>
  <si>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</si>
  <si>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</si>
  <si>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</si>
  <si>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</si>
  <si>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</si>
  <si>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</si>
  <si>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</si>
  <si>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</si>
  <si>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</si>
  <si>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</si>
  <si>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</si>
  <si>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</si>
  <si>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</si>
  <si>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</si>
  <si>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</si>
  <si>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</si>
  <si>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</si>
  <si>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</si>
  <si>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</si>
  <si>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</si>
  <si>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</si>
  <si>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</si>
  <si>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</si>
  <si>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</si>
  <si>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</si>
  <si>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</si>
  <si>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</si>
  <si>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</si>
  <si>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</si>
  <si>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</si>
  <si>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</si>
  <si>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</si>
  <si>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</si>
  <si>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</si>
  <si>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</si>
  <si>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</si>
  <si>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</si>
  <si>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</si>
  <si>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</si>
  <si>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</si>
  <si>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</si>
  <si>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</si>
  <si>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</si>
  <si>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</si>
  <si>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</si>
  <si>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</si>
  <si>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</si>
  <si>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</si>
  <si>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</si>
  <si>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</si>
  <si>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</si>
  <si>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</si>
  <si>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</si>
  <si>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</si>
  <si>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</si>
  <si>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</si>
  <si>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</si>
  <si>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</si>
  <si>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</si>
  <si>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</si>
  <si>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</si>
  <si>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</si>
  <si>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</si>
  <si>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</si>
  <si>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</si>
  <si>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</si>
  <si>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</si>
  <si>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</si>
  <si>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</si>
  <si>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</si>
  <si>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</si>
  <si>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</si>
  <si>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</si>
  <si>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</si>
  <si>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</si>
  <si>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</si>
  <si>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</si>
  <si>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</si>
  <si>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</si>
  <si>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</si>
  <si>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</si>
  <si>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</si>
  <si>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</si>
  <si>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</si>
  <si>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</si>
  <si>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</si>
  <si>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</si>
  <si>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</si>
  <si>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</si>
  <si>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</si>
  <si>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</si>
  <si>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</si>
  <si>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</si>
  <si>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</si>
  <si>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</si>
  <si>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</si>
  <si>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</si>
  <si>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</si>
  <si>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</si>
  <si>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</si>
  <si>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</si>
  <si>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</si>
  <si>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</si>
  <si>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</si>
  <si>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</si>
  <si>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</si>
  <si>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</si>
  <si>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</si>
  <si>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</si>
  <si>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</si>
  <si>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</si>
  <si>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</si>
  <si>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</si>
  <si>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</si>
  <si>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</si>
  <si>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</si>
  <si>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</si>
  <si>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</si>
  <si>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</si>
  <si>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</si>
  <si>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</si>
  <si>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</si>
  <si>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</si>
  <si>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</si>
  <si>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</si>
  <si>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</si>
  <si>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</si>
  <si>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</si>
  <si>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</si>
  <si>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</si>
  <si>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</si>
  <si>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</si>
  <si>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</si>
  <si>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</si>
  <si>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</si>
  <si>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</si>
  <si>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</si>
  <si>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</si>
  <si>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</si>
  <si>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</si>
  <si>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</si>
  <si>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</si>
  <si>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</si>
  <si>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</si>
  <si>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</si>
  <si>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</si>
  <si>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</si>
  <si>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</si>
  <si>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</si>
  <si>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</si>
  <si>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</si>
  <si>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</si>
  <si>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</si>
  <si>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</si>
  <si>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</si>
  <si>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</si>
  <si>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</si>
  <si>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</si>
  <si>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</si>
  <si>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</si>
  <si>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</si>
  <si>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</si>
  <si>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</si>
  <si>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</si>
  <si>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</si>
  <si>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</si>
  <si>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</si>
  <si>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</si>
  <si>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</si>
  <si>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</si>
  <si>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</si>
  <si>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</si>
  <si>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</si>
  <si>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</si>
  <si>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</si>
  <si>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</si>
  <si>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</si>
  <si>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</si>
  <si>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</si>
  <si>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</si>
  <si>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</si>
  <si>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</si>
  <si>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</si>
  <si>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</si>
  <si>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</si>
  <si>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</si>
  <si>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</si>
  <si>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</si>
  <si>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</si>
  <si>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</si>
  <si>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</si>
  <si>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</si>
  <si>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</si>
  <si>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</si>
  <si>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</si>
  <si>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</si>
  <si>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</si>
  <si>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</si>
  <si>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</si>
  <si>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</si>
  <si>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</si>
  <si>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</si>
  <si>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</si>
  <si>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</si>
  <si>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</si>
  <si>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</si>
  <si>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</si>
  <si>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</si>
  <si>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</si>
  <si>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</si>
  <si>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</si>
  <si>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</si>
  <si>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</si>
  <si>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</si>
  <si>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</si>
  <si>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</si>
  <si>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</si>
  <si>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</si>
  <si>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</si>
  <si>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</si>
  <si>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</si>
  <si>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</si>
  <si>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</si>
  <si>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</si>
  <si>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</si>
  <si>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</si>
  <si>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</si>
  <si>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</si>
  <si>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</si>
  <si>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</si>
  <si>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</si>
  <si>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</si>
  <si>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</si>
  <si>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</si>
  <si>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</si>
  <si>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</si>
  <si>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</si>
  <si>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</si>
  <si>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</si>
  <si>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</si>
  <si>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</si>
  <si>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</si>
  <si>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</si>
  <si>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</si>
  <si>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</si>
  <si>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</si>
  <si>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</si>
  <si>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</si>
  <si>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</si>
  <si>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</si>
  <si>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</si>
  <si>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</si>
  <si>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</si>
  <si>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</si>
  <si>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</si>
  <si>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</si>
  <si>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</si>
  <si>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</si>
  <si>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</si>
  <si>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</si>
  <si>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</si>
  <si>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</si>
  <si>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</si>
  <si>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</si>
  <si>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</si>
  <si>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</si>
  <si>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</si>
  <si>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</si>
  <si>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</si>
  <si>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</si>
  <si>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</si>
  <si>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</si>
  <si>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</si>
  <si>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</si>
  <si>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</si>
  <si>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</si>
  <si>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</si>
  <si>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</si>
  <si>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</si>
  <si>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</si>
  <si>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</si>
  <si>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</si>
  <si>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</si>
  <si>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</si>
  <si>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</si>
  <si>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</si>
  <si>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</si>
  <si>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</si>
  <si>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</si>
  <si>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</si>
  <si>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</si>
  <si>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</si>
  <si>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</si>
  <si>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</si>
  <si>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</si>
  <si>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</si>
  <si>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</si>
  <si>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</si>
  <si>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</si>
  <si>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</si>
  <si>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</si>
  <si>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</si>
  <si>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</si>
  <si>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</si>
  <si>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</si>
  <si>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</si>
  <si>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</si>
  <si>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</si>
  <si>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</si>
  <si>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</si>
  <si>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</si>
  <si>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</si>
  <si>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</si>
  <si>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</si>
  <si>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</si>
  <si>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</si>
  <si>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</si>
  <si>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</si>
  <si>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</si>
  <si>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</si>
  <si>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</si>
  <si>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</si>
  <si>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</si>
  <si>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</si>
  <si>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</si>
  <si>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</si>
  <si>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</si>
  <si>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</si>
  <si>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</si>
  <si>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</si>
  <si>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</si>
  <si>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</si>
  <si>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</si>
  <si>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</si>
  <si>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</si>
  <si>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</si>
  <si>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</si>
  <si>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</si>
  <si>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</si>
  <si>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</si>
  <si>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</si>
  <si>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</si>
  <si>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</si>
  <si>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</si>
  <si>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</si>
  <si>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</si>
  <si>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</si>
  <si>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</si>
  <si>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</si>
  <si>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</si>
  <si>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</si>
  <si>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</si>
  <si>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</si>
  <si>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</si>
  <si>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</si>
  <si>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</si>
  <si>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</si>
  <si>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</si>
  <si>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</si>
  <si>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</si>
  <si>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</si>
  <si>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</si>
  <si>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</si>
  <si>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</si>
  <si>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</si>
  <si>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</si>
  <si>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</si>
  <si>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</si>
  <si>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</si>
  <si>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</si>
  <si>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</si>
  <si>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</si>
  <si>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</si>
  <si>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</si>
  <si>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</si>
  <si>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</si>
  <si>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</si>
  <si>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</si>
  <si>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</si>
  <si>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</si>
  <si>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</si>
  <si>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</si>
  <si>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</si>
  <si>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</si>
  <si>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</si>
  <si>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</si>
  <si>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</si>
  <si>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</si>
  <si>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</si>
  <si>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</si>
  <si>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</si>
  <si>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</si>
  <si>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</si>
  <si>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</si>
  <si>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</si>
  <si>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</si>
  <si>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</si>
  <si>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</si>
  <si>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</si>
  <si>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</si>
  <si>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</si>
  <si>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</si>
  <si>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</si>
  <si>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</si>
  <si>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</si>
  <si>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</si>
  <si>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</si>
  <si>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</si>
  <si>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</si>
  <si>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</si>
  <si>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</si>
  <si>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</si>
  <si>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</si>
  <si>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</si>
  <si>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</si>
  <si>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</si>
  <si>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</si>
  <si>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</si>
  <si>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</si>
  <si>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</si>
  <si>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</si>
  <si>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</si>
  <si>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</si>
  <si>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</si>
  <si>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</si>
  <si>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</si>
  <si>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</si>
  <si>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</si>
  <si>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</si>
  <si>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</si>
  <si>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</si>
  <si>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</si>
  <si>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</si>
  <si>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</si>
  <si>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</si>
  <si>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</si>
  <si>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</si>
  <si>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</si>
  <si>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</si>
  <si>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</si>
  <si>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</si>
  <si>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</si>
  <si>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</si>
  <si>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</si>
  <si>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</si>
  <si>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</si>
  <si>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</si>
  <si>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</si>
  <si>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</si>
  <si>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</si>
  <si>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</si>
  <si>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</si>
  <si>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</si>
  <si>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</si>
  <si>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</si>
  <si>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</si>
  <si>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</si>
  <si>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</si>
  <si>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</si>
  <si>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</si>
  <si>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</si>
  <si>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</si>
  <si>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</si>
  <si>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</si>
  <si>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</si>
  <si>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</si>
  <si>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</si>
  <si>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</si>
  <si>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</si>
  <si>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</si>
  <si>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</si>
  <si>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</si>
  <si>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</si>
  <si>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</si>
  <si>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</si>
  <si>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</si>
  <si>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</si>
  <si>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</si>
  <si>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</si>
  <si>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</si>
  <si>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</si>
  <si>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</si>
  <si>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</si>
  <si>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</si>
  <si>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</si>
  <si>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</si>
  <si>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</si>
  <si>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</si>
  <si>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</si>
  <si>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</si>
  <si>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</si>
  <si>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</si>
  <si>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</si>
  <si>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</si>
  <si>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</si>
  <si>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</si>
  <si>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</si>
  <si>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</si>
  <si>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</si>
  <si>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</si>
  <si>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</si>
  <si>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</si>
  <si>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</si>
  <si>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</si>
  <si>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</si>
  <si>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</si>
  <si>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</si>
  <si>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</si>
  <si>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</si>
  <si>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</si>
  <si>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</si>
  <si>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</si>
  <si>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</si>
  <si>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</si>
  <si>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</si>
  <si>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</si>
  <si>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</si>
  <si>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</si>
  <si>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</si>
  <si>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</si>
  <si>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</si>
  <si>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</si>
  <si>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</si>
  <si>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</si>
  <si>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</si>
  <si>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</si>
  <si>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</si>
  <si>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</si>
  <si>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</si>
  <si>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</si>
  <si>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</si>
  <si>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</si>
  <si>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</si>
  <si>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</si>
  <si>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</si>
  <si>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</si>
  <si>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</si>
  <si>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</si>
  <si>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</si>
  <si>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</si>
  <si>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</si>
  <si>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</si>
  <si>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</si>
  <si>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</si>
  <si>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</si>
  <si>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</si>
  <si>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</si>
  <si>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</si>
  <si>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</si>
  <si>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</si>
  <si>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</si>
  <si>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</si>
  <si>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</si>
  <si>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</si>
  <si>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</si>
  <si>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</si>
  <si>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</si>
  <si>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</si>
  <si>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</si>
  <si>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</si>
  <si>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</si>
  <si>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</si>
  <si>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</si>
  <si>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</si>
  <si>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</si>
  <si>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</si>
  <si>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</si>
  <si>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</si>
  <si>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</si>
  <si>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</si>
  <si>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</si>
  <si>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</si>
  <si>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</si>
  <si>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</si>
  <si>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</si>
  <si>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</si>
  <si>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</si>
  <si>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</si>
  <si>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</si>
  <si>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</si>
  <si>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</si>
  <si>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</si>
  <si>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</si>
  <si>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</si>
  <si>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</si>
  <si>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</si>
  <si>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</si>
  <si>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</si>
  <si>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</si>
  <si>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</si>
  <si>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</si>
  <si>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</si>
  <si>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</si>
  <si>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</si>
  <si>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</si>
  <si>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</si>
  <si>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</si>
  <si>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</si>
  <si>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</si>
  <si>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</si>
  <si>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</si>
  <si>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</si>
  <si>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</si>
  <si>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</si>
  <si>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</si>
  <si>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</si>
  <si>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</si>
  <si>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</si>
  <si>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</si>
  <si>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</si>
  <si>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</si>
  <si>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</si>
  <si>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</si>
  <si>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</si>
  <si>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</si>
  <si>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</si>
  <si>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</si>
  <si>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</si>
  <si>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</si>
  <si>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</si>
  <si>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</si>
  <si>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</si>
  <si>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</si>
  <si>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</si>
  <si>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</si>
  <si>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</si>
  <si>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</si>
  <si>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</si>
  <si>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</si>
  <si>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</si>
  <si>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</si>
  <si>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</si>
  <si>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</si>
  <si>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</si>
  <si>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</si>
  <si>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</si>
  <si>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</si>
  <si>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</si>
  <si>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</si>
  <si>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</si>
  <si>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</si>
  <si>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</si>
  <si>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</si>
  <si>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</si>
  <si>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</si>
  <si>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</si>
  <si>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</si>
  <si>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</si>
  <si>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</si>
  <si>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</si>
  <si>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</si>
  <si>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</si>
  <si>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</si>
  <si>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</si>
  <si>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</si>
  <si>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</si>
  <si>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</si>
  <si>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</si>
  <si>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</si>
  <si>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</si>
  <si>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</si>
  <si>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</si>
  <si>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</si>
  <si>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</si>
  <si>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</si>
  <si>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</si>
  <si>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</si>
  <si>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</si>
  <si>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</si>
  <si>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</si>
  <si>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</si>
  <si>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</si>
  <si>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</si>
  <si>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</si>
  <si>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</si>
  <si>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</si>
  <si>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</si>
  <si>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</si>
  <si>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</si>
  <si>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</si>
  <si>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</si>
  <si>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</si>
  <si>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</si>
  <si>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</si>
  <si>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</si>
  <si>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</si>
  <si>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</si>
  <si>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</si>
  <si>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</si>
  <si>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</si>
  <si>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</si>
  <si>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</si>
  <si>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</si>
  <si>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</si>
  <si>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</si>
  <si>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</si>
  <si>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</si>
  <si>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</si>
  <si>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</si>
  <si>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</si>
  <si>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</si>
  <si>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</si>
  <si>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</si>
  <si>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</si>
  <si>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</si>
  <si>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</si>
  <si>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</si>
  <si>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</si>
  <si>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</si>
  <si>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</si>
  <si>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</si>
  <si>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</si>
  <si>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</si>
  <si>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</si>
  <si>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</si>
  <si>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</si>
  <si>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</si>
  <si>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</si>
  <si>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</si>
  <si>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</si>
  <si>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</si>
  <si>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</si>
  <si>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</si>
  <si>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</si>
  <si>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</si>
  <si>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</si>
  <si>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</si>
  <si>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</si>
  <si>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</si>
  <si>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</si>
  <si>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</si>
  <si>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</si>
  <si>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</si>
  <si>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</si>
  <si>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</si>
  <si>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</si>
  <si>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</si>
  <si>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</si>
  <si>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</si>
  <si>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</si>
  <si>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</si>
  <si>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</si>
  <si>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</si>
  <si>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</si>
  <si>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</si>
  <si>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</si>
  <si>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</si>
  <si>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</si>
  <si>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</si>
  <si>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</si>
  <si>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</si>
  <si>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</si>
  <si>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</si>
  <si>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</si>
  <si>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</si>
  <si>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</si>
  <si>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</si>
  <si>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</si>
  <si>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</si>
  <si>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</si>
  <si>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</si>
  <si>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</si>
  <si>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</si>
  <si>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</si>
  <si>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</si>
  <si>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</si>
  <si>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</si>
  <si>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</si>
  <si>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</si>
  <si>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</si>
  <si>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</si>
  <si>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</si>
  <si>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</si>
  <si>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</si>
  <si>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</si>
  <si>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</si>
  <si>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</si>
  <si>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</si>
  <si>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</si>
  <si>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</si>
  <si>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</si>
  <si>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</si>
  <si>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</si>
  <si>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</si>
  <si>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</si>
  <si>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</si>
  <si>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</si>
  <si>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</si>
  <si>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</si>
  <si>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</si>
  <si>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</si>
  <si>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</si>
  <si>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</si>
  <si>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</si>
  <si>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</si>
  <si>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</si>
  <si>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</si>
  <si>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</si>
  <si>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</si>
  <si>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</si>
  <si>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</si>
  <si>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</si>
  <si>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</si>
  <si>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</si>
  <si>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</si>
  <si>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</si>
  <si>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</si>
  <si>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</si>
  <si>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</si>
  <si>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</si>
  <si>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</si>
  <si>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</si>
  <si>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</si>
  <si>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</si>
  <si>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</si>
  <si>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</si>
  <si>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</si>
  <si>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</si>
  <si>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</si>
  <si>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</si>
  <si>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</si>
  <si>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</si>
  <si>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</si>
  <si>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</si>
  <si>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</si>
  <si>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</si>
  <si>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</si>
  <si>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</si>
  <si>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</si>
  <si>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</si>
  <si>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</si>
  <si>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</si>
  <si>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</si>
  <si>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</si>
  <si>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</si>
  <si>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</si>
  <si>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</si>
  <si>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</si>
  <si>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</si>
  <si>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</si>
  <si>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</si>
  <si>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</si>
  <si>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</si>
  <si>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</si>
  <si>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</si>
  <si>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</si>
  <si>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</si>
  <si>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</si>
  <si>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</si>
  <si>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</si>
  <si>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</si>
  <si>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</si>
  <si>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</si>
  <si>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</si>
  <si>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</si>
  <si>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</si>
  <si>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</si>
  <si>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</si>
  <si>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</si>
  <si>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</si>
  <si>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</si>
  <si>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</si>
  <si>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</si>
  <si>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</si>
  <si>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</si>
  <si>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</si>
  <si>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</si>
  <si>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</si>
  <si>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</si>
  <si>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</si>
  <si>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</si>
  <si>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</si>
  <si>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</si>
  <si>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</si>
  <si>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</si>
  <si>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</si>
  <si>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</si>
  <si>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</si>
  <si>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</si>
  <si>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</si>
  <si>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</si>
  <si>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</si>
  <si>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</si>
  <si>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</si>
  <si>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</si>
  <si>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</si>
  <si>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</si>
  <si>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</si>
  <si>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</si>
  <si>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</si>
  <si>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</si>
  <si>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</si>
  <si>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</si>
  <si>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</si>
  <si>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</si>
  <si>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</si>
  <si>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</si>
  <si>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</si>
  <si>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</si>
  <si>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</si>
  <si>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</si>
  <si>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</si>
  <si>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</si>
  <si>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</si>
  <si>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</si>
  <si>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</si>
  <si>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</si>
  <si>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</si>
  <si>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</si>
  <si>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</si>
  <si>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</si>
  <si>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</si>
  <si>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</si>
  <si>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</si>
  <si>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</si>
  <si>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</si>
  <si>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</si>
  <si>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</si>
  <si>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</si>
  <si>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</si>
  <si>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</si>
  <si>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</si>
  <si>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</si>
  <si>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</si>
  <si>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</si>
  <si>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</si>
  <si>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</si>
  <si>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</si>
  <si>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</si>
  <si>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</si>
  <si>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</si>
  <si>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</si>
  <si>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</si>
  <si>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</si>
  <si>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</si>
  <si>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</si>
  <si>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</si>
  <si>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</si>
  <si>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</si>
  <si>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</si>
  <si>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</si>
  <si>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</si>
  <si>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</si>
  <si>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</si>
  <si>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</si>
  <si>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</si>
  <si>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</si>
  <si>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</si>
  <si>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</si>
  <si>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</si>
  <si>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</si>
  <si>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</si>
  <si>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</si>
  <si>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</si>
  <si>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</si>
  <si>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</si>
  <si>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</si>
  <si>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</si>
  <si>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</si>
  <si>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</si>
  <si>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</si>
  <si>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</si>
  <si>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</si>
  <si>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</si>
  <si>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</si>
  <si>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</si>
  <si>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</si>
  <si>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</si>
  <si>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</si>
  <si>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</si>
  <si>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</si>
  <si>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</si>
  <si>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</si>
  <si>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</si>
  <si>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</si>
  <si>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</si>
  <si>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</si>
  <si>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</si>
  <si>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</si>
  <si>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</si>
  <si>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</si>
  <si>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</si>
  <si>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</si>
  <si>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</si>
  <si>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</si>
  <si>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</si>
  <si>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</si>
  <si>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</si>
  <si>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</si>
  <si>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</si>
  <si>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</si>
  <si>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</si>
  <si>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</si>
  <si>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</si>
  <si>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</si>
  <si>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</si>
  <si>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</si>
  <si>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</si>
  <si>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</si>
  <si>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</si>
  <si>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</si>
  <si>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</si>
  <si>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</si>
  <si>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</si>
  <si>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</si>
  <si>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</si>
  <si>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</si>
  <si>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</si>
  <si>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</si>
  <si>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</si>
  <si>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</si>
  <si>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</si>
  <si>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</si>
  <si>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</si>
  <si>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</si>
  <si>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</si>
  <si>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</si>
  <si>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</si>
  <si>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</si>
  <si>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</si>
  <si>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</si>
  <si>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</si>
  <si>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</si>
  <si>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</si>
  <si>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</si>
  <si>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</si>
  <si>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</si>
  <si>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</si>
  <si>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</si>
  <si>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</si>
  <si>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</si>
  <si>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</si>
  <si>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</si>
  <si>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</si>
  <si>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</si>
  <si>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</si>
  <si>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</si>
  <si>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</si>
  <si>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</si>
  <si>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</si>
  <si>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</si>
  <si>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</si>
  <si>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</si>
  <si>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</si>
  <si>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</si>
  <si>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</si>
  <si>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</si>
  <si>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</si>
  <si>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</si>
  <si>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</si>
  <si>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</si>
  <si>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</si>
  <si>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</si>
  <si>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</si>
  <si>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</si>
  <si>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</si>
  <si>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</si>
  <si>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</si>
  <si>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</si>
  <si>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</si>
  <si>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</si>
  <si>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</si>
  <si>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</si>
  <si>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</si>
  <si>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</si>
  <si>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</si>
  <si>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</si>
  <si>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</si>
  <si>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</si>
  <si>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</si>
  <si>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</si>
  <si>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</si>
  <si>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</si>
  <si>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</si>
  <si>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</si>
  <si>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</si>
  <si>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</si>
  <si>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</si>
  <si>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</si>
  <si>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</si>
  <si>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</si>
  <si>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</si>
  <si>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</si>
  <si>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</si>
  <si>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</si>
  <si>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</si>
  <si>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</si>
  <si>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</si>
  <si>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</si>
  <si>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</si>
  <si>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</si>
  <si>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</si>
  <si>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</si>
  <si>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</si>
  <si>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</si>
  <si>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</si>
  <si>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</si>
  <si>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</si>
  <si>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</si>
  <si>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</si>
  <si>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</si>
  <si>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</si>
  <si>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</si>
  <si>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</si>
  <si>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</si>
  <si>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</si>
  <si>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</si>
  <si>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</si>
  <si>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</si>
  <si>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</si>
  <si>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</si>
  <si>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</si>
  <si>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</si>
  <si>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</si>
  <si>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</si>
  <si>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</si>
  <si>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</si>
  <si>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</si>
  <si>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</si>
  <si>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</si>
  <si>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</si>
  <si>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</si>
  <si>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</si>
  <si>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</si>
  <si>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</si>
  <si>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</si>
  <si>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</si>
  <si>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</si>
  <si>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</si>
  <si>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</si>
  <si>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</si>
  <si>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</si>
  <si>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</si>
  <si>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</si>
  <si>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</si>
  <si>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</si>
  <si>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</si>
  <si>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</si>
  <si>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</si>
  <si>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</si>
  <si>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</si>
  <si>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</si>
  <si>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</si>
  <si>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</si>
  <si>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</si>
  <si>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</si>
  <si>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</si>
  <si>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</si>
  <si>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</si>
  <si>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</si>
  <si>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</si>
  <si>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</si>
  <si>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</si>
  <si>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</si>
  <si>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</si>
  <si>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</si>
  <si>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</si>
  <si>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</si>
  <si>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</si>
  <si>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</si>
  <si>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</si>
  <si>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</si>
  <si>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</si>
  <si>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</si>
  <si>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</si>
  <si>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</si>
  <si>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</si>
  <si>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</si>
  <si>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</si>
  <si>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</si>
  <si>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</si>
  <si>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</si>
  <si>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</si>
  <si>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</si>
  <si>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</si>
  <si>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</si>
  <si>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</si>
  <si>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</si>
  <si>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</si>
  <si>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</si>
  <si>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</si>
  <si>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</si>
  <si>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</si>
  <si>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</si>
  <si>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</si>
  <si>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</si>
  <si>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</si>
  <si>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</si>
  <si>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</si>
  <si>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</si>
  <si>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</si>
  <si>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</si>
  <si>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</si>
  <si>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</si>
  <si>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</si>
  <si>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</si>
  <si>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</si>
  <si>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</si>
  <si>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</si>
  <si>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</si>
  <si>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</si>
  <si>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</si>
  <si>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</si>
  <si>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</si>
  <si>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</si>
  <si>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</si>
  <si>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</si>
  <si>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</si>
  <si>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</si>
  <si>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</si>
  <si>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</si>
  <si>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</si>
  <si>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</si>
  <si>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</si>
  <si>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</si>
  <si>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</si>
  <si>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</si>
  <si>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</si>
  <si>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</si>
  <si>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</si>
  <si>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</si>
  <si>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</si>
  <si>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</si>
  <si>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</si>
  <si>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</si>
  <si>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</si>
  <si>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</si>
  <si>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</si>
  <si>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</si>
  <si>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</si>
  <si>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</si>
  <si>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</si>
  <si>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</si>
  <si>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</si>
  <si>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</si>
  <si>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</si>
  <si>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</si>
  <si>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</si>
  <si>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</si>
  <si>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</si>
  <si>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</si>
  <si>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</si>
  <si>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</si>
  <si>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</si>
  <si>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</si>
  <si>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</si>
  <si>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</si>
  <si>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</si>
  <si>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</si>
  <si>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</si>
  <si>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</si>
  <si>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</si>
  <si>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</si>
  <si>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</si>
  <si>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</si>
  <si>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</si>
  <si>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</si>
  <si>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</si>
  <si>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</si>
  <si>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</si>
  <si>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</si>
  <si>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</si>
  <si>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</si>
  <si>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</si>
  <si>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</si>
  <si>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</si>
  <si>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</si>
  <si>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</si>
  <si>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</si>
  <si>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</si>
  <si>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</si>
  <si>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</si>
  <si>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</si>
  <si>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</si>
  <si>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</si>
  <si>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</si>
  <si>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</si>
  <si>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</si>
  <si>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</si>
  <si>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</si>
  <si>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</si>
  <si>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</si>
  <si>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</si>
  <si>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</si>
  <si>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</si>
  <si>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</si>
  <si>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</si>
  <si>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</si>
  <si>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</si>
  <si>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</si>
  <si>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</si>
  <si>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</si>
  <si>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</si>
  <si>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</si>
  <si>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</si>
  <si>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</si>
  <si>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</si>
  <si>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</si>
  <si>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</si>
  <si>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</si>
  <si>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</si>
  <si>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</si>
  <si>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</si>
  <si>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</si>
  <si>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</si>
  <si>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</si>
  <si>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</si>
  <si>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</si>
  <si>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</si>
  <si>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</si>
  <si>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</si>
  <si>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</si>
  <si>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</si>
  <si>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</si>
  <si>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</si>
  <si>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</si>
  <si>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</si>
  <si>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</si>
  <si>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</si>
  <si>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</si>
  <si>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</si>
  <si>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</si>
  <si>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</si>
  <si>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</si>
  <si>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</si>
  <si>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</si>
  <si>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</si>
  <si>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</si>
  <si>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</si>
  <si>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</si>
  <si>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</si>
  <si>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</si>
  <si>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</si>
  <si>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</si>
  <si>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</si>
  <si>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</si>
  <si>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</si>
  <si>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</si>
  <si>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</si>
  <si>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</si>
  <si>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</si>
  <si>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</si>
  <si>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</si>
  <si>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</si>
  <si>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</si>
  <si>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</si>
  <si>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</si>
  <si>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</si>
  <si>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</si>
  <si>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</si>
  <si>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</si>
  <si>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</si>
  <si>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</si>
  <si>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</si>
  <si>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</si>
  <si>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</si>
  <si>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</si>
  <si>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</si>
  <si>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</si>
  <si>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</si>
  <si>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</si>
  <si>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</si>
  <si>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</si>
  <si>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</si>
  <si>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</si>
  <si>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</si>
  <si>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</si>
  <si>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</si>
  <si>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</si>
  <si>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</si>
  <si>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</si>
  <si>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</si>
  <si>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</si>
  <si>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</si>
  <si>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</si>
  <si>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</si>
  <si>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</si>
  <si>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</si>
  <si>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</si>
  <si>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</si>
  <si>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</si>
  <si>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</si>
  <si>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</si>
  <si>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</si>
  <si>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</si>
  <si>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</si>
  <si>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</si>
  <si>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</si>
  <si>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</si>
  <si>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</si>
  <si>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</si>
  <si>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</si>
  <si>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</si>
  <si>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</si>
  <si>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</si>
  <si>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</si>
  <si>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</si>
  <si>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</si>
  <si>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</si>
  <si>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</si>
  <si>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</si>
  <si>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</si>
  <si>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</si>
  <si>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</si>
  <si>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</si>
  <si>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</si>
  <si>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</si>
  <si>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</si>
  <si>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</si>
  <si>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</si>
  <si>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</si>
  <si>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</si>
  <si>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</si>
  <si>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</si>
  <si>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</si>
  <si>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</si>
  <si>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</si>
  <si>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</si>
  <si>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</si>
  <si>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</si>
  <si>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</si>
  <si>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</si>
  <si>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</si>
  <si>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</si>
  <si>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</si>
  <si>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</si>
  <si>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</si>
  <si>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</si>
  <si>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</si>
  <si>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</si>
  <si>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</si>
  <si>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</si>
  <si>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</si>
  <si>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</si>
  <si>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</si>
  <si>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</si>
  <si>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</si>
  <si>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</si>
  <si>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</si>
  <si>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</si>
  <si>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</si>
  <si>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</si>
  <si>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</si>
  <si>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</si>
  <si>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</si>
  <si>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</si>
  <si>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</si>
  <si>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</si>
  <si>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</si>
  <si>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</si>
  <si>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</si>
  <si>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</si>
  <si>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</si>
  <si>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</si>
  <si>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</si>
  <si>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</si>
  <si>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</si>
  <si>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</si>
  <si>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</si>
  <si>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</si>
  <si>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</si>
  <si>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</si>
  <si>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</si>
  <si>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</si>
  <si>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</si>
  <si>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</si>
  <si>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</si>
  <si>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</si>
  <si>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</si>
  <si>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</si>
  <si>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</si>
  <si>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</si>
  <si>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</si>
  <si>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</si>
  <si>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</si>
  <si>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</si>
  <si>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</si>
  <si>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</si>
  <si>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</si>
  <si>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</si>
  <si>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</si>
  <si>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</si>
  <si>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</si>
  <si>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</si>
  <si>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</si>
  <si>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</si>
  <si>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</si>
  <si>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</si>
  <si>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</si>
  <si>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</si>
  <si>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</si>
  <si>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</si>
  <si>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</si>
  <si>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</si>
  <si>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</si>
  <si>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</si>
  <si>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</si>
  <si>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</si>
  <si>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</si>
  <si>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</si>
  <si>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</si>
  <si>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</si>
  <si>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</si>
  <si>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</si>
  <si>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</si>
  <si>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</si>
  <si>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</si>
  <si>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</si>
  <si>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</si>
  <si>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</si>
  <si>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</si>
  <si>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</si>
  <si>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</si>
  <si>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</si>
  <si>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</si>
  <si>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</si>
  <si>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</si>
  <si>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</si>
  <si>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</si>
  <si>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</si>
  <si>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</si>
  <si>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</si>
  <si>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</si>
  <si>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</si>
  <si>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</si>
  <si>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</si>
  <si>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</si>
  <si>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</si>
  <si>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</si>
  <si>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</si>
  <si>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</si>
  <si>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</si>
  <si>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</si>
  <si>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</si>
  <si>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</si>
  <si>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</si>
  <si>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</si>
  <si>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</si>
  <si>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</si>
  <si>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</si>
  <si>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</si>
  <si>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</si>
  <si>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</si>
  <si>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</si>
  <si>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</si>
  <si>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</si>
  <si>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</si>
  <si>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</si>
  <si>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</si>
  <si>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</si>
  <si>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</si>
  <si>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</si>
  <si>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</si>
  <si>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</si>
  <si>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</si>
  <si>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</si>
  <si>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</si>
  <si>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</si>
  <si>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</si>
  <si>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</si>
  <si>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</si>
  <si>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</si>
  <si>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</si>
  <si>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</si>
  <si>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</si>
  <si>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</si>
  <si>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</si>
  <si>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</si>
  <si>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</si>
  <si>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</si>
  <si>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</si>
  <si>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</si>
  <si>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</si>
  <si>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</si>
  <si>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</si>
  <si>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</si>
  <si>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</si>
  <si>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</si>
  <si>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</si>
  <si>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</si>
  <si>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</si>
  <si>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</si>
  <si>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</si>
  <si>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</si>
  <si>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</si>
  <si>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</si>
  <si>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</si>
  <si>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</si>
  <si>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</si>
  <si>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</si>
  <si>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</si>
  <si>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</si>
  <si>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</si>
  <si>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</si>
  <si>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</si>
  <si>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</si>
  <si>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</si>
  <si>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</si>
  <si>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</si>
  <si>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</si>
  <si>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</si>
  <si>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</si>
  <si>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</si>
  <si>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</si>
  <si>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</si>
  <si>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</si>
  <si>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</si>
  <si>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</si>
  <si>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</si>
  <si>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</si>
  <si>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</si>
  <si>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</si>
  <si>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</si>
  <si>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</si>
  <si>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</si>
  <si>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</si>
  <si>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</si>
  <si>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</si>
  <si>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</si>
  <si>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</si>
  <si>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</si>
  <si>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</si>
  <si>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</si>
  <si>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</si>
  <si>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</si>
  <si>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</si>
  <si>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</si>
  <si>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</si>
  <si>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</si>
  <si>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</si>
  <si>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</si>
  <si>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</si>
  <si>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</si>
  <si>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</si>
  <si>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</si>
  <si>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</si>
  <si>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</si>
  <si>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</si>
  <si>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</si>
  <si>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</si>
  <si>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</si>
  <si>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</si>
  <si>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</si>
  <si>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</si>
  <si>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</si>
  <si>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</si>
  <si>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</si>
  <si>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</si>
  <si>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</si>
  <si>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</si>
  <si>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</si>
  <si>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</si>
  <si>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</si>
  <si>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</si>
  <si>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</si>
  <si>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</si>
  <si>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</si>
  <si>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</si>
  <si>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</si>
  <si>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</si>
  <si>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</si>
  <si>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</si>
  <si>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</si>
  <si>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</si>
  <si>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</si>
  <si>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</si>
  <si>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</si>
  <si>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</si>
  <si>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</si>
  <si>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</si>
  <si>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</si>
  <si>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</si>
  <si>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</si>
  <si>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</si>
  <si>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</si>
  <si>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</si>
  <si>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</si>
  <si>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</si>
  <si>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</si>
  <si>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</si>
  <si>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</si>
  <si>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</si>
  <si>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</si>
  <si>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</si>
  <si>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</si>
  <si>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</si>
  <si>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</si>
  <si>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</si>
  <si>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</si>
  <si>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</si>
  <si>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</si>
  <si>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</si>
  <si>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</si>
  <si>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</si>
  <si>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</si>
  <si>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</si>
  <si>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</si>
  <si>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</si>
  <si>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</si>
  <si>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</si>
  <si>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</si>
  <si>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</si>
  <si>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</si>
  <si>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</si>
  <si>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</si>
  <si>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</si>
  <si>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</si>
  <si>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</si>
  <si>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</si>
  <si>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</si>
  <si>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</si>
  <si>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</si>
  <si>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</si>
  <si>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</si>
  <si>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</si>
  <si>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</si>
  <si>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</si>
  <si>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</si>
  <si>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</si>
  <si>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</si>
  <si>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</si>
  <si>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</si>
  <si>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</si>
  <si>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</si>
  <si>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</si>
  <si>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</si>
  <si>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</si>
  <si>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</si>
  <si>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</si>
  <si>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</si>
  <si>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</si>
  <si>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</si>
  <si>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</si>
  <si>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</si>
  <si>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</si>
  <si>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</si>
  <si>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</si>
  <si>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</si>
  <si>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</si>
  <si>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</si>
  <si>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</si>
  <si>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</si>
  <si>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</si>
  <si>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</si>
  <si>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</si>
  <si>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</si>
  <si>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</si>
  <si>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</si>
  <si>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</si>
  <si>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</si>
  <si>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</si>
  <si>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</si>
  <si>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八级</t>
    <phoneticPr fontId="7" type="noConversion"/>
  </si>
  <si>
    <t>通路</t>
  </si>
  <si>
    <t>通电</t>
  </si>
  <si>
    <t>通讯</t>
  </si>
  <si>
    <t>通上水</t>
  </si>
  <si>
    <t>通下水</t>
  </si>
  <si>
    <t>平整</t>
  </si>
  <si>
    <t>与级别开发程度一致</t>
  </si>
  <si>
    <t>按公示增长率计算</t>
  </si>
  <si>
    <t>宗地容积率</t>
  </si>
  <si>
    <t>较好</t>
  </si>
  <si>
    <t>一般</t>
  </si>
  <si>
    <t>好</t>
  </si>
  <si>
    <t>抵押</t>
  </si>
  <si>
    <t>房地产抵押价值</t>
  </si>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</sst>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78" fillId="5" borderId="1" xfId="0" applyNumberFormat="1" applyFont="1" applyFill="1" applyBorder="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2022年9月13日</v>
      </c>
    </row>
    <row r="13" spans="1:2" s="2762" customFormat="1">
      <c r="A13" s="2760" t="s">
        <v>742</v>
      </c>
      <c r="B13" s="2761"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44817</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3109</v>
      </c>
      <c r="C8" s="2897"/>
      <c r="D8" s="3041" t="s">
        <v>2439</v>
      </c>
      <c r="E8" s="2898" t="s">
        <v>3110</v>
      </c>
      <c r="F8" s="2899"/>
      <c r="G8" s="2880"/>
      <c r="H8" s="2880"/>
      <c r="I8" s="2880"/>
      <c r="J8" s="862"/>
      <c r="K8" s="2900"/>
      <c r="L8" s="2893"/>
      <c r="M8" s="2893"/>
      <c r="N8" s="862"/>
      <c r="O8" s="2893"/>
      <c r="P8" s="862"/>
      <c r="Q8" s="862"/>
      <c r="R8" s="862"/>
    </row>
    <row r="9" spans="1:28" ht="13.5" thickBot="1">
      <c r="A9" s="2901" t="s">
        <v>2440</v>
      </c>
      <c r="B9" s="2902" t="s">
        <v>3110</v>
      </c>
      <c r="C9" s="2903"/>
      <c r="D9" s="3042"/>
      <c r="E9" s="2902"/>
      <c r="F9" s="2904"/>
      <c r="G9" s="2905"/>
      <c r="H9" s="2905"/>
      <c r="I9" s="2905"/>
      <c r="J9" s="862"/>
      <c r="K9" s="2892"/>
      <c r="L9" s="2893"/>
      <c r="M9" s="2893"/>
      <c r="N9" s="862"/>
      <c r="O9" s="2893"/>
      <c r="P9" s="862"/>
      <c r="Q9" s="862"/>
      <c r="R9" s="862"/>
    </row>
    <row r="10" spans="1:28" ht="13.5" thickTop="1">
      <c r="A10" s="2906" t="s">
        <v>2441</v>
      </c>
      <c r="B10" s="2907" t="s">
        <v>3111</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3112</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3317">
        <v>59218</v>
      </c>
      <c r="J13" s="862"/>
      <c r="K13" s="2892"/>
      <c r="L13" s="2893"/>
      <c r="M13" s="2893"/>
      <c r="N13" s="862"/>
      <c r="O13" s="2893"/>
      <c r="P13" s="862"/>
      <c r="Q13" s="862"/>
      <c r="R13" s="862"/>
    </row>
    <row r="14" spans="1:28">
      <c r="A14" s="1360"/>
      <c r="B14" s="2918"/>
      <c r="C14" s="2919" t="s">
        <v>2453</v>
      </c>
      <c r="D14" s="2921"/>
      <c r="E14" s="2921"/>
      <c r="F14" s="2921"/>
      <c r="G14" s="2921"/>
      <c r="H14" s="2921"/>
      <c r="I14" s="2921">
        <v>40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39.450000000000003</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3316" t="s">
        <v>3096</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392</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44817</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44817</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44817</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44817</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44817</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44817</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44817</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44817</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2022年9月13日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44817</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44817</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44817</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L17" sqref="L1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1450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175</v>
      </c>
      <c r="C2" s="2266" t="s">
        <v>2172</v>
      </c>
      <c r="D2" s="473" t="s">
        <v>2173</v>
      </c>
      <c r="E2" s="2267" t="s">
        <v>3</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Ⅷ-亦2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1861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1207</v>
      </c>
      <c r="C3" s="2266" t="s">
        <v>2178</v>
      </c>
      <c r="D3" s="473" t="s">
        <v>2179</v>
      </c>
      <c r="E3" s="2267" t="s">
        <v>2866</v>
      </c>
      <c r="F3" s="2270" t="s">
        <v>3105</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1435</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1170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1160</v>
      </c>
      <c r="D5" s="2274">
        <f>ROUND(C6*C17+C20,0)</f>
        <v>1160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993</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1160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905</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1160</v>
      </c>
      <c r="N8" s="473">
        <f>SUMPRODUCT((因素修正幅度!B234:B276=I2)*(因素修正幅度!C3:G3=E2)*(因素修正幅度!C234:G276))</f>
        <v>0.14899999999999999</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3097</v>
      </c>
      <c r="I20" s="2347" t="s">
        <v>3098</v>
      </c>
      <c r="J20" s="2989" t="s">
        <v>3099</v>
      </c>
      <c r="K20" s="2347" t="s">
        <v>3100</v>
      </c>
      <c r="L20" s="2347" t="s">
        <v>3101</v>
      </c>
      <c r="M20" s="2347" t="s">
        <v>3102</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3103</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44817</v>
      </c>
      <c r="H23" s="2361" t="s">
        <v>3104</v>
      </c>
      <c r="I23" s="2360" t="str">
        <f>IF(H23="季度增幅（自定义）",SUMIF(N25:N28,E2,O25:O28),"")</f>
        <v/>
      </c>
      <c r="J23" s="2982" t="s">
        <v>3092</v>
      </c>
      <c r="K23" s="2346"/>
      <c r="L23" s="2362"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0.93569999999999998</v>
      </c>
      <c r="D24" s="2365" t="s">
        <v>2246</v>
      </c>
      <c r="E24" s="2365">
        <f>存贷款利率!E20/100</f>
        <v>4.3499999999999997E-2</v>
      </c>
      <c r="F24" s="2365" t="s">
        <v>2238</v>
      </c>
      <c r="G24" s="2366">
        <f>SUMIF(M30:Q30,E2,M33:Q33)</f>
        <v>0.05</v>
      </c>
      <c r="H24" s="2365" t="s">
        <v>2247</v>
      </c>
      <c r="I24" s="2367">
        <f>项目基本情况!I15</f>
        <v>39.450000000000003</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1.0711999999999999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175</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1207</v>
      </c>
      <c r="D33" s="2420">
        <v>1450</v>
      </c>
      <c r="E33" s="2421">
        <f>ROUND(C33*D33/10000,0)</f>
        <v>175</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181</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604</v>
      </c>
      <c r="D37" s="2420"/>
      <c r="E37" s="473">
        <f>ROUND(C37*D37/10000,0)</f>
        <v>0</v>
      </c>
      <c r="F37" s="473">
        <f>SUMIF(修正!A57:A68,G2,修正!B57:B68)</f>
        <v>0.5</v>
      </c>
      <c r="G37" s="473">
        <f>ROUND(IF(E2="工业",C37*$M$42,C37*$M$41),0)</f>
        <v>91</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241</v>
      </c>
      <c r="D38" s="2420"/>
      <c r="E38" s="473">
        <f t="shared" ref="E38:E42" si="4">ROUND(C38*D38/10000,0)</f>
        <v>0</v>
      </c>
      <c r="F38" s="473">
        <f>SUMIF(修正!A57:A68,G2,修正!C57:C68)</f>
        <v>0.2</v>
      </c>
      <c r="G38" s="473">
        <f>ROUND(IF(E2="工业",C38*$M$42,C38*$M$41),0)</f>
        <v>36</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241</v>
      </c>
      <c r="D39" s="2420"/>
      <c r="E39" s="473">
        <f t="shared" si="4"/>
        <v>0</v>
      </c>
      <c r="F39" s="473">
        <f>SUMIF(修正!A57:A68,G2,修正!D57:D68)</f>
        <v>0.2</v>
      </c>
      <c r="G39" s="473">
        <f>ROUND(IF(E2="工业",C39*$M$42,C39*$M$41),0)</f>
        <v>36</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241</v>
      </c>
      <c r="D40" s="2420"/>
      <c r="E40" s="473">
        <f t="shared" si="4"/>
        <v>0</v>
      </c>
      <c r="F40" s="495">
        <f>SUMIF(修正!A57:A68,G2,修正!E57:E68)</f>
        <v>0.2</v>
      </c>
      <c r="G40" s="473">
        <f>ROUND(IF(E2="工业",C40*$M$42,C40*$M$41),0)</f>
        <v>36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1.0711999999999999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3106</v>
      </c>
      <c r="D84" s="499">
        <f t="shared" ref="D84:D91" si="22">SUMIF($J$83:$N$83,C84,J84:N84)</f>
        <v>1.9300000000000001E-2</v>
      </c>
      <c r="E84" s="2458">
        <f>ROUND(SUM(D84:D91),4)</f>
        <v>7.1199999999999999E-2</v>
      </c>
      <c r="F84" s="2329">
        <f>IF(E2="工业",SUMIF(L1:L12,G2,N1:N12),"——")</f>
        <v>0.14899999999999999</v>
      </c>
      <c r="G84" s="2459">
        <f>H84</f>
        <v>1.9300000000000001E-2</v>
      </c>
      <c r="H84" s="2460">
        <f t="shared" ref="H84:H91" si="23">IFERROR(ROUNDDOWN($F$84*I84/2,4),"——")</f>
        <v>1.9300000000000001E-2</v>
      </c>
      <c r="I84" s="499">
        <v>0.26</v>
      </c>
      <c r="J84" s="493">
        <f t="shared" ref="J84:J91" si="24">K84+$G84</f>
        <v>3.8600000000000002E-2</v>
      </c>
      <c r="K84" s="493">
        <f t="shared" ref="K84:K91" si="25">$L84+$G84</f>
        <v>1.9300000000000001E-2</v>
      </c>
      <c r="L84" s="493">
        <v>0</v>
      </c>
      <c r="M84" s="493">
        <f t="shared" ref="M84:N91" si="26">L84-$G84</f>
        <v>-1.9300000000000001E-2</v>
      </c>
      <c r="N84" s="493">
        <f t="shared" si="26"/>
        <v>-3.8600000000000002E-2</v>
      </c>
      <c r="AA84" s="2261"/>
      <c r="AG84" s="2259"/>
    </row>
    <row r="85" spans="1:33" ht="38.25">
      <c r="A85" s="2455" t="s">
        <v>2292</v>
      </c>
      <c r="B85" s="499" t="str">
        <f>估价对象房地状况!G16</f>
        <v>估价对象周边道路状况、公共交通通达情况、停车便捷程度，综合评价交通便捷度较好</v>
      </c>
      <c r="C85" s="2325" t="s">
        <v>3106</v>
      </c>
      <c r="D85" s="499">
        <f t="shared" si="22"/>
        <v>2.23E-2</v>
      </c>
      <c r="E85" s="2461"/>
      <c r="F85" s="2329"/>
      <c r="G85" s="2459">
        <f t="shared" ref="G85:G91" si="27">H85</f>
        <v>2.23E-2</v>
      </c>
      <c r="H85" s="2460">
        <f t="shared" si="23"/>
        <v>2.23E-2</v>
      </c>
      <c r="I85" s="499">
        <v>0.3</v>
      </c>
      <c r="J85" s="493">
        <f t="shared" si="24"/>
        <v>4.4600000000000001E-2</v>
      </c>
      <c r="K85" s="493">
        <f t="shared" si="25"/>
        <v>2.23E-2</v>
      </c>
      <c r="L85" s="493">
        <v>0</v>
      </c>
      <c r="M85" s="493">
        <f t="shared" si="26"/>
        <v>-2.23E-2</v>
      </c>
      <c r="N85" s="493">
        <f t="shared" si="26"/>
        <v>-4.4600000000000001E-2</v>
      </c>
      <c r="AA85" s="2261"/>
      <c r="AG85" s="2259"/>
    </row>
    <row r="86" spans="1:33" ht="36">
      <c r="A86" s="2462" t="s">
        <v>2815</v>
      </c>
      <c r="B86" s="499">
        <f>估价对象房地状况!G17</f>
        <v>0</v>
      </c>
      <c r="C86" s="2325" t="s">
        <v>3106</v>
      </c>
      <c r="D86" s="499">
        <f t="shared" si="22"/>
        <v>7.4000000000000003E-3</v>
      </c>
      <c r="E86" s="2461"/>
      <c r="F86" s="2329"/>
      <c r="G86" s="2459">
        <f t="shared" si="27"/>
        <v>7.4000000000000003E-3</v>
      </c>
      <c r="H86" s="2460">
        <f t="shared" si="23"/>
        <v>7.4000000000000003E-3</v>
      </c>
      <c r="I86" s="499">
        <v>0.1</v>
      </c>
      <c r="J86" s="493">
        <f t="shared" si="24"/>
        <v>1.4800000000000001E-2</v>
      </c>
      <c r="K86" s="493">
        <f t="shared" si="25"/>
        <v>7.4000000000000003E-3</v>
      </c>
      <c r="L86" s="493">
        <v>0</v>
      </c>
      <c r="M86" s="493">
        <f t="shared" si="26"/>
        <v>-7.4000000000000003E-3</v>
      </c>
      <c r="N86" s="493">
        <f t="shared" si="26"/>
        <v>-1.4800000000000001E-2</v>
      </c>
      <c r="AA86" s="2261"/>
      <c r="AG86" s="2259"/>
    </row>
    <row r="87" spans="1:33" ht="14.25">
      <c r="A87" s="2455" t="s">
        <v>2305</v>
      </c>
      <c r="B87" s="499">
        <f>估价对象房地状况!G22</f>
        <v>0</v>
      </c>
      <c r="C87" s="2325" t="s">
        <v>3107</v>
      </c>
      <c r="D87" s="499">
        <f t="shared" si="22"/>
        <v>0</v>
      </c>
      <c r="E87" s="2461"/>
      <c r="F87" s="2329"/>
      <c r="G87" s="2459">
        <f t="shared" si="27"/>
        <v>3.7000000000000002E-3</v>
      </c>
      <c r="H87" s="2460">
        <f t="shared" si="23"/>
        <v>3.7000000000000002E-3</v>
      </c>
      <c r="I87" s="499">
        <v>0.05</v>
      </c>
      <c r="J87" s="493">
        <f t="shared" si="24"/>
        <v>7.4000000000000003E-3</v>
      </c>
      <c r="K87" s="493">
        <f t="shared" si="25"/>
        <v>3.7000000000000002E-3</v>
      </c>
      <c r="L87" s="493">
        <v>0</v>
      </c>
      <c r="M87" s="493">
        <f t="shared" si="26"/>
        <v>-3.7000000000000002E-3</v>
      </c>
      <c r="N87" s="493">
        <f t="shared" si="26"/>
        <v>-7.4000000000000003E-3</v>
      </c>
      <c r="AA87" s="2261"/>
      <c r="AG87" s="2259"/>
    </row>
    <row r="88" spans="1:33" ht="25.5">
      <c r="A88" s="2455" t="s">
        <v>2298</v>
      </c>
      <c r="B88" s="999" t="str">
        <f>估价对象房地状况!G19</f>
        <v>估价对象所在区域公共配套设施齐备情况</v>
      </c>
      <c r="C88" s="2325" t="s">
        <v>3107</v>
      </c>
      <c r="D88" s="499">
        <f t="shared" si="22"/>
        <v>0</v>
      </c>
      <c r="E88" s="2461"/>
      <c r="F88" s="2329"/>
      <c r="G88" s="2459">
        <f t="shared" si="27"/>
        <v>4.4000000000000003E-3</v>
      </c>
      <c r="H88" s="2460">
        <f t="shared" si="23"/>
        <v>4.4000000000000003E-3</v>
      </c>
      <c r="I88" s="499">
        <v>0.06</v>
      </c>
      <c r="J88" s="493">
        <f t="shared" si="24"/>
        <v>8.8000000000000005E-3</v>
      </c>
      <c r="K88" s="493">
        <f t="shared" si="25"/>
        <v>4.4000000000000003E-3</v>
      </c>
      <c r="L88" s="493">
        <v>0</v>
      </c>
      <c r="M88" s="493">
        <f t="shared" si="26"/>
        <v>-4.4000000000000003E-3</v>
      </c>
      <c r="N88" s="493">
        <f t="shared" si="26"/>
        <v>-8.8000000000000005E-3</v>
      </c>
    </row>
    <row r="89" spans="1:33" ht="24">
      <c r="A89" s="2455" t="s">
        <v>2299</v>
      </c>
      <c r="B89" s="999" t="str">
        <f>估价对象房地状况!G20</f>
        <v>估价对象所在区域基础设施水平</v>
      </c>
      <c r="C89" s="2325" t="s">
        <v>3108</v>
      </c>
      <c r="D89" s="499">
        <f t="shared" si="22"/>
        <v>1.78E-2</v>
      </c>
      <c r="E89" s="2461"/>
      <c r="F89" s="2329"/>
      <c r="G89" s="2459">
        <f t="shared" si="27"/>
        <v>8.8999999999999999E-3</v>
      </c>
      <c r="H89" s="2460">
        <f t="shared" si="23"/>
        <v>8.8999999999999999E-3</v>
      </c>
      <c r="I89" s="499">
        <v>0.12</v>
      </c>
      <c r="J89" s="493">
        <f t="shared" si="24"/>
        <v>1.78E-2</v>
      </c>
      <c r="K89" s="493">
        <f t="shared" si="25"/>
        <v>8.8999999999999999E-3</v>
      </c>
      <c r="L89" s="493">
        <v>0</v>
      </c>
      <c r="M89" s="493">
        <f t="shared" si="26"/>
        <v>-8.8999999999999999E-3</v>
      </c>
      <c r="N89" s="493">
        <f t="shared" si="26"/>
        <v>-1.78E-2</v>
      </c>
    </row>
    <row r="90" spans="1:33" ht="24">
      <c r="A90" s="2455" t="s">
        <v>2296</v>
      </c>
      <c r="B90" s="2464" t="s">
        <v>2309</v>
      </c>
      <c r="C90" s="2325" t="s">
        <v>3106</v>
      </c>
      <c r="D90" s="499">
        <f t="shared" si="22"/>
        <v>4.4000000000000003E-3</v>
      </c>
      <c r="E90" s="2461"/>
      <c r="F90" s="2329"/>
      <c r="G90" s="2459">
        <f t="shared" si="27"/>
        <v>4.4000000000000003E-3</v>
      </c>
      <c r="H90" s="2460">
        <f t="shared" si="23"/>
        <v>4.4000000000000003E-3</v>
      </c>
      <c r="I90" s="499">
        <v>0.06</v>
      </c>
      <c r="J90" s="493">
        <f t="shared" si="24"/>
        <v>8.8000000000000005E-3</v>
      </c>
      <c r="K90" s="493">
        <f t="shared" si="25"/>
        <v>4.4000000000000003E-3</v>
      </c>
      <c r="L90" s="493">
        <v>0</v>
      </c>
      <c r="M90" s="493">
        <f t="shared" si="26"/>
        <v>-4.4000000000000003E-3</v>
      </c>
      <c r="N90" s="493">
        <f t="shared" si="26"/>
        <v>-8.8000000000000005E-3</v>
      </c>
    </row>
    <row r="91" spans="1:33" ht="39" thickBot="1">
      <c r="A91" s="2466" t="s">
        <v>2310</v>
      </c>
      <c r="B91" s="2468" t="str">
        <f>估价对象房地状况!G18</f>
        <v>该园区内是否有污染型企业，绿化情况，卫生条件，整体环境状况判断</v>
      </c>
      <c r="C91" s="2325" t="s">
        <v>3107</v>
      </c>
      <c r="D91" s="499">
        <f t="shared" si="22"/>
        <v>0</v>
      </c>
      <c r="E91" s="487"/>
      <c r="F91" s="2329"/>
      <c r="G91" s="2459">
        <f t="shared" si="27"/>
        <v>3.7000000000000002E-3</v>
      </c>
      <c r="H91" s="2460">
        <f t="shared" si="23"/>
        <v>3.7000000000000002E-3</v>
      </c>
      <c r="I91" s="2468">
        <v>0.05</v>
      </c>
      <c r="J91" s="493">
        <f t="shared" si="24"/>
        <v>7.4000000000000003E-3</v>
      </c>
      <c r="K91" s="493">
        <f t="shared" si="25"/>
        <v>3.7000000000000002E-3</v>
      </c>
      <c r="L91" s="493">
        <v>0</v>
      </c>
      <c r="M91" s="493">
        <f t="shared" si="26"/>
        <v>-3.7000000000000002E-3</v>
      </c>
      <c r="N91" s="493">
        <f t="shared" si="26"/>
        <v>-7.4000000000000003E-3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v>
      </c>
      <c r="C117" s="2365" t="s">
        <v>2318</v>
      </c>
      <c r="D117" s="500">
        <f>SUMPRODUCT((A119:A123=F117)*(B118:M118=H117)*B119:M123)</f>
        <v>0.57150000000000001</v>
      </c>
      <c r="E117" s="473" t="s">
        <v>2173</v>
      </c>
      <c r="F117" s="501" t="str">
        <f>E2</f>
        <v>工业</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7">I119</f>
        <v>0.8306</v>
      </c>
      <c r="K119" s="502">
        <f t="shared" si="37"/>
        <v>0.8306</v>
      </c>
      <c r="L119" s="502">
        <f t="shared" si="37"/>
        <v>0.8306</v>
      </c>
      <c r="M119" s="504">
        <f t="shared" si="37"/>
        <v>0.8306</v>
      </c>
    </row>
    <row r="120" spans="1:14">
      <c r="A120" s="2413" t="s">
        <v>2230</v>
      </c>
      <c r="B120" s="502">
        <f>ROUND(0.993-0.0112*B117,4)</f>
        <v>0.98180000000000001</v>
      </c>
      <c r="C120" s="502">
        <f>B120</f>
        <v>0.98180000000000001</v>
      </c>
      <c r="D120" s="502">
        <f>ROUND(0.9415-0.0142*B117,4)</f>
        <v>0.92730000000000001</v>
      </c>
      <c r="E120" s="502">
        <f t="shared" ref="E120:H121" si="38">D120</f>
        <v>0.92730000000000001</v>
      </c>
      <c r="F120" s="502">
        <f t="shared" si="38"/>
        <v>0.92730000000000001</v>
      </c>
      <c r="G120" s="502">
        <f t="shared" si="38"/>
        <v>0.92730000000000001</v>
      </c>
      <c r="H120" s="502">
        <f t="shared" si="38"/>
        <v>0.92730000000000001</v>
      </c>
      <c r="I120" s="502">
        <f>ROUND(0.838-0.0182*B117,4)</f>
        <v>0.81979999999999997</v>
      </c>
      <c r="J120" s="502">
        <f t="shared" si="37"/>
        <v>0.81979999999999997</v>
      </c>
      <c r="K120" s="502">
        <f t="shared" si="37"/>
        <v>0.81979999999999997</v>
      </c>
      <c r="L120" s="502">
        <f t="shared" si="37"/>
        <v>0.81979999999999997</v>
      </c>
      <c r="M120" s="504">
        <f t="shared" si="37"/>
        <v>0.81979999999999997</v>
      </c>
    </row>
    <row r="121" spans="1:14">
      <c r="A121" s="2413" t="s">
        <v>2231</v>
      </c>
      <c r="B121" s="502">
        <f>ROUND(0.9448-0.0115*B117,4)</f>
        <v>0.93330000000000002</v>
      </c>
      <c r="C121" s="502">
        <f>B121</f>
        <v>0.93330000000000002</v>
      </c>
      <c r="D121" s="502">
        <f>ROUND(0.937-0.0145*B117,4)</f>
        <v>0.92249999999999999</v>
      </c>
      <c r="E121" s="502">
        <f t="shared" si="38"/>
        <v>0.92249999999999999</v>
      </c>
      <c r="F121" s="502">
        <f t="shared" si="38"/>
        <v>0.92249999999999999</v>
      </c>
      <c r="G121" s="502">
        <f t="shared" si="38"/>
        <v>0.92249999999999999</v>
      </c>
      <c r="H121" s="502">
        <f t="shared" si="38"/>
        <v>0.92249999999999999</v>
      </c>
      <c r="I121" s="502">
        <f>ROUND(0.7965-0.0185*B117,4)</f>
        <v>0.77800000000000002</v>
      </c>
      <c r="J121" s="502">
        <f t="shared" si="37"/>
        <v>0.77800000000000002</v>
      </c>
      <c r="K121" s="502">
        <f t="shared" si="37"/>
        <v>0.77800000000000002</v>
      </c>
      <c r="L121" s="502">
        <f t="shared" si="37"/>
        <v>0.77800000000000002</v>
      </c>
      <c r="M121" s="504">
        <f t="shared" si="37"/>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7"/>
        <v>0.57150000000000001</v>
      </c>
      <c r="K122" s="503">
        <f t="shared" si="37"/>
        <v>0.57150000000000001</v>
      </c>
      <c r="L122" s="503">
        <f t="shared" si="37"/>
        <v>0.57150000000000001</v>
      </c>
      <c r="M122" s="505">
        <f t="shared" si="37"/>
        <v>0.57150000000000001</v>
      </c>
    </row>
    <row r="123" spans="1:14">
      <c r="A123" s="2492" t="s">
        <v>2901</v>
      </c>
      <c r="B123" s="502">
        <f>ROUND(0.9404-0.0106*B117,4)</f>
        <v>0.92979999999999996</v>
      </c>
      <c r="C123" s="502">
        <f>B123</f>
        <v>0.92979999999999996</v>
      </c>
      <c r="D123" s="502">
        <f>ROUND(0.8955-0.0135*B117,4)</f>
        <v>0.88200000000000001</v>
      </c>
      <c r="E123" s="502">
        <f t="shared" ref="E123" si="39">D123</f>
        <v>0.88200000000000001</v>
      </c>
      <c r="F123" s="502">
        <f t="shared" ref="F123" si="40">E123</f>
        <v>0.88200000000000001</v>
      </c>
      <c r="G123" s="502">
        <f t="shared" ref="G123" si="41">F123</f>
        <v>0.88200000000000001</v>
      </c>
      <c r="H123" s="502">
        <f t="shared" ref="H123" si="42">G123</f>
        <v>0.88200000000000001</v>
      </c>
      <c r="I123" s="502">
        <f>ROUND(0.7632-0.0166*B117,4)</f>
        <v>0.74660000000000004</v>
      </c>
      <c r="J123" s="502">
        <f t="shared" ref="J123" si="43">I123</f>
        <v>0.74660000000000004</v>
      </c>
      <c r="K123" s="502">
        <f t="shared" ref="K123" si="44">J123</f>
        <v>0.74660000000000004</v>
      </c>
      <c r="L123" s="502">
        <f t="shared" ref="L123" si="45">K123</f>
        <v>0.74660000000000004</v>
      </c>
      <c r="M123" s="504">
        <f t="shared" ref="M123" si="46">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85" zoomScaleNormal="85" workbookViewId="0">
      <selection activeCell="I1" sqref="I1:I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175</v>
      </c>
      <c r="C2" s="2543" t="s">
        <v>2332</v>
      </c>
      <c r="D2" s="2543" t="s">
        <v>2333</v>
      </c>
      <c r="E2" s="2544">
        <f ca="1">SUMIF(E6:E13,"&lt;&gt;#ref!",E6:E13)</f>
        <v>1450</v>
      </c>
      <c r="F2" s="2542"/>
      <c r="G2" s="2542"/>
      <c r="H2" s="2542"/>
      <c r="I2" s="2542"/>
      <c r="J2" s="2542"/>
      <c r="K2" s="2542"/>
      <c r="L2" s="2542"/>
      <c r="M2" s="2542"/>
      <c r="N2" s="2542"/>
      <c r="O2" s="2542"/>
      <c r="P2" s="2542"/>
    </row>
    <row r="3" spans="1:16" ht="15.75">
      <c r="A3" s="2543" t="s">
        <v>2334</v>
      </c>
      <c r="B3" s="1704">
        <f ca="1">ROUND(B2*10000/E2,0)</f>
        <v>1207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175</v>
      </c>
      <c r="C6" s="2543" t="s">
        <v>2332</v>
      </c>
      <c r="D6" s="2542"/>
      <c r="E6" s="2544">
        <f ca="1">SUMIF(INDIRECT("'"&amp;A6&amp;"'"&amp;"!C:C"),"建筑面积",INDIRECT("'"&amp;A6&amp;"'"&amp;"!D:D"))</f>
        <v>1450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M2" sqref="M1:M1048576"/>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44817</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44817</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44817</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2022-09-13T02:28:19Z</dcterms:modified>
</cp:coreProperties>
</file>