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81" r:id="rId17"/>
    <sheet name="系统读取表" sheetId="74" r:id="rId18"/>
    <sheet name="结果表" sheetId="9" r:id="rId19"/>
    <sheet name="比较法-商业" sheetId="33" r:id="rId20"/>
    <sheet name="收益法" sheetId="15" state="hidden" r:id="rId21"/>
    <sheet name="成本法" sheetId="68" state="hidden" r:id="rId22"/>
    <sheet name="成本法 (元)" sheetId="69" state="hidden" r:id="rId23"/>
    <sheet name="假设开发法" sheetId="12" state="hidden" r:id="rId24"/>
    <sheet name="基准地价修正" sheetId="43" state="hidden" r:id="rId25"/>
    <sheet name="收益法 (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商业租金" sheetId="85" r:id="rId47"/>
    <sheet name="商业售价" sheetId="86" r:id="rId48"/>
    <sheet name="办公市调" sheetId="88" r:id="rId49"/>
    <sheet name="Sheet2" sheetId="87"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4">基准地价修正!$A$1:$J$44,基准地价修正!$A$47:$H$101,基准地价修正!$R$1:$V$16</definedName>
    <definedName name="_xlnm.Print_Area" localSheetId="23">假设开发法!$A$1:$K$32</definedName>
    <definedName name="_xlnm.Print_Area" localSheetId="18">结果表!$A$1:$I$127</definedName>
    <definedName name="_xlnm.Print_Area" localSheetId="20">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U6" i="1" l="1"/>
  <c r="Z6" i="1"/>
  <c r="AF6" i="1"/>
  <c r="E10" i="33"/>
  <c r="L10" i="85"/>
  <c r="L9" i="85"/>
  <c r="L8" i="85"/>
  <c r="L7" i="85"/>
  <c r="V23" i="1"/>
  <c r="J49" i="67"/>
  <c r="U23" i="1" l="1"/>
  <c r="W23" i="1" s="1"/>
  <c r="AC26" i="1"/>
  <c r="AD6" i="1" s="1"/>
  <c r="AC27" i="1"/>
  <c r="I14" i="81"/>
  <c r="G13" i="81"/>
  <c r="I13" i="81"/>
  <c r="H13" i="81"/>
  <c r="F13" i="81"/>
  <c r="E13" i="81"/>
  <c r="G12" i="81"/>
  <c r="I12" i="81"/>
  <c r="H12" i="81"/>
  <c r="I6" i="81"/>
  <c r="I7" i="81"/>
  <c r="I5" i="81"/>
  <c r="G7" i="81"/>
  <c r="G6" i="81"/>
  <c r="G5" i="81"/>
  <c r="M5" i="81"/>
  <c r="L5" i="81"/>
  <c r="E104" i="33"/>
  <c r="F104" i="33"/>
  <c r="G104" i="33"/>
  <c r="D104" i="33"/>
  <c r="AC28" i="1" l="1"/>
  <c r="D66" i="33"/>
  <c r="E66" i="33" s="1"/>
  <c r="F66" i="33" s="1"/>
  <c r="B21" i="1" l="1"/>
  <c r="I10" i="33" l="1"/>
  <c r="C44" i="33"/>
  <c r="AC21" i="1" l="1"/>
  <c r="D12" i="81" l="1"/>
  <c r="J13" i="81"/>
  <c r="F12" i="81"/>
  <c r="J5" i="81" l="1"/>
  <c r="H5" i="81" s="1"/>
  <c r="J6" i="81"/>
  <c r="J7" i="81"/>
  <c r="J4" i="81"/>
  <c r="K4" i="81" s="1"/>
  <c r="G10" i="33"/>
  <c r="C10" i="33"/>
  <c r="H7" i="81" l="1"/>
  <c r="H6" i="81"/>
  <c r="J49" i="15"/>
  <c r="N6" i="1"/>
  <c r="Y6" i="1" s="1"/>
  <c r="C36" i="33" l="1"/>
  <c r="F19" i="6"/>
  <c r="B14" i="74" l="1"/>
  <c r="C33" i="33"/>
  <c r="C4" i="81"/>
  <c r="C12" i="81" s="1"/>
  <c r="U4" i="43"/>
  <c r="D3" i="4"/>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l="1"/>
  <c r="D58" i="78"/>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0" i="79" l="1"/>
  <c r="AI50" i="79" s="1"/>
  <c r="AD51" i="79"/>
  <c r="Z3" i="79"/>
  <c r="N31" i="79"/>
  <c r="S20" i="79"/>
  <c r="AG20" i="79" s="1"/>
  <c r="T22" i="79"/>
  <c r="AD38" i="79"/>
  <c r="AD37" i="79"/>
  <c r="AD36"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4" i="79"/>
  <c r="T35" i="79"/>
  <c r="S35" i="79"/>
  <c r="AG35" i="79" s="1"/>
  <c r="S33" i="79"/>
  <c r="AG33" i="79" s="1"/>
  <c r="S34" i="79"/>
  <c r="AG3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Q3" i="43" l="1"/>
  <c r="Q4" i="43"/>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22" i="79"/>
  <c r="AK22" i="79" s="1"/>
  <c r="AH22"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D7" i="77" s="1"/>
  <c r="C26" i="77" s="1"/>
  <c r="C32" i="77" s="1"/>
  <c r="C38" i="77" s="1"/>
  <c r="C39" i="77" s="1"/>
  <c r="E11" i="77"/>
  <c r="E7" i="77" s="1"/>
  <c r="C27"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s="1"/>
  <c r="F22" i="71" s="1"/>
  <c r="P25" i="71"/>
  <c r="O25" i="71"/>
  <c r="N25" i="71"/>
  <c r="B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E12" i="81" s="1"/>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N38" i="71"/>
  <c r="X36" i="71" s="1"/>
  <c r="Q37" i="71"/>
  <c r="F38" i="71" s="1"/>
  <c r="F39" i="71" s="1"/>
  <c r="P37" i="71"/>
  <c r="O37" i="71"/>
  <c r="Y35" i="71" s="1"/>
  <c r="Z35" i="71" s="1"/>
  <c r="N37" i="71"/>
  <c r="B38" i="71" s="1"/>
  <c r="D37" i="71"/>
  <c r="Q36" i="71"/>
  <c r="P36" i="71"/>
  <c r="AA35" i="71" s="1"/>
  <c r="O36" i="71"/>
  <c r="N36" i="71"/>
  <c r="Q35" i="71"/>
  <c r="AB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N29" i="71"/>
  <c r="D29" i="71"/>
  <c r="O28" i="71"/>
  <c r="N28" i="71"/>
  <c r="B28" i="71" s="1"/>
  <c r="B27" i="71" s="1"/>
  <c r="B26" i="71" s="1"/>
  <c r="B30" i="71"/>
  <c r="B31" i="71" s="1"/>
  <c r="B32" i="71" s="1"/>
  <c r="S32" i="71" s="1"/>
  <c r="E34" i="71"/>
  <c r="X31" i="71"/>
  <c r="P28" i="71"/>
  <c r="E28" i="71" s="1"/>
  <c r="U68" i="71"/>
  <c r="E67" i="71"/>
  <c r="P67" i="71" s="1"/>
  <c r="Q28" i="71"/>
  <c r="C63" i="71"/>
  <c r="C64" i="71" s="1"/>
  <c r="D62" i="71"/>
  <c r="C67" i="71"/>
  <c r="D67" i="71" s="1"/>
  <c r="E71" i="71"/>
  <c r="E70" i="71"/>
  <c r="D72" i="71"/>
  <c r="E79" i="71"/>
  <c r="E78" i="71" s="1"/>
  <c r="C87" i="71"/>
  <c r="C86" i="71" s="1"/>
  <c r="D86" i="71" s="1"/>
  <c r="F28" i="71"/>
  <c r="F27" i="71" s="1"/>
  <c r="F26" i="71" s="1"/>
  <c r="D63" i="7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21" i="34"/>
  <c r="H25" i="40"/>
  <c r="AB25" i="40" s="1"/>
  <c r="J25" i="40"/>
  <c r="H29" i="39"/>
  <c r="AB29" i="39" s="1"/>
  <c r="J29" i="39"/>
  <c r="AC29" i="39" s="1"/>
  <c r="J18" i="36"/>
  <c r="AC18" i="36" s="1"/>
  <c r="H18" i="35"/>
  <c r="AB18" i="35" s="1"/>
  <c r="J18" i="35"/>
  <c r="W18" i="35" s="1"/>
  <c r="H21" i="37"/>
  <c r="U21" i="37" s="1"/>
  <c r="F21" i="37"/>
  <c r="AA21" i="37" s="1"/>
  <c r="H21" i="34"/>
  <c r="AB21" i="34" s="1"/>
  <c r="H21" i="33"/>
  <c r="U21" i="33" s="1"/>
  <c r="F21" i="33"/>
  <c r="AA21" i="33" s="1"/>
  <c r="E83" i="21"/>
  <c r="F83" i="21" s="1"/>
  <c r="G83" i="21" s="1"/>
  <c r="H1" i="69"/>
  <c r="AC25" i="40"/>
  <c r="W25" i="40"/>
  <c r="U25" i="40"/>
  <c r="W18" i="36"/>
  <c r="AB21" i="37"/>
  <c r="U21" i="34"/>
  <c r="AC18" i="35"/>
  <c r="J21" i="37"/>
  <c r="W21" i="37" s="1"/>
  <c r="J21" i="34"/>
  <c r="W21" i="34" s="1"/>
  <c r="J21" i="33"/>
  <c r="W21" i="33" s="1"/>
  <c r="H21" i="21"/>
  <c r="U21" i="21" s="1"/>
  <c r="F38" i="69"/>
  <c r="E37" i="69"/>
  <c r="F36" i="69"/>
  <c r="F35" i="69"/>
  <c r="F21" i="69"/>
  <c r="F40" i="69" s="1"/>
  <c r="F20" i="69"/>
  <c r="F39" i="69" s="1"/>
  <c r="E10" i="69"/>
  <c r="E9" i="69"/>
  <c r="AC21" i="37"/>
  <c r="J21" i="21"/>
  <c r="W21" i="21" s="1"/>
  <c r="C40" i="69"/>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42" i="1" s="1"/>
  <c r="C24" i="12"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A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D111" i="33"/>
  <c r="E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F27" i="33" s="1"/>
  <c r="AA27"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B40" i="33" s="1"/>
  <c r="AA40" i="33"/>
  <c r="Q39" i="33"/>
  <c r="Z39" i="33" s="1"/>
  <c r="J39" i="33"/>
  <c r="AC39" i="33" s="1"/>
  <c r="Q38" i="33"/>
  <c r="Z38" i="33" s="1"/>
  <c r="J38" i="33"/>
  <c r="AC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B128" i="21"/>
  <c r="J45" i="21" s="1"/>
  <c r="W45" i="21" s="1"/>
  <c r="B126" i="21"/>
  <c r="B98" i="21"/>
  <c r="H31" i="21" s="1"/>
  <c r="B96" i="21"/>
  <c r="B94" i="21"/>
  <c r="J29" i="21" s="1"/>
  <c r="B92" i="21"/>
  <c r="B90" i="21"/>
  <c r="J27" i="21" s="1"/>
  <c r="W27" i="21" s="1"/>
  <c r="B74" i="21"/>
  <c r="B72" i="21"/>
  <c r="H13" i="21" s="1"/>
  <c r="B70" i="21"/>
  <c r="F12"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W35" i="21" s="1"/>
  <c r="Q35" i="21"/>
  <c r="Z35" i="21" s="1"/>
  <c r="Q36" i="21"/>
  <c r="Z36" i="21"/>
  <c r="Q37" i="21"/>
  <c r="Z37" i="21" s="1"/>
  <c r="J38" i="21"/>
  <c r="W38" i="2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s="1"/>
  <c r="J26" i="21"/>
  <c r="W26" i="21" s="1"/>
  <c r="F26" i="21"/>
  <c r="S26" i="21" s="1"/>
  <c r="AB41" i="21"/>
  <c r="AA41" i="21"/>
  <c r="F45" i="39"/>
  <c r="S45" i="39" s="1"/>
  <c r="J45" i="39"/>
  <c r="W45" i="39" s="1"/>
  <c r="J44" i="39"/>
  <c r="AC44" i="39" s="1"/>
  <c r="F36" i="39"/>
  <c r="S36" i="39" s="1"/>
  <c r="H36" i="39"/>
  <c r="AB36" i="39"/>
  <c r="J35" i="39"/>
  <c r="AC35" i="39" s="1"/>
  <c r="F35" i="39"/>
  <c r="AA35" i="39" s="1"/>
  <c r="J36" i="39"/>
  <c r="AC36" i="39" s="1"/>
  <c r="W40" i="39"/>
  <c r="W25" i="37"/>
  <c r="U30" i="37"/>
  <c r="W31" i="37"/>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S40" i="33"/>
  <c r="H39" i="37"/>
  <c r="AB39" i="37" s="1"/>
  <c r="F11" i="40"/>
  <c r="AA11" i="40" s="1"/>
  <c r="H11" i="40"/>
  <c r="AB11" i="40" s="1"/>
  <c r="W8" i="40"/>
  <c r="AA9" i="40"/>
  <c r="U9" i="40"/>
  <c r="U38" i="40"/>
  <c r="W31" i="40"/>
  <c r="U34" i="40"/>
  <c r="S38"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J31" i="39"/>
  <c r="H27" i="39"/>
  <c r="U27" i="39" s="1"/>
  <c r="J19" i="39"/>
  <c r="AC19" i="39" s="1"/>
  <c r="J17" i="39"/>
  <c r="J27" i="39"/>
  <c r="AC27" i="39" s="1"/>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W32" i="40"/>
  <c r="S44" i="39"/>
  <c r="F37" i="39"/>
  <c r="AA37" i="39" s="1"/>
  <c r="J34" i="36"/>
  <c r="W34" i="36" s="1"/>
  <c r="U30" i="36"/>
  <c r="J30" i="35"/>
  <c r="W30" i="35" s="1"/>
  <c r="H30" i="35"/>
  <c r="AB30" i="35" s="1"/>
  <c r="F22" i="35"/>
  <c r="AA22" i="35" s="1"/>
  <c r="H10" i="35"/>
  <c r="U10" i="35" s="1"/>
  <c r="F33" i="36"/>
  <c r="AA33" i="36" s="1"/>
  <c r="W30" i="36"/>
  <c r="H16" i="36"/>
  <c r="AB16" i="36" s="1"/>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H37" i="33"/>
  <c r="AB37" i="33" s="1"/>
  <c r="H15" i="33"/>
  <c r="AB15" i="33" s="1"/>
  <c r="H11" i="33"/>
  <c r="AB11" i="33" s="1"/>
  <c r="F28" i="40"/>
  <c r="AA28" i="40" s="1"/>
  <c r="AA42" i="34"/>
  <c r="S42" i="34"/>
  <c r="AC38" i="34"/>
  <c r="AA38" i="34"/>
  <c r="J37" i="34"/>
  <c r="AC37" i="34" s="1"/>
  <c r="J11" i="33"/>
  <c r="W11" i="33" s="1"/>
  <c r="M123" i="21"/>
  <c r="J42" i="21"/>
  <c r="AC42" i="21" s="1"/>
  <c r="H42" i="21"/>
  <c r="U42" i="21" s="1"/>
  <c r="J44" i="34"/>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s="1"/>
  <c r="F44" i="21"/>
  <c r="AA44" i="21" s="1"/>
  <c r="U46" i="2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H29" i="33"/>
  <c r="U29" i="33" s="1"/>
  <c r="F29" i="33"/>
  <c r="S29" i="33" s="1"/>
  <c r="J31" i="33"/>
  <c r="W31" i="33" s="1"/>
  <c r="H31" i="33"/>
  <c r="F31" i="33"/>
  <c r="S31" i="33" s="1"/>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S30" i="33" s="1"/>
  <c r="J30" i="33"/>
  <c r="W30" i="33" s="1"/>
  <c r="H44" i="33"/>
  <c r="U44" i="33" s="1"/>
  <c r="J44" i="33"/>
  <c r="W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c r="F14" i="37"/>
  <c r="AA14" i="37" s="1"/>
  <c r="F27" i="37"/>
  <c r="AA27" i="37" s="1"/>
  <c r="F13" i="39"/>
  <c r="J13" i="39"/>
  <c r="W13" i="39" s="1"/>
  <c r="H13" i="39"/>
  <c r="H14" i="40"/>
  <c r="AB14" i="40" s="1"/>
  <c r="J14" i="40"/>
  <c r="W14" i="40" s="1"/>
  <c r="F14" i="40"/>
  <c r="AA14" i="40" s="1"/>
  <c r="J14" i="37"/>
  <c r="J27" i="37"/>
  <c r="AC27" i="37" s="1"/>
  <c r="J36" i="37"/>
  <c r="AC36" i="37" s="1"/>
  <c r="J10" i="36"/>
  <c r="AC10" i="36" s="1"/>
  <c r="AB30" i="21"/>
  <c r="W31" i="34"/>
  <c r="AA14" i="34"/>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BA574" i="3"/>
  <c r="BA572" i="3"/>
  <c r="AZ572" i="3" s="1"/>
  <c r="BA570" i="3"/>
  <c r="AZ570" i="3" s="1"/>
  <c r="BA568" i="3"/>
  <c r="BA566" i="3"/>
  <c r="BA564" i="3"/>
  <c r="BA562" i="3"/>
  <c r="BA560" i="3"/>
  <c r="BA558" i="3"/>
  <c r="BA556" i="3"/>
  <c r="AZ556" i="3" s="1"/>
  <c r="BA554" i="3"/>
  <c r="AZ554" i="3" s="1"/>
  <c r="BA552" i="3"/>
  <c r="BA548" i="3"/>
  <c r="BA546" i="3"/>
  <c r="BA544" i="3"/>
  <c r="AZ544" i="3" s="1"/>
  <c r="BA542" i="3"/>
  <c r="AZ542" i="3" s="1"/>
  <c r="BA540" i="3"/>
  <c r="BA538" i="3"/>
  <c r="AZ538" i="3"/>
  <c r="BA536" i="3"/>
  <c r="BA534" i="3"/>
  <c r="AZ534" i="3"/>
  <c r="BA532" i="3"/>
  <c r="AZ532" i="3" s="1"/>
  <c r="BA530" i="3"/>
  <c r="BA528" i="3"/>
  <c r="BA526" i="3"/>
  <c r="BA524" i="3"/>
  <c r="BA522" i="3"/>
  <c r="BA520" i="3"/>
  <c r="BA518" i="3"/>
  <c r="BA516" i="3"/>
  <c r="AZ516" i="3" s="1"/>
  <c r="BA514" i="3"/>
  <c r="BA512" i="3"/>
  <c r="BA510" i="3"/>
  <c r="BA508" i="3"/>
  <c r="BA506" i="3"/>
  <c r="BA504" i="3"/>
  <c r="AZ504" i="3" s="1"/>
  <c r="BA502" i="3"/>
  <c r="BA500" i="3"/>
  <c r="BA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BQ539" i="3"/>
  <c r="BL539" i="3" s="1"/>
  <c r="BQ537" i="3"/>
  <c r="BL537" i="3" s="1"/>
  <c r="BQ535" i="3"/>
  <c r="BL535" i="3" s="1"/>
  <c r="BQ533" i="3"/>
  <c r="BL533" i="3"/>
  <c r="BQ531" i="3"/>
  <c r="BL531" i="3" s="1"/>
  <c r="BQ529" i="3"/>
  <c r="BL529" i="3" s="1"/>
  <c r="BQ527" i="3"/>
  <c r="BL527" i="3" s="1"/>
  <c r="BQ525" i="3"/>
  <c r="BL525" i="3" s="1"/>
  <c r="BQ523" i="3"/>
  <c r="BL523" i="3" s="1"/>
  <c r="BA521" i="3"/>
  <c r="AC521" i="3"/>
  <c r="G521" i="3" s="1"/>
  <c r="BQ521" i="3"/>
  <c r="BL521" i="3" s="1"/>
  <c r="BL520" i="3"/>
  <c r="G519" i="3"/>
  <c r="G517" i="3"/>
  <c r="G515" i="3"/>
  <c r="G513" i="3"/>
  <c r="G511" i="3"/>
  <c r="BQ519" i="3"/>
  <c r="BL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39" i="37"/>
  <c r="U26" i="37"/>
  <c r="W47" i="34"/>
  <c r="AC36" i="34"/>
  <c r="AA13" i="33"/>
  <c r="AC31" i="33"/>
  <c r="AC45"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AZ500" i="3"/>
  <c r="BA16" i="3"/>
  <c r="BL303" i="3"/>
  <c r="G304" i="3"/>
  <c r="BA306" i="3"/>
  <c r="BL307" i="3"/>
  <c r="G308" i="3"/>
  <c r="BA310" i="3"/>
  <c r="BL311" i="3"/>
  <c r="AZ311" i="3" s="1"/>
  <c r="G312" i="3"/>
  <c r="BA314" i="3"/>
  <c r="BL315" i="3"/>
  <c r="G316" i="3"/>
  <c r="BA318" i="3"/>
  <c r="BL319" i="3"/>
  <c r="G320" i="3"/>
  <c r="BA322" i="3"/>
  <c r="BL323" i="3"/>
  <c r="G324" i="3"/>
  <c r="BA326" i="3"/>
  <c r="AZ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s="1"/>
  <c r="BA379" i="3"/>
  <c r="BL380" i="3"/>
  <c r="G381" i="3"/>
  <c r="BA383" i="3"/>
  <c r="BL384" i="3"/>
  <c r="G385" i="3"/>
  <c r="BA387" i="3"/>
  <c r="BL388" i="3"/>
  <c r="G389" i="3"/>
  <c r="BA391" i="3"/>
  <c r="BL392" i="3"/>
  <c r="G393" i="3"/>
  <c r="BO5" i="3"/>
  <c r="BM5" i="3"/>
  <c r="BJ5" i="3"/>
  <c r="BH5" i="3"/>
  <c r="BF5" i="3"/>
  <c r="BD5" i="3"/>
  <c r="AZ325" i="3"/>
  <c r="AC5" i="3"/>
  <c r="AZ506" i="3"/>
  <c r="AZ496" i="3"/>
  <c r="G548" i="3"/>
  <c r="G538" i="3"/>
  <c r="G520" i="3"/>
  <c r="G502" i="3"/>
  <c r="BS5" i="3"/>
  <c r="BP5" i="3"/>
  <c r="BN5" i="3"/>
  <c r="BK5" i="3"/>
  <c r="BI5" i="3"/>
  <c r="BG5" i="3"/>
  <c r="BE5" i="3"/>
  <c r="BC5" i="3"/>
  <c r="G17" i="3"/>
  <c r="BA17" i="3"/>
  <c r="BT5" i="3"/>
  <c r="BA15" i="3"/>
  <c r="BB5" i="3"/>
  <c r="BR5" i="3"/>
  <c r="G509" i="3"/>
  <c r="BL493" i="3"/>
  <c r="AZ493" i="3" s="1"/>
  <c r="U36" i="40"/>
  <c r="F83" i="43"/>
  <c r="H85" i="43" s="1"/>
  <c r="F50" i="43"/>
  <c r="H54" i="43" s="1"/>
  <c r="G54" i="43" s="1"/>
  <c r="F72" i="43"/>
  <c r="H75" i="43" s="1"/>
  <c r="U17" i="39"/>
  <c r="S14" i="35"/>
  <c r="U43" i="21"/>
  <c r="U35" i="21"/>
  <c r="AC35" i="2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C39" i="40"/>
  <c r="W39" i="40"/>
  <c r="W12" i="33"/>
  <c r="AC12" i="33"/>
  <c r="AA32" i="36"/>
  <c r="S32" i="36"/>
  <c r="BL14" i="3"/>
  <c r="AC13" i="34"/>
  <c r="AA47" i="34"/>
  <c r="W28" i="37"/>
  <c r="S19" i="39"/>
  <c r="F12" i="33"/>
  <c r="H12" i="39"/>
  <c r="AB12" i="39" s="1"/>
  <c r="F39" i="40"/>
  <c r="S39" i="40" s="1"/>
  <c r="BA14" i="3"/>
  <c r="B12" i="1"/>
  <c r="E12" i="1" s="1"/>
  <c r="B10" i="1"/>
  <c r="E10" i="1" s="1"/>
  <c r="K12" i="1"/>
  <c r="M12" i="1" s="1"/>
  <c r="S13" i="1"/>
  <c r="AR13" i="1" s="1"/>
  <c r="R13" i="1"/>
  <c r="J51" i="67"/>
  <c r="AC34" i="33"/>
  <c r="B41" i="1"/>
  <c r="F48" i="9" s="1"/>
  <c r="O52" i="9" s="1"/>
  <c r="AB37" i="40"/>
  <c r="S35" i="40"/>
  <c r="U35" i="40"/>
  <c r="AC36" i="40"/>
  <c r="W38" i="40"/>
  <c r="AA32" i="40"/>
  <c r="S17" i="40"/>
  <c r="S23" i="40"/>
  <c r="AC17" i="40"/>
  <c r="AC15" i="40"/>
  <c r="AB27" i="40"/>
  <c r="AA19" i="40"/>
  <c r="S28" i="40"/>
  <c r="U21" i="40"/>
  <c r="AB19" i="40"/>
  <c r="U37" i="39"/>
  <c r="S43" i="39"/>
  <c r="S37" i="39"/>
  <c r="U35" i="39"/>
  <c r="F32" i="39"/>
  <c r="S32" i="39" s="1"/>
  <c r="F106" i="39"/>
  <c r="G106" i="39" s="1"/>
  <c r="H106" i="39" s="1"/>
  <c r="I106" i="39" s="1"/>
  <c r="J106" i="39" s="1"/>
  <c r="K106" i="39" s="1"/>
  <c r="L106" i="39" s="1"/>
  <c r="M106" i="39" s="1"/>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W38" i="37"/>
  <c r="AC35" i="37"/>
  <c r="W39" i="37"/>
  <c r="S30" i="37"/>
  <c r="S37" i="37"/>
  <c r="AC15" i="37"/>
  <c r="J17" i="37"/>
  <c r="W17" i="37" s="1"/>
  <c r="G73" i="37"/>
  <c r="F17" i="37"/>
  <c r="AA17" i="37" s="1"/>
  <c r="AB17" i="37"/>
  <c r="F75" i="37"/>
  <c r="F19" i="37"/>
  <c r="S19" i="37" s="1"/>
  <c r="F79" i="37"/>
  <c r="G79" i="37" s="1"/>
  <c r="F23" i="37"/>
  <c r="S23" i="37" s="1"/>
  <c r="U23" i="37"/>
  <c r="U15" i="37"/>
  <c r="AC13" i="37"/>
  <c r="AA13" i="37"/>
  <c r="H10" i="37"/>
  <c r="AB10" i="37" s="1"/>
  <c r="F63" i="37"/>
  <c r="G63" i="37" s="1"/>
  <c r="H63" i="37" s="1"/>
  <c r="I63" i="37" s="1"/>
  <c r="J63" i="37" s="1"/>
  <c r="K63" i="37" s="1"/>
  <c r="L63" i="37" s="1"/>
  <c r="M63" i="37" s="1"/>
  <c r="F11" i="37"/>
  <c r="S11" i="37" s="1"/>
  <c r="W25" i="34"/>
  <c r="AB8" i="34"/>
  <c r="U43" i="34"/>
  <c r="W41" i="34"/>
  <c r="AC42" i="34"/>
  <c r="AB35" i="34"/>
  <c r="U39" i="34"/>
  <c r="S43" i="34"/>
  <c r="AB41" i="34"/>
  <c r="AA45" i="34"/>
  <c r="AA25" i="34"/>
  <c r="U28" i="34"/>
  <c r="S17" i="34"/>
  <c r="AA29" i="34"/>
  <c r="U27" i="34"/>
  <c r="S23" i="34"/>
  <c r="U15" i="34"/>
  <c r="S13" i="34"/>
  <c r="H10" i="34"/>
  <c r="AB10" i="34" s="1"/>
  <c r="F11" i="34"/>
  <c r="S11" i="34" s="1"/>
  <c r="F70" i="34"/>
  <c r="G70" i="34" s="1"/>
  <c r="W42" i="33"/>
  <c r="W38" i="33"/>
  <c r="H41" i="33"/>
  <c r="U41" i="33" s="1"/>
  <c r="F121" i="33"/>
  <c r="G121" i="33" s="1"/>
  <c r="H121" i="33" s="1"/>
  <c r="I121" i="33" s="1"/>
  <c r="J121" i="33" s="1"/>
  <c r="K121" i="33" s="1"/>
  <c r="L121" i="33" s="1"/>
  <c r="M121"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S46" i="33"/>
  <c r="H27" i="33"/>
  <c r="AB27" i="33" s="1"/>
  <c r="F87" i="33"/>
  <c r="H25" i="33"/>
  <c r="U25" i="33" s="1"/>
  <c r="F25" i="33"/>
  <c r="S25" i="33" s="1"/>
  <c r="J23" i="33"/>
  <c r="AC23" i="33" s="1"/>
  <c r="H23" i="33"/>
  <c r="AB23" i="33" s="1"/>
  <c r="F81" i="33"/>
  <c r="G81" i="33" s="1"/>
  <c r="F19" i="33"/>
  <c r="S19" i="33" s="1"/>
  <c r="W19" i="33"/>
  <c r="J17" i="33"/>
  <c r="AC17" i="33" s="1"/>
  <c r="F79" i="33"/>
  <c r="G79" i="33" s="1"/>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W46" i="33"/>
  <c r="S33" i="33"/>
  <c r="AC14" i="33"/>
  <c r="W14" i="33"/>
  <c r="AA31" i="33"/>
  <c r="W13" i="33"/>
  <c r="AC13" i="33"/>
  <c r="U15" i="33"/>
  <c r="S11" i="33"/>
  <c r="W9"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U9" i="21" s="1"/>
  <c r="J9" i="21"/>
  <c r="AC9" i="21" s="1"/>
  <c r="J32" i="21"/>
  <c r="W32" i="21" s="1"/>
  <c r="F32" i="21"/>
  <c r="AA32" i="21" s="1"/>
  <c r="AA31" i="21"/>
  <c r="U17"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H32" i="39"/>
  <c r="AB32" i="39" s="1"/>
  <c r="AA32" i="39"/>
  <c r="AB21" i="39"/>
  <c r="U21" i="39"/>
  <c r="AA21" i="39"/>
  <c r="S21" i="39"/>
  <c r="AC17" i="37"/>
  <c r="J19" i="37"/>
  <c r="W19" i="37" s="1"/>
  <c r="G75" i="37"/>
  <c r="AA19" i="37"/>
  <c r="J23" i="37"/>
  <c r="AC23" i="37" s="1"/>
  <c r="J10" i="37"/>
  <c r="W10" i="37" s="1"/>
  <c r="H11" i="37"/>
  <c r="AB11" i="37" s="1"/>
  <c r="H11" i="34"/>
  <c r="U11" i="34" s="1"/>
  <c r="J10" i="34"/>
  <c r="AC10" i="34" s="1"/>
  <c r="J27" i="33"/>
  <c r="AC27" i="33" s="1"/>
  <c r="G87" i="33"/>
  <c r="H87" i="33" s="1"/>
  <c r="I87" i="33" s="1"/>
  <c r="J87" i="33" s="1"/>
  <c r="K87" i="33" s="1"/>
  <c r="L87" i="33" s="1"/>
  <c r="M87" i="33" s="1"/>
  <c r="J25" i="33"/>
  <c r="AC25" i="33" s="1"/>
  <c r="F23" i="33"/>
  <c r="H19" i="33"/>
  <c r="U19" i="33" s="1"/>
  <c r="H17" i="33"/>
  <c r="U17" i="33" s="1"/>
  <c r="F17" i="33"/>
  <c r="S17" i="33" s="1"/>
  <c r="J23" i="21"/>
  <c r="AC23" i="21" s="1"/>
  <c r="F85" i="21"/>
  <c r="G85" i="21" s="1"/>
  <c r="H23" i="21"/>
  <c r="U23" i="21" s="1"/>
  <c r="S13" i="21"/>
  <c r="AP7" i="1"/>
  <c r="AB45" i="21"/>
  <c r="AB9" i="21"/>
  <c r="AB32" i="21"/>
  <c r="U32" i="39"/>
  <c r="J11" i="37"/>
  <c r="AC11" i="37" s="1"/>
  <c r="H70" i="34"/>
  <c r="I70" i="34" s="1"/>
  <c r="J70" i="34" s="1"/>
  <c r="K70" i="34" s="1"/>
  <c r="L70" i="34" s="1"/>
  <c r="M70" i="34"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2" i="69"/>
  <c r="F7" i="73"/>
  <c r="E12" i="76"/>
  <c r="E11" i="76"/>
  <c r="E13" i="76"/>
  <c r="L47" i="15"/>
  <c r="B12" i="76"/>
  <c r="F5" i="73"/>
  <c r="F20" i="31"/>
  <c r="AO13" i="1"/>
  <c r="E10" i="76"/>
  <c r="F4" i="73"/>
  <c r="B8" i="76"/>
  <c r="B10" i="76"/>
  <c r="F40" i="15"/>
  <c r="F6" i="67"/>
  <c r="F7" i="15"/>
  <c r="M28" i="15"/>
  <c r="F36" i="15"/>
  <c r="M24" i="15"/>
  <c r="B9" i="76"/>
  <c r="C76" i="15"/>
  <c r="E7" i="76"/>
  <c r="F9" i="15"/>
  <c r="D6" i="73"/>
  <c r="F38" i="15"/>
  <c r="F13" i="15"/>
  <c r="F16" i="15"/>
  <c r="M26" i="67"/>
  <c r="B13" i="76"/>
  <c r="E9" i="76"/>
  <c r="E8" i="76"/>
  <c r="M29" i="15"/>
  <c r="B7" i="76"/>
  <c r="E2" i="68"/>
  <c r="F42" i="15"/>
  <c r="F3" i="73"/>
  <c r="F6" i="73"/>
  <c r="F38" i="67"/>
  <c r="B11" i="76"/>
  <c r="AC30" i="33" l="1"/>
  <c r="F91" i="33"/>
  <c r="G91" i="33" s="1"/>
  <c r="H91" i="33" s="1"/>
  <c r="I91" i="33" s="1"/>
  <c r="J91" i="33" s="1"/>
  <c r="K91" i="33" s="1"/>
  <c r="L91" i="33" s="1"/>
  <c r="M91" i="33" s="1"/>
  <c r="AC29" i="21"/>
  <c r="W29" i="21"/>
  <c r="AB33" i="36"/>
  <c r="U33" i="36"/>
  <c r="AC12" i="39"/>
  <c r="W12" i="39"/>
  <c r="U25" i="37"/>
  <c r="AB25" i="37"/>
  <c r="AA27" i="40"/>
  <c r="AB33" i="34"/>
  <c r="D120" i="9"/>
  <c r="D121" i="9" s="1"/>
  <c r="D7" i="52" s="1"/>
  <c r="AC39" i="34"/>
  <c r="U25" i="39"/>
  <c r="AA34" i="33"/>
  <c r="AZ338" i="3"/>
  <c r="AZ327" i="3"/>
  <c r="AZ304" i="3"/>
  <c r="AZ380" i="3"/>
  <c r="AZ497" i="3"/>
  <c r="AZ505" i="3"/>
  <c r="AZ521" i="3"/>
  <c r="AZ525" i="3"/>
  <c r="AZ533" i="3"/>
  <c r="AZ561" i="3"/>
  <c r="AZ569" i="3"/>
  <c r="AZ577" i="3"/>
  <c r="AZ565" i="3"/>
  <c r="AZ512" i="3"/>
  <c r="AZ520" i="3"/>
  <c r="AZ528" i="3"/>
  <c r="AZ574" i="3"/>
  <c r="AA14" i="33"/>
  <c r="H23" i="35"/>
  <c r="F6" i="1"/>
  <c r="AZ499" i="3"/>
  <c r="AZ541" i="3"/>
  <c r="AZ563" i="3"/>
  <c r="AZ498" i="3"/>
  <c r="AZ536" i="3"/>
  <c r="AC11" i="35"/>
  <c r="AB23" i="21"/>
  <c r="S32" i="21"/>
  <c r="AA33" i="34"/>
  <c r="AZ310" i="3"/>
  <c r="AZ394" i="3"/>
  <c r="G398" i="3"/>
  <c r="AZ379" i="3"/>
  <c r="AZ357" i="3"/>
  <c r="AZ515" i="3"/>
  <c r="B79" i="43"/>
  <c r="BA402" i="3"/>
  <c r="AZ402" i="3" s="1"/>
  <c r="BL402" i="3"/>
  <c r="BA406" i="3"/>
  <c r="BL406" i="3"/>
  <c r="G413" i="3"/>
  <c r="BL416" i="3"/>
  <c r="G418" i="3"/>
  <c r="BA419" i="3"/>
  <c r="G422" i="3"/>
  <c r="G428" i="3"/>
  <c r="G432" i="3"/>
  <c r="G436" i="3"/>
  <c r="BA448" i="3"/>
  <c r="G449" i="3"/>
  <c r="G453" i="3"/>
  <c r="G457" i="3"/>
  <c r="G461" i="3"/>
  <c r="G471" i="3"/>
  <c r="BL487" i="3"/>
  <c r="G488" i="3"/>
  <c r="G492" i="3"/>
  <c r="G318" i="3"/>
  <c r="G358" i="3"/>
  <c r="G362" i="3"/>
  <c r="G392" i="3"/>
  <c r="BL395" i="3"/>
  <c r="G396" i="3"/>
  <c r="G215" i="3"/>
  <c r="BL226" i="3"/>
  <c r="G227" i="3"/>
  <c r="G231" i="3"/>
  <c r="BA233" i="3"/>
  <c r="G241" i="3"/>
  <c r="G249" i="3"/>
  <c r="BA252" i="3"/>
  <c r="AZ252" i="3" s="1"/>
  <c r="G254" i="3"/>
  <c r="G258" i="3"/>
  <c r="BA275" i="3"/>
  <c r="G276" i="3"/>
  <c r="BA277" i="3"/>
  <c r="AZ277" i="3" s="1"/>
  <c r="BL277" i="3"/>
  <c r="BL280" i="3"/>
  <c r="BA286" i="3"/>
  <c r="G289" i="3"/>
  <c r="G299" i="3"/>
  <c r="G127" i="3"/>
  <c r="G136" i="3"/>
  <c r="G144" i="3"/>
  <c r="BA149" i="3"/>
  <c r="G152" i="3"/>
  <c r="G172" i="3"/>
  <c r="BL175" i="3"/>
  <c r="AZ175" i="3" s="1"/>
  <c r="G176" i="3"/>
  <c r="G19" i="3"/>
  <c r="BL23" i="3"/>
  <c r="BA25" i="3"/>
  <c r="BA26" i="3"/>
  <c r="G28" i="3"/>
  <c r="BL28" i="3"/>
  <c r="BA29" i="3"/>
  <c r="G32" i="3"/>
  <c r="G33" i="3"/>
  <c r="BA33" i="3"/>
  <c r="BA47" i="3"/>
  <c r="AZ47" i="3" s="1"/>
  <c r="BL47" i="3"/>
  <c r="G49" i="3"/>
  <c r="G50" i="3"/>
  <c r="BA55" i="3"/>
  <c r="G62" i="3"/>
  <c r="BL110" i="3"/>
  <c r="G111" i="3"/>
  <c r="O68" i="71"/>
  <c r="B39" i="71"/>
  <c r="B40" i="71" s="1"/>
  <c r="S40" i="71" s="1"/>
  <c r="AA3" i="71"/>
  <c r="T68" i="71"/>
  <c r="AA38" i="71"/>
  <c r="B51" i="71"/>
  <c r="B52" i="71" s="1"/>
  <c r="S52" i="71" s="1"/>
  <c r="B59" i="71"/>
  <c r="B60" i="71" s="1"/>
  <c r="S60" i="71" s="1"/>
  <c r="B79" i="71"/>
  <c r="B78" i="71" s="1"/>
  <c r="G403" i="3"/>
  <c r="G411" i="3"/>
  <c r="G415" i="3"/>
  <c r="G420" i="3"/>
  <c r="BL423" i="3"/>
  <c r="BL458" i="3"/>
  <c r="BA462" i="3"/>
  <c r="AZ462" i="3" s="1"/>
  <c r="BA470" i="3"/>
  <c r="BL484" i="3"/>
  <c r="BA319" i="3"/>
  <c r="AZ319" i="3" s="1"/>
  <c r="BL359" i="3"/>
  <c r="AZ359" i="3" s="1"/>
  <c r="BL367" i="3"/>
  <c r="BL375" i="3"/>
  <c r="AZ375" i="3" s="1"/>
  <c r="BL385" i="3"/>
  <c r="BA220" i="3"/>
  <c r="BL224" i="3"/>
  <c r="BA231" i="3"/>
  <c r="BL237" i="3"/>
  <c r="BL238" i="3"/>
  <c r="BA302" i="3"/>
  <c r="BL122" i="3"/>
  <c r="BA145" i="3"/>
  <c r="BA156" i="3"/>
  <c r="AZ156" i="3" s="1"/>
  <c r="BL161" i="3"/>
  <c r="BL167" i="3"/>
  <c r="AZ167" i="3" s="1"/>
  <c r="BL173" i="3"/>
  <c r="BL198" i="3"/>
  <c r="BA70" i="3"/>
  <c r="AB21" i="33"/>
  <c r="U29" i="39"/>
  <c r="B68" i="43"/>
  <c r="BA407" i="3"/>
  <c r="G410" i="3"/>
  <c r="BA420" i="3"/>
  <c r="BA422" i="3"/>
  <c r="G433" i="3"/>
  <c r="G441" i="3"/>
  <c r="G484" i="3"/>
  <c r="BA488" i="3"/>
  <c r="BL488" i="3"/>
  <c r="G323" i="3"/>
  <c r="G343" i="3"/>
  <c r="G347" i="3"/>
  <c r="BL350" i="3"/>
  <c r="G351" i="3"/>
  <c r="BA366" i="3"/>
  <c r="AZ366" i="3" s="1"/>
  <c r="BL383" i="3"/>
  <c r="AZ383" i="3" s="1"/>
  <c r="G220" i="3"/>
  <c r="G228" i="3"/>
  <c r="G232" i="3"/>
  <c r="BL236" i="3"/>
  <c r="G237" i="3"/>
  <c r="BA240" i="3"/>
  <c r="BL254" i="3"/>
  <c r="BL262" i="3"/>
  <c r="G263" i="3"/>
  <c r="BL289" i="3"/>
  <c r="G290" i="3"/>
  <c r="BA134" i="3"/>
  <c r="BL138" i="3"/>
  <c r="BA140" i="3"/>
  <c r="AZ140" i="3" s="1"/>
  <c r="BL181" i="3"/>
  <c r="BL205" i="3"/>
  <c r="G60" i="3"/>
  <c r="BA62" i="3"/>
  <c r="AZ62" i="3" s="1"/>
  <c r="BL62" i="3"/>
  <c r="BL63" i="3"/>
  <c r="BA88" i="3"/>
  <c r="BA109" i="3"/>
  <c r="J51" i="15"/>
  <c r="B57" i="43"/>
  <c r="Y29" i="71"/>
  <c r="Z29" i="71" s="1"/>
  <c r="X34" i="71"/>
  <c r="AA37" i="71"/>
  <c r="Y38" i="71"/>
  <c r="Z38" i="71" s="1"/>
  <c r="C59" i="71"/>
  <c r="S76" i="71"/>
  <c r="U33" i="33"/>
  <c r="F111" i="33"/>
  <c r="G111" i="33" s="1"/>
  <c r="H111" i="33" s="1"/>
  <c r="I111" i="33" s="1"/>
  <c r="J111" i="33" s="1"/>
  <c r="K111" i="33" s="1"/>
  <c r="L111" i="33" s="1"/>
  <c r="M111" i="33" s="1"/>
  <c r="J36" i="33"/>
  <c r="W36" i="33" s="1"/>
  <c r="F36" i="33"/>
  <c r="AA36" i="33" s="1"/>
  <c r="K54" i="43"/>
  <c r="M54" i="43"/>
  <c r="N54" i="43" s="1"/>
  <c r="W23" i="21"/>
  <c r="S32" i="37"/>
  <c r="S20" i="35"/>
  <c r="AZ387" i="3"/>
  <c r="AZ389" i="3"/>
  <c r="AZ356" i="3"/>
  <c r="AZ336" i="3"/>
  <c r="AZ305" i="3"/>
  <c r="AZ501" i="3"/>
  <c r="AZ509" i="3"/>
  <c r="AZ519" i="3"/>
  <c r="AZ573" i="3"/>
  <c r="AZ503" i="3"/>
  <c r="AZ575" i="3"/>
  <c r="S45" i="33"/>
  <c r="U46" i="33"/>
  <c r="W23" i="37"/>
  <c r="W9" i="21"/>
  <c r="E7" i="33"/>
  <c r="I7" i="33"/>
  <c r="G7" i="33"/>
  <c r="G29" i="6"/>
  <c r="AZ369" i="3"/>
  <c r="AZ535" i="3"/>
  <c r="AZ557" i="3"/>
  <c r="AZ508" i="3"/>
  <c r="AZ524" i="3"/>
  <c r="AZ558" i="3"/>
  <c r="AZ566" i="3"/>
  <c r="AZ582" i="3"/>
  <c r="AZ540" i="3"/>
  <c r="AZ560" i="3"/>
  <c r="U12" i="39"/>
  <c r="AZ373" i="3"/>
  <c r="AZ362" i="3"/>
  <c r="AZ390" i="3"/>
  <c r="AZ351" i="3"/>
  <c r="AZ342" i="3"/>
  <c r="AZ510" i="3"/>
  <c r="AZ552" i="3"/>
  <c r="AZ584" i="3"/>
  <c r="S11" i="36"/>
  <c r="J26" i="33"/>
  <c r="W26" i="33" s="1"/>
  <c r="F26" i="33"/>
  <c r="AA26" i="33" s="1"/>
  <c r="J12" i="34"/>
  <c r="H12" i="34"/>
  <c r="F12" i="34"/>
  <c r="S12" i="34" s="1"/>
  <c r="G551" i="3"/>
  <c r="G542" i="3"/>
  <c r="BA400" i="3"/>
  <c r="BL409" i="3"/>
  <c r="BL449" i="3"/>
  <c r="BL450" i="3"/>
  <c r="BL453" i="3"/>
  <c r="BL454" i="3"/>
  <c r="BA456" i="3"/>
  <c r="BL456" i="3"/>
  <c r="G464" i="3"/>
  <c r="BL475" i="3"/>
  <c r="BL479" i="3"/>
  <c r="BA217" i="3"/>
  <c r="BA228" i="3"/>
  <c r="BA245" i="3"/>
  <c r="G255" i="3"/>
  <c r="BA255" i="3"/>
  <c r="BL264" i="3"/>
  <c r="BA268" i="3"/>
  <c r="BL278" i="3"/>
  <c r="BA283" i="3"/>
  <c r="BA291" i="3"/>
  <c r="BL291" i="3"/>
  <c r="BL298" i="3"/>
  <c r="BL300" i="3"/>
  <c r="BA120" i="3"/>
  <c r="AZ120" i="3" s="1"/>
  <c r="F38" i="33"/>
  <c r="G566" i="3"/>
  <c r="G14" i="3"/>
  <c r="BA401" i="3"/>
  <c r="BA404" i="3"/>
  <c r="BA405" i="3"/>
  <c r="G407" i="3"/>
  <c r="G408" i="3"/>
  <c r="G409" i="3"/>
  <c r="BL412" i="3"/>
  <c r="BL438" i="3"/>
  <c r="BL439" i="3"/>
  <c r="BA443" i="3"/>
  <c r="BA465" i="3"/>
  <c r="AZ465" i="3" s="1"/>
  <c r="BA478" i="3"/>
  <c r="BA489" i="3"/>
  <c r="BL316" i="3"/>
  <c r="G366" i="3"/>
  <c r="BA392" i="3"/>
  <c r="AZ392" i="3" s="1"/>
  <c r="BL211" i="3"/>
  <c r="BL219" i="3"/>
  <c r="BL230" i="3"/>
  <c r="BL242" i="3"/>
  <c r="G243" i="3"/>
  <c r="BA248" i="3"/>
  <c r="G253" i="3"/>
  <c r="BA258" i="3"/>
  <c r="G266" i="3"/>
  <c r="BL267" i="3"/>
  <c r="G270" i="3"/>
  <c r="G271" i="3"/>
  <c r="G281" i="3"/>
  <c r="G285" i="3"/>
  <c r="BA288" i="3"/>
  <c r="BL290" i="3"/>
  <c r="G302" i="3"/>
  <c r="G116" i="3"/>
  <c r="BA117" i="3"/>
  <c r="G126" i="3"/>
  <c r="BA157" i="3"/>
  <c r="G585" i="3"/>
  <c r="H38" i="33"/>
  <c r="BL399" i="3"/>
  <c r="BA403" i="3"/>
  <c r="BA410" i="3"/>
  <c r="BL410" i="3"/>
  <c r="G412" i="3"/>
  <c r="BL419" i="3"/>
  <c r="BA424" i="3"/>
  <c r="BL427" i="3"/>
  <c r="G429" i="3"/>
  <c r="G430" i="3"/>
  <c r="BA431" i="3"/>
  <c r="BL433" i="3"/>
  <c r="BL434" i="3"/>
  <c r="G437" i="3"/>
  <c r="G447" i="3"/>
  <c r="BL447" i="3"/>
  <c r="BA452" i="3"/>
  <c r="BL455" i="3"/>
  <c r="BA467" i="3"/>
  <c r="BA468" i="3"/>
  <c r="BL471" i="3"/>
  <c r="BA477" i="3"/>
  <c r="BA481" i="3"/>
  <c r="BA487" i="3"/>
  <c r="AZ487" i="3" s="1"/>
  <c r="BL340" i="3"/>
  <c r="AZ340" i="3" s="1"/>
  <c r="BA348" i="3"/>
  <c r="BA350" i="3"/>
  <c r="AZ350" i="3" s="1"/>
  <c r="BA354" i="3"/>
  <c r="BL381" i="3"/>
  <c r="AZ381" i="3" s="1"/>
  <c r="BA214" i="3"/>
  <c r="BL216" i="3"/>
  <c r="BL222" i="3"/>
  <c r="G223" i="3"/>
  <c r="BA225" i="3"/>
  <c r="BL227" i="3"/>
  <c r="G229" i="3"/>
  <c r="G236" i="3"/>
  <c r="G246" i="3"/>
  <c r="G250" i="3"/>
  <c r="G251" i="3"/>
  <c r="BA254" i="3"/>
  <c r="AZ254" i="3" s="1"/>
  <c r="BA257" i="3"/>
  <c r="BL266" i="3"/>
  <c r="A15" i="62"/>
  <c r="B61" i="72" s="1"/>
  <c r="BA413" i="3"/>
  <c r="BL431" i="3"/>
  <c r="BL440" i="3"/>
  <c r="BA441" i="3"/>
  <c r="G444" i="3"/>
  <c r="G445" i="3"/>
  <c r="BL445" i="3"/>
  <c r="BL446" i="3"/>
  <c r="BL451" i="3"/>
  <c r="G455" i="3"/>
  <c r="BA458" i="3"/>
  <c r="AZ458" i="3" s="1"/>
  <c r="G466" i="3"/>
  <c r="BA466" i="3"/>
  <c r="BL469" i="3"/>
  <c r="BA476" i="3"/>
  <c r="BA480" i="3"/>
  <c r="BA485" i="3"/>
  <c r="AZ488" i="3"/>
  <c r="BA491" i="3"/>
  <c r="BA331" i="3"/>
  <c r="AZ331" i="3" s="1"/>
  <c r="BA335" i="3"/>
  <c r="AZ335" i="3" s="1"/>
  <c r="BA339" i="3"/>
  <c r="AZ339" i="3" s="1"/>
  <c r="BA385" i="3"/>
  <c r="BL386" i="3"/>
  <c r="BA397" i="3"/>
  <c r="BL397" i="3"/>
  <c r="BA212" i="3"/>
  <c r="BL214" i="3"/>
  <c r="G216" i="3"/>
  <c r="G218" i="3"/>
  <c r="BL225" i="3"/>
  <c r="BA246" i="3"/>
  <c r="BA250" i="3"/>
  <c r="BA256" i="3"/>
  <c r="BL256" i="3"/>
  <c r="BL259" i="3"/>
  <c r="BA265" i="3"/>
  <c r="BL269" i="3"/>
  <c r="BL272" i="3"/>
  <c r="BL273" i="3"/>
  <c r="G284" i="3"/>
  <c r="BL286" i="3"/>
  <c r="AZ286" i="3" s="1"/>
  <c r="BA293" i="3"/>
  <c r="BL293" i="3"/>
  <c r="BL294" i="3"/>
  <c r="BA297" i="3"/>
  <c r="BL297" i="3"/>
  <c r="BA301" i="3"/>
  <c r="BL127" i="3"/>
  <c r="AZ127" i="3" s="1"/>
  <c r="BA130" i="3"/>
  <c r="BL130" i="3"/>
  <c r="D59" i="71"/>
  <c r="C60" i="71"/>
  <c r="X25" i="71"/>
  <c r="BA133" i="3"/>
  <c r="BL135" i="3"/>
  <c r="AZ135" i="3" s="1"/>
  <c r="BA137" i="3"/>
  <c r="G140" i="3"/>
  <c r="BL143" i="3"/>
  <c r="AZ143" i="3" s="1"/>
  <c r="BA162" i="3"/>
  <c r="BL169" i="3"/>
  <c r="BA194" i="3"/>
  <c r="G23" i="3"/>
  <c r="BA40" i="3"/>
  <c r="G44" i="3"/>
  <c r="BL44" i="3"/>
  <c r="BL52" i="3"/>
  <c r="BL57" i="3"/>
  <c r="G59" i="3"/>
  <c r="BA77" i="3"/>
  <c r="BL77" i="3"/>
  <c r="BL93" i="3"/>
  <c r="BL96" i="3"/>
  <c r="G106" i="3"/>
  <c r="C7" i="21"/>
  <c r="P27" i="6"/>
  <c r="E66" i="71"/>
  <c r="D76" i="71"/>
  <c r="C38" i="71"/>
  <c r="D38" i="71" s="1"/>
  <c r="C30" i="71"/>
  <c r="D30" i="71" s="1"/>
  <c r="Y26" i="71"/>
  <c r="Z26" i="71" s="1"/>
  <c r="AB36" i="71"/>
  <c r="E47" i="71"/>
  <c r="E48" i="71" s="1"/>
  <c r="U48" i="71" s="1"/>
  <c r="AC22" i="1"/>
  <c r="AC23" i="1" s="1"/>
  <c r="AC24" i="1" s="1"/>
  <c r="J12" i="81"/>
  <c r="B23" i="71"/>
  <c r="B22" i="71" s="1"/>
  <c r="B21" i="71" s="1"/>
  <c r="B20" i="71" s="1"/>
  <c r="BA132" i="3"/>
  <c r="AZ132" i="3" s="1"/>
  <c r="BL163" i="3"/>
  <c r="AZ163" i="3" s="1"/>
  <c r="G164" i="3"/>
  <c r="G174" i="3"/>
  <c r="BA185" i="3"/>
  <c r="BA189" i="3"/>
  <c r="BL191" i="3"/>
  <c r="AZ191" i="3" s="1"/>
  <c r="G192" i="3"/>
  <c r="BA193" i="3"/>
  <c r="BL195" i="3"/>
  <c r="AZ195" i="3" s="1"/>
  <c r="G202" i="3"/>
  <c r="G203" i="3"/>
  <c r="BA205" i="3"/>
  <c r="AZ205" i="3" s="1"/>
  <c r="G18" i="3"/>
  <c r="BA22" i="3"/>
  <c r="BL35" i="3"/>
  <c r="BA36" i="3"/>
  <c r="BL38" i="3"/>
  <c r="BA39" i="3"/>
  <c r="G43" i="3"/>
  <c r="BA43" i="3"/>
  <c r="BA53" i="3"/>
  <c r="BA54" i="3"/>
  <c r="BA65" i="3"/>
  <c r="BL65" i="3"/>
  <c r="BL66" i="3"/>
  <c r="G68" i="3"/>
  <c r="BA68" i="3"/>
  <c r="BL76" i="3"/>
  <c r="BL82" i="3"/>
  <c r="AZ82" i="3" s="1"/>
  <c r="BL86" i="3"/>
  <c r="G87" i="3"/>
  <c r="G88" i="3"/>
  <c r="BA92" i="3"/>
  <c r="G101" i="3"/>
  <c r="BA101" i="3"/>
  <c r="G108" i="3"/>
  <c r="G109" i="3"/>
  <c r="AC21" i="21"/>
  <c r="C29" i="39"/>
  <c r="B88" i="43"/>
  <c r="D80" i="71"/>
  <c r="C75" i="71"/>
  <c r="Q68" i="71"/>
  <c r="AA34" i="71"/>
  <c r="C43" i="71"/>
  <c r="C51" i="71"/>
  <c r="B71" i="71"/>
  <c r="B70" i="71" s="1"/>
  <c r="G134" i="3"/>
  <c r="G138" i="3"/>
  <c r="BL146" i="3"/>
  <c r="G147" i="3"/>
  <c r="BL158" i="3"/>
  <c r="G159" i="3"/>
  <c r="G163" i="3"/>
  <c r="BL166" i="3"/>
  <c r="G167" i="3"/>
  <c r="BA168" i="3"/>
  <c r="AZ168" i="3" s="1"/>
  <c r="G171" i="3"/>
  <c r="G178" i="3"/>
  <c r="BL178" i="3"/>
  <c r="BA180" i="3"/>
  <c r="AZ180" i="3" s="1"/>
  <c r="BL182" i="3"/>
  <c r="G183" i="3"/>
  <c r="BL186" i="3"/>
  <c r="BA188" i="3"/>
  <c r="AZ188" i="3" s="1"/>
  <c r="G195" i="3"/>
  <c r="BA196" i="3"/>
  <c r="AZ196" i="3" s="1"/>
  <c r="G206" i="3"/>
  <c r="BA207" i="3"/>
  <c r="G20" i="3"/>
  <c r="BL20" i="3"/>
  <c r="BA21" i="3"/>
  <c r="BL24" i="3"/>
  <c r="BA30" i="3"/>
  <c r="G34" i="3"/>
  <c r="BL34" i="3"/>
  <c r="G41" i="3"/>
  <c r="G51" i="3"/>
  <c r="G52" i="3"/>
  <c r="BA52" i="3"/>
  <c r="BL64" i="3"/>
  <c r="G65" i="3"/>
  <c r="BA67" i="3"/>
  <c r="BL69" i="3"/>
  <c r="G70" i="3"/>
  <c r="G76" i="3"/>
  <c r="BL83" i="3"/>
  <c r="G86" i="3"/>
  <c r="BL91" i="3"/>
  <c r="BA95" i="3"/>
  <c r="BA98" i="3"/>
  <c r="G99" i="3"/>
  <c r="BL103" i="3"/>
  <c r="G107" i="3"/>
  <c r="G112" i="3"/>
  <c r="BL112" i="3"/>
  <c r="Y27" i="71"/>
  <c r="Z27" i="71" s="1"/>
  <c r="N68" i="71"/>
  <c r="F35" i="71"/>
  <c r="F36" i="71" s="1"/>
  <c r="V36" i="71" s="1"/>
  <c r="S68" i="71"/>
  <c r="V68" i="71"/>
  <c r="F71" i="71"/>
  <c r="F70" i="71" s="1"/>
  <c r="C23" i="71"/>
  <c r="AA29" i="33"/>
  <c r="AA30" i="33"/>
  <c r="U30" i="33"/>
  <c r="AB44" i="33"/>
  <c r="F7" i="1"/>
  <c r="G7" i="1" s="1"/>
  <c r="G44" i="43"/>
  <c r="AA44" i="33"/>
  <c r="AC44" i="33"/>
  <c r="S39" i="33"/>
  <c r="W43" i="33"/>
  <c r="W39" i="33"/>
  <c r="S41" i="33"/>
  <c r="S43" i="33"/>
  <c r="AB41" i="33"/>
  <c r="U40" i="33"/>
  <c r="S32" i="33"/>
  <c r="AB28" i="33"/>
  <c r="U23" i="33"/>
  <c r="AC21" i="33"/>
  <c r="W17" i="33"/>
  <c r="AA17" i="33"/>
  <c r="W15" i="33"/>
  <c r="S15" i="33"/>
  <c r="U37" i="33"/>
  <c r="AC37" i="33"/>
  <c r="U39" i="33"/>
  <c r="S42" i="33"/>
  <c r="U42" i="33"/>
  <c r="W35" i="33"/>
  <c r="U35" i="33"/>
  <c r="AA35" i="33"/>
  <c r="AB34" i="33"/>
  <c r="W32" i="33"/>
  <c r="U32" i="33"/>
  <c r="AB29" i="33"/>
  <c r="AC28" i="33"/>
  <c r="S28" i="33"/>
  <c r="S27" i="33"/>
  <c r="U27" i="33"/>
  <c r="W27" i="33"/>
  <c r="AB26" i="33"/>
  <c r="W25" i="33"/>
  <c r="AA25" i="33"/>
  <c r="AB25" i="33"/>
  <c r="U11" i="33"/>
  <c r="W8" i="33"/>
  <c r="U9" i="33"/>
  <c r="M47" i="9"/>
  <c r="C7" i="35"/>
  <c r="C48" i="35" s="1"/>
  <c r="D48" i="35" s="1"/>
  <c r="C7" i="34"/>
  <c r="C7" i="40"/>
  <c r="C63" i="40" s="1"/>
  <c r="C7" i="37"/>
  <c r="C52" i="37" s="1"/>
  <c r="D52" i="37" s="1"/>
  <c r="C7" i="39"/>
  <c r="C67" i="39" s="1"/>
  <c r="AB15" i="21"/>
  <c r="AB19" i="33"/>
  <c r="W32" i="39"/>
  <c r="AC32" i="39"/>
  <c r="AA37" i="21"/>
  <c r="S37" i="21"/>
  <c r="AZ322" i="3"/>
  <c r="D6" i="52"/>
  <c r="AA23" i="37"/>
  <c r="S17" i="37"/>
  <c r="W33" i="34"/>
  <c r="AA40" i="34"/>
  <c r="W27" i="40"/>
  <c r="S23" i="21"/>
  <c r="W15" i="21"/>
  <c r="U32" i="37"/>
  <c r="S30" i="40"/>
  <c r="AZ14" i="3"/>
  <c r="AZ345" i="3"/>
  <c r="AZ334" i="3"/>
  <c r="AZ372" i="3"/>
  <c r="AZ347" i="3"/>
  <c r="AZ337" i="3"/>
  <c r="AZ376" i="3"/>
  <c r="AZ309" i="3"/>
  <c r="AA11" i="39"/>
  <c r="AZ523" i="3"/>
  <c r="AZ547" i="3"/>
  <c r="AZ571" i="3"/>
  <c r="AZ579" i="3"/>
  <c r="AB46" i="34"/>
  <c r="G586" i="3"/>
  <c r="AZ539" i="3"/>
  <c r="AZ529" i="3"/>
  <c r="AZ537" i="3"/>
  <c r="AZ518" i="3"/>
  <c r="AZ526" i="3"/>
  <c r="AZ546" i="3"/>
  <c r="AZ564" i="3"/>
  <c r="AZ580" i="3"/>
  <c r="AB45" i="33"/>
  <c r="S14" i="37"/>
  <c r="S29" i="35"/>
  <c r="AA29" i="35"/>
  <c r="U17" i="34"/>
  <c r="AB17" i="34"/>
  <c r="AZ443" i="3"/>
  <c r="AA19" i="33"/>
  <c r="AC20" i="36"/>
  <c r="AA39" i="39"/>
  <c r="AC11" i="39"/>
  <c r="F29" i="6"/>
  <c r="AZ391" i="3"/>
  <c r="AZ318" i="3"/>
  <c r="AZ364" i="3"/>
  <c r="AZ329" i="3"/>
  <c r="AZ306" i="3"/>
  <c r="AZ513" i="3"/>
  <c r="AZ502" i="3"/>
  <c r="F28" i="34"/>
  <c r="J28" i="34"/>
  <c r="AZ531" i="3"/>
  <c r="AZ583" i="3"/>
  <c r="AZ568" i="3"/>
  <c r="AZ576" i="3"/>
  <c r="AC33" i="33"/>
  <c r="W33" i="33"/>
  <c r="AC40" i="33"/>
  <c r="W40" i="33"/>
  <c r="AB12" i="36"/>
  <c r="S40" i="39"/>
  <c r="BL585" i="3"/>
  <c r="AZ585" i="3" s="1"/>
  <c r="B75" i="43"/>
  <c r="H12" i="33"/>
  <c r="U12" i="33" s="1"/>
  <c r="AC31" i="35"/>
  <c r="H36" i="35"/>
  <c r="H24" i="36"/>
  <c r="G558" i="3"/>
  <c r="BL398" i="3"/>
  <c r="G402" i="3"/>
  <c r="BL403" i="3"/>
  <c r="AZ403" i="3" s="1"/>
  <c r="G405" i="3"/>
  <c r="G406" i="3"/>
  <c r="BA408" i="3"/>
  <c r="BA409" i="3"/>
  <c r="AZ409" i="3" s="1"/>
  <c r="BA411" i="3"/>
  <c r="BL414" i="3"/>
  <c r="BL415" i="3"/>
  <c r="BA417" i="3"/>
  <c r="BL421" i="3"/>
  <c r="BL422" i="3"/>
  <c r="AZ422" i="3" s="1"/>
  <c r="BL425" i="3"/>
  <c r="BL426" i="3"/>
  <c r="BA428" i="3"/>
  <c r="BA429" i="3"/>
  <c r="BA430" i="3"/>
  <c r="AZ430" i="3" s="1"/>
  <c r="BA432" i="3"/>
  <c r="BA434" i="3"/>
  <c r="BA436" i="3"/>
  <c r="BA438" i="3"/>
  <c r="G442" i="3"/>
  <c r="G443" i="3"/>
  <c r="BA446" i="3"/>
  <c r="BA450" i="3"/>
  <c r="G452" i="3"/>
  <c r="BL452" i="3"/>
  <c r="G454" i="3"/>
  <c r="BA464" i="3"/>
  <c r="BA469" i="3"/>
  <c r="AZ469" i="3" s="1"/>
  <c r="BL472" i="3"/>
  <c r="S34" i="40"/>
  <c r="J23" i="36"/>
  <c r="H39" i="40"/>
  <c r="BL550" i="3"/>
  <c r="BL15" i="3"/>
  <c r="AZ15" i="3" s="1"/>
  <c r="BA398" i="3"/>
  <c r="BA399" i="3"/>
  <c r="AZ399" i="3" s="1"/>
  <c r="BL401" i="3"/>
  <c r="AZ401" i="3" s="1"/>
  <c r="BL404" i="3"/>
  <c r="AZ404" i="3" s="1"/>
  <c r="BL405" i="3"/>
  <c r="AZ405" i="3" s="1"/>
  <c r="BL407" i="3"/>
  <c r="BA412" i="3"/>
  <c r="AZ412" i="3" s="1"/>
  <c r="BA414" i="3"/>
  <c r="BA415" i="3"/>
  <c r="BA416" i="3"/>
  <c r="AZ416" i="3" s="1"/>
  <c r="BA418" i="3"/>
  <c r="BA421" i="3"/>
  <c r="BA423" i="3"/>
  <c r="AZ423" i="3" s="1"/>
  <c r="BA425" i="3"/>
  <c r="BA426" i="3"/>
  <c r="BA427" i="3"/>
  <c r="AZ427" i="3" s="1"/>
  <c r="BA433" i="3"/>
  <c r="AZ433" i="3" s="1"/>
  <c r="BA435" i="3"/>
  <c r="BL437" i="3"/>
  <c r="AZ437" i="3" s="1"/>
  <c r="G439" i="3"/>
  <c r="BL441" i="3"/>
  <c r="AZ441" i="3" s="1"/>
  <c r="BL442" i="3"/>
  <c r="BL444" i="3"/>
  <c r="AZ444" i="3" s="1"/>
  <c r="G446" i="3"/>
  <c r="BL448" i="3"/>
  <c r="AZ448" i="3" s="1"/>
  <c r="G450" i="3"/>
  <c r="BA451" i="3"/>
  <c r="AZ451" i="3" s="1"/>
  <c r="BA463" i="3"/>
  <c r="G467" i="3"/>
  <c r="S27" i="35"/>
  <c r="U9" i="39"/>
  <c r="BL587" i="3"/>
  <c r="AZ587" i="3" s="1"/>
  <c r="BL586" i="3"/>
  <c r="AZ586" i="3" s="1"/>
  <c r="G574" i="3"/>
  <c r="BL16" i="3"/>
  <c r="AZ16" i="3" s="1"/>
  <c r="AZ407" i="3"/>
  <c r="AZ419" i="3"/>
  <c r="BA551" i="3"/>
  <c r="AZ551" i="3" s="1"/>
  <c r="BA550" i="3"/>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G458" i="3"/>
  <c r="BL459" i="3"/>
  <c r="G462"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239" i="3"/>
  <c r="BL239" i="3"/>
  <c r="BA241" i="3"/>
  <c r="BL241" i="3"/>
  <c r="BA244" i="3"/>
  <c r="BL244" i="3"/>
  <c r="BA282" i="3"/>
  <c r="BL282" i="3"/>
  <c r="BA284" i="3"/>
  <c r="BA1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BL250" i="3"/>
  <c r="AZ250" i="3" s="1"/>
  <c r="BA259" i="3"/>
  <c r="AZ259" i="3" s="1"/>
  <c r="BL261" i="3"/>
  <c r="BA263" i="3"/>
  <c r="BA267" i="3"/>
  <c r="AZ267" i="3" s="1"/>
  <c r="BA269" i="3"/>
  <c r="AZ269" i="3" s="1"/>
  <c r="BA271" i="3"/>
  <c r="AZ271" i="3" s="1"/>
  <c r="BL271" i="3"/>
  <c r="BA274" i="3"/>
  <c r="BL274" i="3"/>
  <c r="BA276" i="3"/>
  <c r="BA279" i="3"/>
  <c r="BA281" i="3"/>
  <c r="G291" i="3"/>
  <c r="BA296" i="3"/>
  <c r="BA116" i="3"/>
  <c r="AZ116" i="3" s="1"/>
  <c r="BA121" i="3"/>
  <c r="BL121" i="3"/>
  <c r="BA124" i="3"/>
  <c r="AZ124" i="3" s="1"/>
  <c r="BA126" i="3"/>
  <c r="BA129" i="3"/>
  <c r="BL133" i="3"/>
  <c r="AZ133" i="3" s="1"/>
  <c r="BL139" i="3"/>
  <c r="AZ139" i="3" s="1"/>
  <c r="BL141"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L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A66" i="3"/>
  <c r="AZ66" i="3" s="1"/>
  <c r="BL67" i="3"/>
  <c r="AZ67" i="3" s="1"/>
  <c r="BA72" i="3"/>
  <c r="BA73" i="3"/>
  <c r="BA79" i="3"/>
  <c r="AZ79" i="3" s="1"/>
  <c r="G82" i="3"/>
  <c r="G83" i="3"/>
  <c r="BA84" i="3"/>
  <c r="BL88" i="3"/>
  <c r="AZ88" i="3" s="1"/>
  <c r="BL90" i="3"/>
  <c r="BA94" i="3"/>
  <c r="BL99" i="3"/>
  <c r="BA105" i="3"/>
  <c r="F40" i="68"/>
  <c r="C21" i="68"/>
  <c r="V24" i="71"/>
  <c r="E23" i="71"/>
  <c r="E22" i="71" s="1"/>
  <c r="E21" i="71" s="1"/>
  <c r="E20" i="71" s="1"/>
  <c r="AZ201" i="3"/>
  <c r="AZ52" i="3"/>
  <c r="C40" i="68"/>
  <c r="C44" i="71"/>
  <c r="D43" i="71"/>
  <c r="C52" i="71"/>
  <c r="D51" i="7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G191"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BL54" i="3"/>
  <c r="BL55" i="3"/>
  <c r="AZ55" i="3" s="1"/>
  <c r="G58" i="3"/>
  <c r="BA59" i="3"/>
  <c r="BL61" i="3"/>
  <c r="G64" i="3"/>
  <c r="BA64" i="3"/>
  <c r="AZ64" i="3" s="1"/>
  <c r="G67" i="3"/>
  <c r="BA71" i="3"/>
  <c r="BL72" i="3"/>
  <c r="BL75" i="3"/>
  <c r="BL92" i="3"/>
  <c r="C47" i="71"/>
  <c r="D47" i="71" s="1"/>
  <c r="D46" i="71"/>
  <c r="BA142" i="3"/>
  <c r="BL149" i="3"/>
  <c r="AZ149" i="3" s="1"/>
  <c r="BL150" i="3"/>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G186" i="3"/>
  <c r="G187" i="3"/>
  <c r="BL193" i="3"/>
  <c r="G194" i="3"/>
  <c r="BL194" i="3"/>
  <c r="AZ194" i="3" s="1"/>
  <c r="BA198" i="3"/>
  <c r="AZ198" i="3" s="1"/>
  <c r="G199" i="3"/>
  <c r="G204" i="3"/>
  <c r="BL206" i="3"/>
  <c r="BA19" i="3"/>
  <c r="AZ19" i="3" s="1"/>
  <c r="G22" i="3"/>
  <c r="G24" i="3"/>
  <c r="G25" i="3"/>
  <c r="G27" i="3"/>
  <c r="BA27" i="3"/>
  <c r="G30" i="3"/>
  <c r="BL30" i="3"/>
  <c r="BL31" i="3"/>
  <c r="G35" i="3"/>
  <c r="G36" i="3"/>
  <c r="G37" i="3"/>
  <c r="G40" i="3"/>
  <c r="BL40" i="3"/>
  <c r="BL41" i="3"/>
  <c r="G45" i="3"/>
  <c r="BL45" i="3"/>
  <c r="BA48" i="3"/>
  <c r="BA49" i="3"/>
  <c r="AZ49" i="3" s="1"/>
  <c r="BA51" i="3"/>
  <c r="G54" i="3"/>
  <c r="G55" i="3"/>
  <c r="BL56" i="3"/>
  <c r="BA58" i="3"/>
  <c r="AZ58" i="3" s="1"/>
  <c r="BL59" i="3"/>
  <c r="BL60" i="3"/>
  <c r="BA61" i="3"/>
  <c r="BL70" i="3"/>
  <c r="AZ70" i="3" s="1"/>
  <c r="BL71" i="3"/>
  <c r="BA78" i="3"/>
  <c r="BA80" i="3"/>
  <c r="G84" i="3"/>
  <c r="BL84" i="3"/>
  <c r="BA89" i="3"/>
  <c r="BL100" i="3"/>
  <c r="C55" i="71"/>
  <c r="D54" i="71"/>
  <c r="N67" i="71"/>
  <c r="B66" i="71"/>
  <c r="F66" i="71"/>
  <c r="Q67" i="71"/>
  <c r="BL68" i="3"/>
  <c r="BA69" i="3"/>
  <c r="AZ69" i="3" s="1"/>
  <c r="G72" i="3"/>
  <c r="BL73" i="3"/>
  <c r="BA74" i="3"/>
  <c r="AZ74" i="3" s="1"/>
  <c r="BA75" i="3"/>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A103" i="3"/>
  <c r="AZ103" i="3" s="1"/>
  <c r="BA104" i="3"/>
  <c r="BA106" i="3"/>
  <c r="BL108" i="3"/>
  <c r="G110" i="3"/>
  <c r="BL111"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90" i="3"/>
  <c r="BL94" i="3"/>
  <c r="BA100" i="3"/>
  <c r="AZ100" i="3" s="1"/>
  <c r="BA102" i="3"/>
  <c r="AZ102" i="3" s="1"/>
  <c r="BL105" i="3"/>
  <c r="BL107" i="3"/>
  <c r="BA111" i="3"/>
  <c r="AZ111" i="3" s="1"/>
  <c r="K13" i="1"/>
  <c r="M13" i="1" s="1"/>
  <c r="O13" i="1" s="1"/>
  <c r="P13" i="1" s="1"/>
  <c r="S18" i="36"/>
  <c r="AB28" i="71"/>
  <c r="AB33" i="71"/>
  <c r="AA30" i="71"/>
  <c r="E35" i="71"/>
  <c r="E36" i="71" s="1"/>
  <c r="U36" i="71" s="1"/>
  <c r="AB31" i="71"/>
  <c r="AA36" i="71"/>
  <c r="B47" i="71"/>
  <c r="B48" i="71" s="1"/>
  <c r="S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K14" i="1"/>
  <c r="D9" i="11"/>
  <c r="C9" i="11" s="1"/>
  <c r="D19" i="12"/>
  <c r="C19" i="12" s="1"/>
  <c r="AZ13" i="3"/>
  <c r="O9" i="1"/>
  <c r="P9" i="1" s="1"/>
  <c r="O12" i="1"/>
  <c r="P12" i="1" s="1"/>
  <c r="O8" i="1"/>
  <c r="P8" i="1" s="1"/>
  <c r="H73" i="43"/>
  <c r="H90" i="43"/>
  <c r="O23" i="43"/>
  <c r="I18" i="43"/>
  <c r="E17" i="43" s="1"/>
  <c r="C17" i="43" s="1"/>
  <c r="A1" i="79"/>
  <c r="H55" i="43"/>
  <c r="G55" i="43" s="1"/>
  <c r="H86" i="43"/>
  <c r="H87" i="43"/>
  <c r="N94" i="46"/>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J7"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M7" i="15"/>
  <c r="F50" i="15"/>
  <c r="F66" i="67"/>
  <c r="L59" i="15"/>
  <c r="N59" i="15"/>
  <c r="M59" i="15"/>
  <c r="F66" i="15"/>
  <c r="F64" i="15"/>
  <c r="B13" i="70"/>
  <c r="F68" i="15"/>
  <c r="C36" i="68"/>
  <c r="D9" i="69"/>
  <c r="C36" i="69"/>
  <c r="D9" i="68"/>
  <c r="F36" i="67"/>
  <c r="F13" i="67"/>
  <c r="C76" i="67"/>
  <c r="F16" i="67"/>
  <c r="F43" i="67"/>
  <c r="F7" i="67"/>
  <c r="J15" i="67"/>
  <c r="C16" i="15"/>
  <c r="F37" i="67"/>
  <c r="D3" i="73"/>
  <c r="F43" i="15"/>
  <c r="M22" i="67"/>
  <c r="M23" i="67"/>
  <c r="F40" i="67"/>
  <c r="L47" i="67"/>
  <c r="F8" i="67"/>
  <c r="M8" i="15"/>
  <c r="F9" i="67"/>
  <c r="L48" i="15"/>
  <c r="J15" i="15"/>
  <c r="M28" i="67"/>
  <c r="M24" i="67"/>
  <c r="M8" i="67"/>
  <c r="D4" i="73"/>
  <c r="F42" i="67"/>
  <c r="M29" i="67"/>
  <c r="D7" i="73"/>
  <c r="M9" i="67"/>
  <c r="M22" i="15"/>
  <c r="M23" i="15"/>
  <c r="D5" i="73"/>
  <c r="F8" i="15"/>
  <c r="F26" i="15"/>
  <c r="M9" i="15"/>
  <c r="F26" i="67"/>
  <c r="F37" i="15"/>
  <c r="M26" i="15"/>
  <c r="L48" i="67"/>
  <c r="M6" i="67"/>
  <c r="J53" i="15" l="1"/>
  <c r="Q52" i="15" s="1"/>
  <c r="J57" i="15"/>
  <c r="J55" i="15" s="1"/>
  <c r="J58" i="15" s="1"/>
  <c r="Q50" i="15" s="1"/>
  <c r="I54" i="15"/>
  <c r="L58" i="15"/>
  <c r="Q60" i="15" s="1"/>
  <c r="AZ282" i="3"/>
  <c r="AZ249" i="3"/>
  <c r="AZ65" i="3"/>
  <c r="AZ51" i="3"/>
  <c r="AZ41" i="3"/>
  <c r="U23" i="35"/>
  <c r="AB23" i="35"/>
  <c r="AZ75" i="3"/>
  <c r="AZ425" i="3"/>
  <c r="AZ397" i="3"/>
  <c r="AZ406" i="3"/>
  <c r="AC36" i="33"/>
  <c r="S36" i="33"/>
  <c r="AC26" i="33"/>
  <c r="S26" i="33"/>
  <c r="F50" i="67"/>
  <c r="M7" i="67"/>
  <c r="J6" i="67" s="1"/>
  <c r="J18" i="67" s="1"/>
  <c r="M56" i="43"/>
  <c r="N56" i="43" s="1"/>
  <c r="K56" i="43"/>
  <c r="M50" i="43"/>
  <c r="N50" i="43" s="1"/>
  <c r="K50" i="43"/>
  <c r="AZ223" i="3"/>
  <c r="AZ251" i="3"/>
  <c r="AZ247" i="3"/>
  <c r="AZ421" i="3"/>
  <c r="AZ429" i="3"/>
  <c r="C31" i="71"/>
  <c r="AZ130" i="3"/>
  <c r="AZ297" i="3"/>
  <c r="AZ256" i="3"/>
  <c r="AZ214" i="3"/>
  <c r="AZ291" i="3"/>
  <c r="U12" i="34"/>
  <c r="AB12" i="34"/>
  <c r="J54" i="43"/>
  <c r="D54" i="43"/>
  <c r="M52" i="43"/>
  <c r="N52" i="43" s="1"/>
  <c r="K52" i="43"/>
  <c r="K57" i="43"/>
  <c r="J57" i="43" s="1"/>
  <c r="D57" i="43" s="1"/>
  <c r="M57" i="43"/>
  <c r="N57" i="43" s="1"/>
  <c r="M51" i="43"/>
  <c r="N51" i="43" s="1"/>
  <c r="K51" i="43"/>
  <c r="T60" i="71"/>
  <c r="D60" i="71"/>
  <c r="W12" i="34"/>
  <c r="AC12" i="34"/>
  <c r="M58" i="43"/>
  <c r="N58" i="43" s="1"/>
  <c r="K58" i="43"/>
  <c r="C22" i="71"/>
  <c r="D23" i="71"/>
  <c r="B19" i="71"/>
  <c r="B18" i="71" s="1"/>
  <c r="B17" i="71" s="1"/>
  <c r="B16" i="71" s="1"/>
  <c r="S20" i="71"/>
  <c r="AB38" i="33"/>
  <c r="U38" i="33"/>
  <c r="M53" i="43"/>
  <c r="N53" i="43" s="1"/>
  <c r="K53" i="43"/>
  <c r="K55" i="43"/>
  <c r="M55" i="43"/>
  <c r="N55" i="43" s="1"/>
  <c r="AZ121" i="3"/>
  <c r="AZ274" i="3"/>
  <c r="AZ241" i="3"/>
  <c r="AZ118" i="3"/>
  <c r="AZ229" i="3"/>
  <c r="AZ218" i="3"/>
  <c r="AZ408" i="3"/>
  <c r="D75" i="71"/>
  <c r="C74" i="71"/>
  <c r="D74" i="71" s="1"/>
  <c r="J14" i="81"/>
  <c r="P65" i="71"/>
  <c r="P66" i="71"/>
  <c r="AZ77" i="3"/>
  <c r="AA38" i="33"/>
  <c r="S38" i="33"/>
  <c r="F26" i="43"/>
  <c r="D26" i="43" s="1"/>
  <c r="C25" i="43" s="1"/>
  <c r="K16" i="1"/>
  <c r="H16" i="1"/>
  <c r="J26" i="43"/>
  <c r="N370" i="46"/>
  <c r="G26" i="43"/>
  <c r="E26" i="43"/>
  <c r="Q16" i="1"/>
  <c r="F65" i="15"/>
  <c r="F71" i="67"/>
  <c r="F65" i="67"/>
  <c r="C27" i="15"/>
  <c r="L56" i="67"/>
  <c r="I54" i="67"/>
  <c r="J53" i="67"/>
  <c r="F1" i="67" s="1"/>
  <c r="J57" i="67"/>
  <c r="J55" i="67" s="1"/>
  <c r="J58" i="67" s="1"/>
  <c r="Q50" i="67" s="1"/>
  <c r="F64" i="67"/>
  <c r="Q71" i="67"/>
  <c r="L58" i="67"/>
  <c r="Q60" i="67" s="1"/>
  <c r="M59" i="67"/>
  <c r="N59" i="67"/>
  <c r="L59" i="67"/>
  <c r="Q74" i="67" s="1"/>
  <c r="F51" i="15"/>
  <c r="C49" i="15" s="1"/>
  <c r="F71" i="15"/>
  <c r="C27" i="67"/>
  <c r="F68" i="67"/>
  <c r="F31" i="67"/>
  <c r="F51" i="67"/>
  <c r="C6" i="67"/>
  <c r="C32" i="67" s="1"/>
  <c r="D83" i="71"/>
  <c r="C82" i="71"/>
  <c r="D82" i="71" s="1"/>
  <c r="O65" i="71"/>
  <c r="D66" i="71"/>
  <c r="O66" i="71"/>
  <c r="C36" i="71"/>
  <c r="D35" i="71"/>
  <c r="AZ108" i="3"/>
  <c r="AZ61" i="3"/>
  <c r="AZ59" i="3"/>
  <c r="AZ5" i="3" s="1"/>
  <c r="AY6" i="3" s="1"/>
  <c r="AZ126" i="3"/>
  <c r="AZ263" i="3"/>
  <c r="AZ244" i="3"/>
  <c r="AZ239" i="3"/>
  <c r="AZ332" i="3"/>
  <c r="AZ550" i="3"/>
  <c r="AZ415" i="3"/>
  <c r="AZ398" i="3"/>
  <c r="AC23" i="36"/>
  <c r="W23" i="36"/>
  <c r="AZ428" i="3"/>
  <c r="AZ411" i="3"/>
  <c r="C40" i="71"/>
  <c r="D39" i="71"/>
  <c r="C56" i="71"/>
  <c r="D55" i="71"/>
  <c r="AZ27" i="3"/>
  <c r="D44" i="71"/>
  <c r="T44" i="71"/>
  <c r="AZ105" i="3"/>
  <c r="AZ45" i="3"/>
  <c r="AZ197" i="3"/>
  <c r="AZ483" i="3"/>
  <c r="AZ414" i="3"/>
  <c r="AZ432" i="3"/>
  <c r="AZ417" i="3"/>
  <c r="AB24" i="36"/>
  <c r="U24" i="36"/>
  <c r="G5" i="3"/>
  <c r="B3" i="3" s="1"/>
  <c r="E539" i="3" s="1"/>
  <c r="C70" i="71"/>
  <c r="D70" i="71" s="1"/>
  <c r="D71" i="71"/>
  <c r="N65" i="71"/>
  <c r="N66" i="71"/>
  <c r="AZ84" i="3"/>
  <c r="AZ418" i="3"/>
  <c r="AZ464" i="3"/>
  <c r="AB36" i="35"/>
  <c r="U36" i="35"/>
  <c r="AC28" i="34"/>
  <c r="W28" i="34"/>
  <c r="G16" i="1"/>
  <c r="F10" i="39" s="1"/>
  <c r="AA10" i="39" s="1"/>
  <c r="T28" i="71"/>
  <c r="D28" i="71"/>
  <c r="U28" i="71" s="1"/>
  <c r="C27" i="71"/>
  <c r="D79" i="71"/>
  <c r="C78" i="71"/>
  <c r="D78" i="71" s="1"/>
  <c r="AZ71" i="3"/>
  <c r="AZ31" i="3"/>
  <c r="T52" i="71"/>
  <c r="D52" i="71"/>
  <c r="AZ94" i="3"/>
  <c r="AZ72" i="3"/>
  <c r="AZ190" i="3"/>
  <c r="AZ150" i="3"/>
  <c r="AZ284" i="3"/>
  <c r="AZ435" i="3"/>
  <c r="U39" i="40"/>
  <c r="AB39" i="40"/>
  <c r="AA28" i="34"/>
  <c r="S28" i="34"/>
  <c r="J7" i="37"/>
  <c r="W7" i="37" s="1"/>
  <c r="K1" i="73"/>
  <c r="E363" i="3"/>
  <c r="E76" i="3"/>
  <c r="E264" i="3"/>
  <c r="E534" i="3"/>
  <c r="E342" i="3"/>
  <c r="E543" i="3"/>
  <c r="E108" i="3"/>
  <c r="E38" i="3"/>
  <c r="E137" i="3"/>
  <c r="E460" i="3"/>
  <c r="E155" i="3"/>
  <c r="E500" i="3"/>
  <c r="E47" i="3"/>
  <c r="AD6" i="3"/>
  <c r="E136" i="3"/>
  <c r="E168" i="3"/>
  <c r="E547" i="3"/>
  <c r="E546" i="3"/>
  <c r="E359" i="3"/>
  <c r="E285" i="3"/>
  <c r="E523" i="3"/>
  <c r="E298" i="3"/>
  <c r="E304" i="3"/>
  <c r="E302" i="3"/>
  <c r="E303" i="3"/>
  <c r="E280" i="3"/>
  <c r="AA6" i="3"/>
  <c r="E177" i="3"/>
  <c r="E330" i="3"/>
  <c r="E481" i="3"/>
  <c r="E496" i="3"/>
  <c r="E203" i="3"/>
  <c r="E580" i="3"/>
  <c r="E252" i="3"/>
  <c r="E448" i="3"/>
  <c r="P6" i="3"/>
  <c r="E404" i="3"/>
  <c r="E88" i="3"/>
  <c r="E121" i="3"/>
  <c r="E316" i="3"/>
  <c r="E334" i="3"/>
  <c r="E480" i="3"/>
  <c r="E366" i="3"/>
  <c r="E282" i="3"/>
  <c r="N6" i="3"/>
  <c r="E569" i="3"/>
  <c r="E396" i="3"/>
  <c r="E229" i="3"/>
  <c r="E559" i="3"/>
  <c r="E551" i="3"/>
  <c r="E407" i="3"/>
  <c r="E294" i="3"/>
  <c r="E130" i="3"/>
  <c r="E114" i="3"/>
  <c r="E260" i="3"/>
  <c r="E550" i="3"/>
  <c r="E117" i="3"/>
  <c r="E245" i="3"/>
  <c r="E382" i="3"/>
  <c r="E518" i="3"/>
  <c r="E336" i="3"/>
  <c r="E253" i="3"/>
  <c r="E453" i="3"/>
  <c r="E511" i="3"/>
  <c r="E99" i="3"/>
  <c r="E45" i="3"/>
  <c r="E573" i="3"/>
  <c r="E458" i="3"/>
  <c r="E457" i="3"/>
  <c r="E571" i="3"/>
  <c r="E433" i="3"/>
  <c r="E72" i="3"/>
  <c r="E279" i="3"/>
  <c r="E351" i="3"/>
  <c r="E318" i="3"/>
  <c r="E549" i="3"/>
  <c r="E269" i="3"/>
  <c r="E107" i="3"/>
  <c r="E515" i="3"/>
  <c r="E414" i="3"/>
  <c r="E477" i="3"/>
  <c r="E476" i="3"/>
  <c r="E447" i="3"/>
  <c r="E27"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E63" i="40"/>
  <c r="F48" i="35"/>
  <c r="S7" i="36"/>
  <c r="AA7" i="36"/>
  <c r="R36" i="36" s="1"/>
  <c r="AC7" i="37"/>
  <c r="F7" i="33"/>
  <c r="E58" i="21"/>
  <c r="AC7" i="36"/>
  <c r="V36" i="36" s="1"/>
  <c r="I36" i="36" s="1"/>
  <c r="W7" i="36"/>
  <c r="F7" i="37"/>
  <c r="P28" i="43"/>
  <c r="B66" i="40" s="1"/>
  <c r="P25" i="43"/>
  <c r="P29" i="43"/>
  <c r="P27" i="43"/>
  <c r="B70" i="39" s="1"/>
  <c r="M11" i="67"/>
  <c r="F11" i="15"/>
  <c r="M11" i="15"/>
  <c r="F11" i="67"/>
  <c r="Q74" i="15"/>
  <c r="Q61" i="15"/>
  <c r="AE11" i="1"/>
  <c r="AE9" i="1"/>
  <c r="AE7" i="1"/>
  <c r="AE8" i="1"/>
  <c r="AE12" i="1"/>
  <c r="AE10" i="1"/>
  <c r="C16" i="67"/>
  <c r="G1" i="73"/>
  <c r="J10" i="67" l="1"/>
  <c r="J5" i="67" s="1"/>
  <c r="J24" i="67" s="1"/>
  <c r="M17" i="67"/>
  <c r="F1" i="15"/>
  <c r="F59" i="15"/>
  <c r="F59" i="67"/>
  <c r="E186" i="3"/>
  <c r="E505" i="3"/>
  <c r="E585" i="3"/>
  <c r="E567" i="3"/>
  <c r="E111" i="3"/>
  <c r="E562" i="3"/>
  <c r="E519" i="3"/>
  <c r="E85" i="3"/>
  <c r="E293" i="3"/>
  <c r="E61" i="3"/>
  <c r="E415" i="3"/>
  <c r="E320" i="3"/>
  <c r="E358" i="3"/>
  <c r="E239" i="3"/>
  <c r="E125" i="3"/>
  <c r="E295" i="3"/>
  <c r="E581" i="3"/>
  <c r="E32" i="3"/>
  <c r="E429" i="3"/>
  <c r="E434" i="3"/>
  <c r="E221" i="3"/>
  <c r="E321" i="3"/>
  <c r="E53" i="3"/>
  <c r="E306" i="3"/>
  <c r="E297" i="3"/>
  <c r="E340" i="3"/>
  <c r="E486" i="3"/>
  <c r="E140" i="3"/>
  <c r="E510" i="3"/>
  <c r="F67" i="39"/>
  <c r="Q73" i="15"/>
  <c r="L56" i="15"/>
  <c r="E162" i="3"/>
  <c r="AS6" i="3"/>
  <c r="E478" i="3"/>
  <c r="E271" i="3"/>
  <c r="E31" i="3"/>
  <c r="E150" i="3"/>
  <c r="E450" i="3"/>
  <c r="E527" i="3"/>
  <c r="E193" i="3"/>
  <c r="E314" i="3"/>
  <c r="E583" i="3"/>
  <c r="E578" i="3"/>
  <c r="E290" i="3"/>
  <c r="E395" i="3"/>
  <c r="E230" i="3"/>
  <c r="V6" i="3"/>
  <c r="E151" i="3"/>
  <c r="E516" i="3"/>
  <c r="E553" i="3"/>
  <c r="E30" i="3"/>
  <c r="E166" i="3"/>
  <c r="E444" i="3"/>
  <c r="E164" i="3"/>
  <c r="E256" i="3"/>
  <c r="E424" i="3"/>
  <c r="E128" i="3"/>
  <c r="E402" i="3"/>
  <c r="E565" i="3"/>
  <c r="E506" i="3"/>
  <c r="E319" i="3"/>
  <c r="E257" i="3"/>
  <c r="E488" i="3"/>
  <c r="E57" i="3"/>
  <c r="E50" i="3"/>
  <c r="E202" i="3"/>
  <c r="E370" i="3"/>
  <c r="E21" i="3"/>
  <c r="E199" i="3"/>
  <c r="U7" i="36"/>
  <c r="C49" i="67"/>
  <c r="D31" i="71"/>
  <c r="C32" i="71"/>
  <c r="J56" i="43"/>
  <c r="D56" i="43"/>
  <c r="J51" i="43"/>
  <c r="D51" i="43"/>
  <c r="J52" i="43"/>
  <c r="D52" i="43"/>
  <c r="E558" i="3"/>
  <c r="AG6" i="3"/>
  <c r="E236" i="3"/>
  <c r="E394" i="3"/>
  <c r="E73" i="3"/>
  <c r="AE6" i="3"/>
  <c r="E437" i="3"/>
  <c r="E120" i="3"/>
  <c r="E238" i="3"/>
  <c r="E353" i="3"/>
  <c r="E159" i="3"/>
  <c r="E17" i="3"/>
  <c r="E237" i="3"/>
  <c r="E338" i="3"/>
  <c r="S6" i="3"/>
  <c r="E328" i="3"/>
  <c r="E317" i="3"/>
  <c r="E379" i="3"/>
  <c r="E288" i="3"/>
  <c r="E98" i="3"/>
  <c r="E259" i="3"/>
  <c r="E19" i="3"/>
  <c r="E51" i="3"/>
  <c r="E101" i="3"/>
  <c r="E52" i="3"/>
  <c r="E43" i="3"/>
  <c r="E498" i="3"/>
  <c r="E223" i="3"/>
  <c r="E104" i="3"/>
  <c r="E522" i="3"/>
  <c r="E23" i="3"/>
  <c r="E435" i="3"/>
  <c r="J55" i="43"/>
  <c r="D55" i="43"/>
  <c r="C21" i="71"/>
  <c r="D22" i="71"/>
  <c r="J50" i="43"/>
  <c r="D50" i="43"/>
  <c r="E443" i="3"/>
  <c r="E576" i="3"/>
  <c r="I6" i="3"/>
  <c r="E274" i="3"/>
  <c r="E55" i="3"/>
  <c r="E344" i="3"/>
  <c r="Q6" i="3"/>
  <c r="E262" i="3"/>
  <c r="E156" i="3"/>
  <c r="AN6" i="3"/>
  <c r="E254" i="3"/>
  <c r="E213" i="3"/>
  <c r="E169" i="3"/>
  <c r="E418" i="3"/>
  <c r="E390" i="3"/>
  <c r="E426" i="3"/>
  <c r="E291" i="3"/>
  <c r="E207" i="3"/>
  <c r="E474" i="3"/>
  <c r="E187" i="3"/>
  <c r="E374" i="3"/>
  <c r="E48" i="3"/>
  <c r="E24" i="3"/>
  <c r="E365" i="3"/>
  <c r="E392" i="3"/>
  <c r="L6" i="3"/>
  <c r="AH6" i="3"/>
  <c r="E16" i="3"/>
  <c r="E452" i="3"/>
  <c r="E129" i="3"/>
  <c r="E300" i="3"/>
  <c r="I3" i="6"/>
  <c r="G14" i="81"/>
  <c r="H14" i="81" s="1"/>
  <c r="J53" i="43"/>
  <c r="D53" i="43"/>
  <c r="J58" i="43"/>
  <c r="D58" i="43"/>
  <c r="F27" i="69"/>
  <c r="C47" i="69" s="1"/>
  <c r="D45" i="69" s="1"/>
  <c r="Q18" i="1"/>
  <c r="F27" i="68"/>
  <c r="F45" i="68" s="1"/>
  <c r="F27" i="11"/>
  <c r="C29" i="11" s="1"/>
  <c r="D27" i="11" s="1"/>
  <c r="F28" i="12"/>
  <c r="C29" i="12" s="1"/>
  <c r="D28" i="12" s="1"/>
  <c r="E574" i="3"/>
  <c r="E153" i="3"/>
  <c r="E29" i="3"/>
  <c r="E272" i="3"/>
  <c r="E432" i="3"/>
  <c r="E397" i="3"/>
  <c r="E475" i="3"/>
  <c r="E532" i="3"/>
  <c r="E122" i="3"/>
  <c r="E167" i="3"/>
  <c r="Y6" i="3"/>
  <c r="E373" i="3"/>
  <c r="E582" i="3"/>
  <c r="E209" i="3"/>
  <c r="E421" i="3"/>
  <c r="E65" i="3"/>
  <c r="E398" i="3"/>
  <c r="E218" i="3"/>
  <c r="E147" i="3"/>
  <c r="E339" i="3"/>
  <c r="E455" i="3"/>
  <c r="E333" i="3"/>
  <c r="E40" i="3"/>
  <c r="E490" i="3"/>
  <c r="E493" i="3"/>
  <c r="E83" i="3"/>
  <c r="E78" i="3"/>
  <c r="E360" i="3"/>
  <c r="E287" i="3"/>
  <c r="E75" i="3"/>
  <c r="E381" i="3"/>
  <c r="E103" i="3"/>
  <c r="E192" i="3"/>
  <c r="E541" i="3"/>
  <c r="E97" i="3"/>
  <c r="O6" i="3"/>
  <c r="E501" i="3"/>
  <c r="AM6" i="3"/>
  <c r="E92" i="3"/>
  <c r="E411" i="3"/>
  <c r="E14" i="3"/>
  <c r="E537" i="3"/>
  <c r="E224" i="3"/>
  <c r="E127" i="3"/>
  <c r="E87" i="3"/>
  <c r="E163" i="3"/>
  <c r="E584" i="3"/>
  <c r="E149" i="3"/>
  <c r="E446" i="3"/>
  <c r="E244" i="3"/>
  <c r="E58" i="3"/>
  <c r="E141" i="3"/>
  <c r="E62" i="3"/>
  <c r="E112" i="3"/>
  <c r="E234" i="3"/>
  <c r="E473" i="3"/>
  <c r="E276" i="3"/>
  <c r="E401" i="3"/>
  <c r="E422" i="3"/>
  <c r="E105" i="3"/>
  <c r="E158" i="3"/>
  <c r="E243" i="3"/>
  <c r="E469" i="3"/>
  <c r="E251" i="3"/>
  <c r="E332" i="3"/>
  <c r="E144" i="3"/>
  <c r="E425" i="3"/>
  <c r="E56" i="3"/>
  <c r="R6" i="3"/>
  <c r="E3" i="6"/>
  <c r="J10" i="39"/>
  <c r="W10" i="39" s="1"/>
  <c r="Q61" i="67"/>
  <c r="Q52" i="67"/>
  <c r="Q73" i="67"/>
  <c r="S10" i="39"/>
  <c r="H10" i="39"/>
  <c r="U10" i="39" s="1"/>
  <c r="H10" i="40"/>
  <c r="AB10" i="40" s="1"/>
  <c r="J10" i="40"/>
  <c r="AC10" i="40" s="1"/>
  <c r="F10" i="40"/>
  <c r="S10" i="40" s="1"/>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56" i="71"/>
  <c r="T56" i="71"/>
  <c r="D36" i="71"/>
  <c r="T36" i="71"/>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C26" i="71"/>
  <c r="D26" i="71" s="1"/>
  <c r="D27"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C53" i="67"/>
  <c r="C10" i="67"/>
  <c r="C5" i="67" s="1"/>
  <c r="C38" i="67" s="1"/>
  <c r="C53" i="15"/>
  <c r="C48" i="15" s="1"/>
  <c r="C66" i="15" s="1"/>
  <c r="F41" i="15"/>
  <c r="AE6" i="1"/>
  <c r="AG6" i="1" l="1"/>
  <c r="C48" i="67"/>
  <c r="C66" i="67" s="1"/>
  <c r="N27" i="15"/>
  <c r="AC6" i="3"/>
  <c r="E50" i="43"/>
  <c r="B48" i="43" s="1"/>
  <c r="C28" i="43" s="1"/>
  <c r="D21" i="71"/>
  <c r="C20" i="71"/>
  <c r="D32" i="71"/>
  <c r="T32" i="71"/>
  <c r="AC10" i="39"/>
  <c r="AA10" i="40"/>
  <c r="C29" i="69"/>
  <c r="D27" i="69" s="1"/>
  <c r="C47" i="68"/>
  <c r="D45" i="68" s="1"/>
  <c r="C29" i="68"/>
  <c r="D27" i="68" s="1"/>
  <c r="F45" i="69"/>
  <c r="C47" i="11"/>
  <c r="D45" i="11" s="1"/>
  <c r="H6" i="3"/>
  <c r="E6" i="3" s="1"/>
  <c r="U10" i="40"/>
  <c r="F25" i="12"/>
  <c r="C26" i="12" s="1"/>
  <c r="D25" i="12" s="1"/>
  <c r="W10" i="40"/>
  <c r="F22" i="68"/>
  <c r="C44" i="68" s="1"/>
  <c r="D41" i="68" s="1"/>
  <c r="D116" i="43"/>
  <c r="F22" i="11"/>
  <c r="C23" i="11" s="1"/>
  <c r="F24" i="67"/>
  <c r="C24" i="67" s="1"/>
  <c r="F24" i="15"/>
  <c r="C24" i="15" s="1"/>
  <c r="F22" i="69"/>
  <c r="F41" i="69" s="1"/>
  <c r="E49" i="34"/>
  <c r="E53" i="34" s="1"/>
  <c r="F53"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E61" i="40"/>
  <c r="H26" i="6"/>
  <c r="P14" i="1"/>
  <c r="P16" i="1" s="1"/>
  <c r="C11" i="12" s="1"/>
  <c r="N16" i="1"/>
  <c r="L16" i="1"/>
  <c r="H67" i="39"/>
  <c r="G69" i="39"/>
  <c r="E48" i="33"/>
  <c r="I53" i="33" s="1"/>
  <c r="J53" i="33" s="1"/>
  <c r="I52" i="33"/>
  <c r="J52" i="33" s="1"/>
  <c r="E40" i="36"/>
  <c r="F40" i="36" s="1"/>
  <c r="E41" i="36"/>
  <c r="F41" i="36" s="1"/>
  <c r="H48" i="35"/>
  <c r="C49" i="34"/>
  <c r="C50" i="34"/>
  <c r="I41" i="36"/>
  <c r="J41" i="36" s="1"/>
  <c r="R43" i="37"/>
  <c r="E42" i="37"/>
  <c r="G63" i="40"/>
  <c r="F65" i="40"/>
  <c r="C37" i="36"/>
  <c r="C36" i="36"/>
  <c r="G58" i="21"/>
  <c r="C60" i="15"/>
  <c r="C60" i="67"/>
  <c r="D10" i="69"/>
  <c r="C34" i="69"/>
  <c r="D10" i="68"/>
  <c r="F41" i="67"/>
  <c r="M27" i="67"/>
  <c r="C14" i="67"/>
  <c r="M27" i="15"/>
  <c r="C17" i="67"/>
  <c r="C17" i="15"/>
  <c r="F69" i="67" l="1"/>
  <c r="H21" i="6"/>
  <c r="I54" i="34"/>
  <c r="J54" i="34" s="1"/>
  <c r="E54" i="34"/>
  <c r="F54" i="34" s="1"/>
  <c r="T11" i="43"/>
  <c r="V11" i="43" s="1"/>
  <c r="T14" i="43"/>
  <c r="V14" i="43" s="1"/>
  <c r="T4" i="43"/>
  <c r="V4" i="43" s="1"/>
  <c r="C6" i="68" s="1"/>
  <c r="C7" i="68" s="1"/>
  <c r="T5" i="43"/>
  <c r="V5" i="43" s="1"/>
  <c r="C41" i="43"/>
  <c r="C38" i="43"/>
  <c r="T9" i="43"/>
  <c r="V9" i="43" s="1"/>
  <c r="T12" i="43"/>
  <c r="V12" i="43" s="1"/>
  <c r="T3" i="43"/>
  <c r="V3" i="43" s="1"/>
  <c r="C33" i="43"/>
  <c r="E33" i="43" s="1"/>
  <c r="T15" i="43"/>
  <c r="V15" i="43" s="1"/>
  <c r="T7" i="43"/>
  <c r="V7" i="43" s="1"/>
  <c r="T10" i="43"/>
  <c r="V10" i="43" s="1"/>
  <c r="T2" i="43"/>
  <c r="V2" i="43" s="1"/>
  <c r="C40" i="43"/>
  <c r="C39" i="43"/>
  <c r="T13" i="43"/>
  <c r="V13" i="43" s="1"/>
  <c r="T16" i="43"/>
  <c r="V16" i="43" s="1"/>
  <c r="T8" i="43"/>
  <c r="V8" i="43" s="1"/>
  <c r="T6" i="43"/>
  <c r="V6" i="43" s="1"/>
  <c r="C37" i="43"/>
  <c r="C42" i="43"/>
  <c r="D30" i="6"/>
  <c r="C19" i="71"/>
  <c r="T20" i="71"/>
  <c r="D20" i="71"/>
  <c r="U20" i="71" s="1"/>
  <c r="H25" i="6"/>
  <c r="C26" i="68"/>
  <c r="D22" i="68" s="1"/>
  <c r="F41" i="68"/>
  <c r="C26" i="11"/>
  <c r="D22" i="11" s="1"/>
  <c r="C44" i="11"/>
  <c r="D41" i="11" s="1"/>
  <c r="C25" i="11"/>
  <c r="C24" i="11"/>
  <c r="C44" i="69"/>
  <c r="D41" i="69" s="1"/>
  <c r="C26" i="69"/>
  <c r="D22" i="69" s="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H58" i="21"/>
  <c r="E47" i="37"/>
  <c r="F47" i="37" s="1"/>
  <c r="E46" i="37"/>
  <c r="F46" i="37" s="1"/>
  <c r="I47" i="37"/>
  <c r="J47" i="37" s="1"/>
  <c r="E52" i="33"/>
  <c r="F52" i="33" s="1"/>
  <c r="C33" i="67"/>
  <c r="J19" i="67"/>
  <c r="C34" i="68"/>
  <c r="C14" i="15"/>
  <c r="C5" i="68" l="1"/>
  <c r="C23" i="68" s="1"/>
  <c r="E2" i="70"/>
  <c r="E42" i="43"/>
  <c r="G42" i="43"/>
  <c r="I42" i="43" s="1"/>
  <c r="C34" i="43"/>
  <c r="E34" i="43" s="1"/>
  <c r="G38" i="43"/>
  <c r="I38" i="43" s="1"/>
  <c r="E38" i="43"/>
  <c r="E37" i="43"/>
  <c r="G37" i="43"/>
  <c r="I37" i="43" s="1"/>
  <c r="E41" i="43"/>
  <c r="G41" i="43"/>
  <c r="I41" i="43" s="1"/>
  <c r="C18" i="71"/>
  <c r="D19" i="71"/>
  <c r="E39" i="43"/>
  <c r="G39" i="43"/>
  <c r="I39" i="43" s="1"/>
  <c r="E40" i="43"/>
  <c r="G40" i="43"/>
  <c r="I40" i="43" s="1"/>
  <c r="C18" i="12"/>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30" i="43" l="1"/>
  <c r="B2" i="43" s="1"/>
  <c r="C31" i="43"/>
  <c r="C17" i="71"/>
  <c r="D18" i="71"/>
  <c r="C21" i="12"/>
  <c r="C22" i="12" s="1"/>
  <c r="C27" i="12" s="1"/>
  <c r="C25"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E6" i="76"/>
  <c r="E2" i="76" l="1"/>
  <c r="B2" i="76"/>
  <c r="D17" i="71"/>
  <c r="C16" i="71"/>
  <c r="B3" i="43"/>
  <c r="C30" i="12"/>
  <c r="C28" i="12" s="1"/>
  <c r="C32" i="12" s="1"/>
  <c r="B2" i="12" s="1"/>
  <c r="B3" i="12" s="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H36" i="33" s="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15"/>
  <c r="M21" i="67"/>
  <c r="R49" i="21" l="1"/>
  <c r="AC29" i="1"/>
  <c r="B3" i="76"/>
  <c r="M23" i="43"/>
  <c r="T16" i="71"/>
  <c r="D16" i="71"/>
  <c r="U16" i="71" s="1"/>
  <c r="C15" i="71"/>
  <c r="U36" i="33"/>
  <c r="AB36" i="33"/>
  <c r="T48" i="33"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F6" i="15"/>
  <c r="F31" i="15" l="1"/>
  <c r="C6" i="15"/>
  <c r="C14" i="71"/>
  <c r="D15" i="71"/>
  <c r="G48" i="33"/>
  <c r="G53" i="33" s="1"/>
  <c r="H53" i="33" s="1"/>
  <c r="R49" i="33"/>
  <c r="B3" i="68"/>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C57" i="69"/>
  <c r="C56" i="69" s="1"/>
  <c r="C57" i="68"/>
  <c r="C56" i="68" s="1"/>
  <c r="M69" i="39"/>
  <c r="N67" i="39"/>
  <c r="R39" i="35"/>
  <c r="E38" i="35"/>
  <c r="M63" i="40"/>
  <c r="L65" i="40"/>
  <c r="D2" i="21"/>
  <c r="M6" i="15"/>
  <c r="M17" i="15" l="1"/>
  <c r="J6" i="15"/>
  <c r="C32" i="15"/>
  <c r="C10" i="15"/>
  <c r="C5" i="15" s="1"/>
  <c r="C38" i="15" s="1"/>
  <c r="C33" i="15"/>
  <c r="D14" i="71"/>
  <c r="C13" i="71"/>
  <c r="E53" i="33"/>
  <c r="F53" i="33" s="1"/>
  <c r="G52" i="33"/>
  <c r="H52" i="33" s="1"/>
  <c r="C48" i="33"/>
  <c r="C49" i="33"/>
  <c r="C80" i="67"/>
  <c r="C79" i="67" s="1"/>
  <c r="C40" i="67"/>
  <c r="C45" i="67" s="1"/>
  <c r="C56" i="11"/>
  <c r="C57" i="11" s="1"/>
  <c r="B2" i="21"/>
  <c r="B3" i="21" s="1"/>
  <c r="C58" i="15"/>
  <c r="C67" i="15" s="1"/>
  <c r="C68" i="15" s="1"/>
  <c r="C71" i="15" s="1"/>
  <c r="O67" i="39"/>
  <c r="O69" i="39" s="1"/>
  <c r="N69" i="39"/>
  <c r="F7" i="39" s="1"/>
  <c r="C39" i="35"/>
  <c r="C38" i="35"/>
  <c r="N63" i="40"/>
  <c r="M65" i="40"/>
  <c r="E43" i="35"/>
  <c r="F43" i="35" s="1"/>
  <c r="E42" i="35"/>
  <c r="F42" i="35" s="1"/>
  <c r="I43" i="35"/>
  <c r="J43" i="35" s="1"/>
  <c r="L51" i="67"/>
  <c r="D2" i="33"/>
  <c r="C31" i="15" l="1"/>
  <c r="C30" i="15" s="1"/>
  <c r="C39" i="15" s="1"/>
  <c r="Q69" i="15" s="1"/>
  <c r="Q68" i="15" s="1"/>
  <c r="J18" i="15"/>
  <c r="J10" i="15"/>
  <c r="J5" i="15" s="1"/>
  <c r="J24" i="15" s="1"/>
  <c r="J19" i="15"/>
  <c r="D13" i="71"/>
  <c r="C12" i="71"/>
  <c r="W22" i="1"/>
  <c r="L57" i="67"/>
  <c r="L60" i="67" s="1"/>
  <c r="L46" i="67" s="1"/>
  <c r="D2" i="67" s="1"/>
  <c r="B2" i="67" s="1"/>
  <c r="Q67" i="67"/>
  <c r="Q65" i="67"/>
  <c r="B2" i="33"/>
  <c r="C83" i="67"/>
  <c r="C82" i="67" s="1"/>
  <c r="Q47" i="67"/>
  <c r="Q53" i="67" s="1"/>
  <c r="C46" i="67"/>
  <c r="Q56" i="67"/>
  <c r="C43" i="67"/>
  <c r="H7" i="39"/>
  <c r="J7" i="39"/>
  <c r="S7" i="39"/>
  <c r="AA7" i="39"/>
  <c r="R47" i="39" s="1"/>
  <c r="O63" i="40"/>
  <c r="O65" i="40" s="1"/>
  <c r="N65" i="40"/>
  <c r="D2" i="35"/>
  <c r="D2" i="34"/>
  <c r="C19" i="9"/>
  <c r="D2" i="37"/>
  <c r="D2" i="36"/>
  <c r="C80" i="15" l="1"/>
  <c r="C79" i="15" s="1"/>
  <c r="C40" i="15"/>
  <c r="C46" i="15" s="1"/>
  <c r="J17" i="15"/>
  <c r="J16" i="15" s="1"/>
  <c r="J25" i="15" s="1"/>
  <c r="J26" i="15" s="1"/>
  <c r="J29" i="15" s="1"/>
  <c r="D12" i="71"/>
  <c r="U12" i="71" s="1"/>
  <c r="C11" i="71"/>
  <c r="T12" i="71"/>
  <c r="C102" i="9"/>
  <c r="C21" i="9"/>
  <c r="B3" i="33"/>
  <c r="Q57" i="67"/>
  <c r="Q62" i="67" s="1"/>
  <c r="Q66" i="67"/>
  <c r="Q75" i="67" s="1"/>
  <c r="B3" i="67"/>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8" i="1"/>
  <c r="AO10" i="1"/>
  <c r="AO9" i="1"/>
  <c r="AO11" i="1"/>
  <c r="AO12" i="1"/>
  <c r="C20" i="9"/>
  <c r="L51" i="15"/>
  <c r="AO7" i="1"/>
  <c r="C43" i="15" l="1"/>
  <c r="Q65" i="15"/>
  <c r="C83" i="15"/>
  <c r="C82" i="15" s="1"/>
  <c r="Q67" i="15"/>
  <c r="Q47" i="15"/>
  <c r="Q53" i="15" s="1"/>
  <c r="Q56" i="15"/>
  <c r="Q62" i="15" s="1"/>
  <c r="C10" i="71"/>
  <c r="D11" i="71"/>
  <c r="C103" i="9"/>
  <c r="L46" i="15"/>
  <c r="B2" i="15" s="1"/>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Q75" i="15" l="1"/>
  <c r="D10" i="71"/>
  <c r="C9" i="71"/>
  <c r="D102" i="9"/>
  <c r="D21" i="9"/>
  <c r="D22" i="9"/>
  <c r="G19"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20" i="9"/>
  <c r="D35" i="9"/>
  <c r="D9" i="71" l="1"/>
  <c r="C8" i="71"/>
  <c r="G21" i="9"/>
  <c r="D14" i="74"/>
  <c r="G14" i="74" s="1"/>
  <c r="D103" i="9"/>
  <c r="G20" i="9"/>
  <c r="C42" i="40"/>
  <c r="C43" i="40"/>
  <c r="E47" i="40"/>
  <c r="F47" i="40" s="1"/>
  <c r="E46" i="40"/>
  <c r="F46" i="40" s="1"/>
  <c r="I47" i="40"/>
  <c r="J47" i="40" s="1"/>
  <c r="D8" i="71" l="1"/>
  <c r="C7" i="71"/>
  <c r="C32" i="9"/>
  <c r="C35" i="9" s="1"/>
  <c r="C34" i="9" s="1"/>
  <c r="E14" i="74"/>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C5" i="71" l="1"/>
  <c r="D5" i="71" s="1"/>
  <c r="M24" i="43" s="1"/>
  <c r="D6" i="71"/>
  <c r="B6" i="74"/>
  <c r="D6" i="74" s="1"/>
  <c r="I118" i="9"/>
  <c r="I4" i="52" s="1"/>
  <c r="G118" i="9"/>
  <c r="G4" i="52" s="1"/>
  <c r="B52" i="72" s="1"/>
  <c r="H118" i="9" l="1"/>
  <c r="C104" i="9" s="1"/>
  <c r="F118" i="9"/>
  <c r="C105" i="9"/>
  <c r="E118" i="9"/>
  <c r="H102" i="9"/>
  <c r="H119" i="9" l="1"/>
  <c r="H5" i="52" s="1"/>
  <c r="H4" i="52"/>
  <c r="H101" i="9"/>
  <c r="D118" i="9"/>
  <c r="E4" i="52"/>
  <c r="B48" i="72" s="1"/>
  <c r="C5" i="74"/>
  <c r="D7" i="53"/>
  <c r="B21" i="72" s="1"/>
  <c r="F119" i="9"/>
  <c r="F5" i="52" s="1"/>
  <c r="B53" i="72" s="1"/>
  <c r="F4" i="52"/>
  <c r="B51" i="72" s="1"/>
  <c r="H107" i="9" l="1"/>
  <c r="D5" i="53"/>
  <c r="M48" i="9"/>
  <c r="D45" i="9"/>
  <c r="D4" i="52"/>
  <c r="B47" i="72" s="1"/>
  <c r="D119" i="9"/>
  <c r="D5" i="52" s="1"/>
  <c r="B49" i="72" s="1"/>
  <c r="D53" i="9" l="1"/>
  <c r="C93" i="9"/>
  <c r="C86" i="9" s="1"/>
  <c r="C72" i="9"/>
  <c r="C78" i="9"/>
  <c r="C73" i="9" s="1"/>
  <c r="D52" i="9"/>
  <c r="C64" i="9"/>
  <c r="C63" i="9" s="1"/>
  <c r="C67" i="9" s="1"/>
  <c r="C85" i="9"/>
  <c r="D55" i="9"/>
  <c r="M53" i="9" s="1"/>
  <c r="D6" i="53"/>
  <c r="B22" i="72" s="1"/>
  <c r="B20" i="72"/>
  <c r="H108" i="9"/>
  <c r="M49" i="9"/>
  <c r="D13" i="53"/>
  <c r="D122" i="9"/>
  <c r="C95" i="9" l="1"/>
  <c r="C96" i="9" s="1"/>
  <c r="E96" i="9" s="1"/>
  <c r="E97" i="9" s="1"/>
  <c r="C79" i="9"/>
  <c r="C80" i="9" s="1"/>
  <c r="E80" i="9" s="1"/>
  <c r="E81" i="9" s="1"/>
  <c r="L64" i="9"/>
  <c r="M64" i="9" s="1"/>
  <c r="L65" i="9"/>
  <c r="M65" i="9" s="1"/>
  <c r="L66" i="9"/>
  <c r="M66" i="9" s="1"/>
  <c r="L67" i="9"/>
  <c r="M67" i="9" s="1"/>
  <c r="L63" i="9"/>
  <c r="M63" i="9" s="1"/>
  <c r="L68" i="9"/>
  <c r="M68" i="9" s="1"/>
  <c r="D15" i="53"/>
  <c r="B31" i="72" s="1"/>
  <c r="C6" i="74"/>
  <c r="D14" i="53"/>
  <c r="B32" i="72" s="1"/>
  <c r="B30" i="72"/>
  <c r="D8" i="52"/>
  <c r="D123" i="9"/>
  <c r="D9" i="52" s="1"/>
  <c r="D59" i="9"/>
  <c r="M55" i="9" s="1"/>
  <c r="C68" i="9"/>
  <c r="D54" i="9" s="1"/>
  <c r="C97" i="9" l="1"/>
  <c r="D58" i="9" s="1"/>
  <c r="D56" i="9" s="1"/>
  <c r="M54" i="9" s="1"/>
  <c r="N57" i="9" s="1"/>
  <c r="C81" i="9"/>
  <c r="M69" i="9"/>
  <c r="N69" i="9" s="1"/>
  <c r="N58" i="9" l="1"/>
  <c r="N59" i="9"/>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<sst xmlns="http://schemas.openxmlformats.org/spreadsheetml/2006/main" count="8036" uniqueCount="3544">
  <si>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</si>
  <si>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</si>
  <si>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</si>
  <si>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</si>
  <si>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</si>
  <si>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</si>
  <si>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</si>
  <si>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</si>
  <si>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</si>
  <si>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</si>
  <si>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</si>
  <si>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</si>
  <si>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</si>
  <si>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</si>
  <si>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</si>
  <si>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</si>
  <si>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</si>
  <si>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</si>
  <si>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</si>
  <si>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</si>
  <si>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</si>
  <si>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</si>
  <si>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</si>
  <si>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</si>
  <si>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</si>
  <si>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</si>
  <si>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</si>
  <si>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</si>
  <si>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</si>
  <si>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</si>
  <si>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</si>
  <si>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</si>
  <si>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</si>
  <si>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</si>
  <si>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</si>
  <si>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</si>
  <si>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</si>
  <si>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</si>
  <si>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</si>
  <si>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</si>
  <si>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</si>
  <si>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</si>
  <si>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</si>
  <si>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</si>
  <si>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</si>
  <si>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</si>
  <si>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</si>
  <si>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</si>
  <si>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</si>
  <si>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</si>
  <si>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</si>
  <si>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</si>
  <si>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</si>
  <si>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</si>
  <si>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</si>
  <si>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</si>
  <si>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</si>
  <si>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</si>
  <si>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</si>
  <si>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</si>
  <si>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</si>
  <si>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</si>
  <si>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</si>
  <si>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</si>
  <si>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</si>
  <si>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</si>
  <si>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</si>
  <si>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</si>
  <si>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</si>
  <si>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</si>
  <si>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</si>
  <si>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</si>
  <si>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</si>
  <si>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</si>
  <si>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</si>
  <si>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</si>
  <si>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</si>
  <si>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</si>
  <si>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</si>
  <si>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</si>
  <si>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</si>
  <si>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</si>
  <si>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</si>
  <si>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</si>
  <si>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</si>
  <si>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</si>
  <si>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</si>
  <si>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</si>
  <si>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</si>
  <si>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</si>
  <si>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</si>
  <si>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</si>
  <si>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</si>
  <si>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</si>
  <si>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</si>
  <si>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</si>
  <si>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</si>
  <si>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</si>
  <si>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</si>
  <si>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</si>
  <si>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</si>
  <si>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</si>
  <si>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</si>
  <si>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</si>
  <si>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</si>
  <si>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</si>
  <si>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</si>
  <si>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</si>
  <si>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</si>
  <si>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</si>
  <si>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</si>
  <si>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</si>
  <si>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</si>
  <si>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</si>
  <si>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</si>
  <si>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</si>
  <si>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</si>
  <si>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</si>
  <si>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</si>
  <si>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</si>
  <si>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</si>
  <si>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</si>
  <si>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</si>
  <si>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</si>
  <si>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</si>
  <si>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</si>
  <si>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</si>
  <si>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</si>
  <si>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</si>
  <si>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</si>
  <si>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</si>
  <si>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</si>
  <si>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</si>
  <si>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</si>
  <si>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</si>
  <si>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</si>
  <si>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</si>
  <si>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</si>
  <si>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</si>
  <si>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</si>
  <si>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</si>
  <si>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</si>
  <si>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</si>
  <si>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</si>
  <si>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</si>
  <si>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</si>
  <si>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</si>
  <si>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</si>
  <si>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</si>
  <si>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</si>
  <si>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</si>
  <si>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</si>
  <si>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</si>
  <si>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</si>
  <si>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</si>
  <si>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</si>
  <si>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</si>
  <si>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</si>
  <si>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</si>
  <si>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</si>
  <si>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</si>
  <si>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</si>
  <si>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</si>
  <si>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</si>
  <si>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</si>
  <si>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</si>
  <si>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</si>
  <si>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</si>
  <si>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</si>
  <si>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</si>
  <si>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</si>
  <si>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</si>
  <si>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</si>
  <si>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</si>
  <si>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</si>
  <si>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</si>
  <si>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</si>
  <si>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</si>
  <si>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</si>
  <si>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</si>
  <si>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</si>
  <si>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</si>
  <si>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</si>
  <si>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</si>
  <si>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</si>
  <si>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</si>
  <si>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</si>
  <si>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</si>
  <si>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</si>
  <si>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</si>
  <si>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</si>
  <si>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</si>
  <si>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</si>
  <si>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</si>
  <si>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</si>
  <si>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</si>
  <si>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</si>
  <si>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</si>
  <si>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</si>
  <si>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</si>
  <si>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</si>
  <si>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</si>
  <si>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</si>
  <si>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</si>
  <si>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</si>
  <si>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</si>
  <si>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</si>
  <si>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</si>
  <si>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</si>
  <si>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</si>
  <si>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</si>
  <si>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</si>
  <si>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</si>
  <si>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</si>
  <si>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</si>
  <si>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</si>
  <si>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</si>
  <si>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</si>
  <si>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</si>
  <si>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</si>
  <si>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</si>
  <si>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</si>
  <si>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</si>
  <si>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</si>
  <si>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</si>
  <si>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</si>
  <si>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</si>
  <si>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</si>
  <si>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</si>
  <si>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</si>
  <si>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</si>
  <si>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</si>
  <si>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</si>
  <si>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</si>
  <si>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</si>
  <si>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</si>
  <si>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</si>
  <si>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</si>
  <si>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</si>
  <si>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</si>
  <si>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</si>
  <si>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</si>
  <si>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</si>
  <si>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</si>
  <si>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</si>
  <si>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</si>
  <si>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</si>
  <si>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</si>
  <si>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</si>
  <si>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</si>
  <si>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</si>
  <si>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</si>
  <si>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</si>
  <si>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</si>
  <si>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</si>
  <si>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</si>
  <si>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</si>
  <si>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</si>
  <si>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</si>
  <si>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</si>
  <si>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</si>
  <si>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</si>
  <si>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</si>
  <si>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</si>
  <si>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</si>
  <si>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</si>
  <si>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</si>
  <si>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</si>
  <si>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</si>
  <si>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</si>
  <si>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</si>
  <si>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</si>
  <si>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</si>
  <si>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</si>
  <si>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</si>
  <si>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</si>
  <si>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</si>
  <si>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</si>
  <si>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</si>
  <si>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</si>
  <si>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</si>
  <si>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</si>
  <si>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</si>
  <si>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</si>
  <si>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</si>
  <si>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</si>
  <si>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</si>
  <si>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</si>
  <si>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</si>
  <si>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</si>
  <si>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</si>
  <si>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</si>
  <si>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</si>
  <si>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</si>
  <si>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</si>
  <si>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</si>
  <si>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</si>
  <si>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</si>
  <si>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</si>
  <si>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</si>
  <si>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</si>
  <si>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</si>
  <si>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</si>
  <si>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</si>
  <si>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</si>
  <si>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</si>
  <si>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</si>
  <si>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</si>
  <si>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</si>
  <si>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</si>
  <si>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</si>
  <si>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</si>
  <si>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</si>
  <si>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</si>
  <si>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</si>
  <si>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</si>
  <si>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</si>
  <si>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</si>
  <si>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</si>
  <si>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</si>
  <si>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</si>
  <si>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</si>
  <si>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</si>
  <si>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</si>
  <si>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</si>
  <si>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</si>
  <si>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</si>
  <si>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</si>
  <si>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</si>
  <si>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</si>
  <si>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</si>
  <si>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</si>
  <si>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</si>
  <si>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</si>
  <si>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</si>
  <si>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</si>
  <si>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</si>
  <si>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</si>
  <si>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</si>
  <si>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</si>
  <si>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</si>
  <si>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</si>
  <si>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</si>
  <si>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</si>
  <si>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</si>
  <si>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</si>
  <si>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</si>
  <si>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</si>
  <si>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</si>
  <si>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</si>
  <si>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</si>
  <si>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</si>
  <si>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</si>
  <si>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</si>
  <si>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</si>
  <si>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</si>
  <si>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</si>
  <si>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</si>
  <si>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</si>
  <si>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</si>
  <si>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</si>
  <si>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</si>
  <si>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</si>
  <si>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</si>
  <si>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</si>
  <si>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</si>
  <si>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</si>
  <si>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</si>
  <si>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</si>
  <si>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</si>
  <si>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</si>
  <si>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</si>
  <si>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</si>
  <si>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</si>
  <si>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</si>
  <si>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</si>
  <si>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</si>
  <si>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</si>
  <si>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</si>
  <si>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</si>
  <si>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</si>
  <si>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</si>
  <si>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</si>
  <si>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</si>
  <si>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</si>
  <si>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</si>
  <si>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</si>
  <si>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</si>
  <si>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</si>
  <si>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</si>
  <si>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</si>
  <si>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</si>
  <si>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</si>
  <si>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</si>
  <si>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</si>
  <si>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</si>
  <si>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</si>
  <si>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</si>
  <si>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</si>
  <si>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</si>
  <si>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</si>
  <si>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</si>
  <si>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</si>
  <si>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</si>
  <si>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</si>
  <si>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</si>
  <si>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</si>
  <si>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</si>
  <si>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</si>
  <si>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</si>
  <si>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</si>
  <si>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</si>
  <si>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</si>
  <si>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</si>
  <si>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</si>
  <si>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</si>
  <si>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</si>
  <si>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</si>
  <si>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</si>
  <si>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</si>
  <si>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</si>
  <si>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</si>
  <si>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</si>
  <si>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</si>
  <si>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</si>
  <si>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</si>
  <si>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</si>
  <si>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</si>
  <si>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</si>
  <si>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</si>
  <si>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</si>
  <si>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</si>
  <si>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</si>
  <si>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</si>
  <si>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</si>
  <si>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</si>
  <si>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</si>
  <si>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</si>
  <si>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</si>
  <si>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</si>
  <si>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</si>
  <si>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</si>
  <si>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</si>
  <si>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</si>
  <si>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</si>
  <si>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</si>
  <si>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</si>
  <si>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</si>
  <si>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</si>
  <si>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</si>
  <si>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</si>
  <si>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</si>
  <si>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</si>
  <si>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</si>
  <si>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</si>
  <si>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</si>
  <si>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</si>
  <si>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</si>
  <si>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</si>
  <si>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</si>
  <si>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</si>
  <si>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</si>
  <si>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</si>
  <si>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</si>
  <si>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</si>
  <si>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</si>
  <si>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</si>
  <si>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</si>
  <si>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</si>
  <si>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</si>
  <si>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</si>
  <si>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</si>
  <si>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</si>
  <si>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</si>
  <si>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</si>
  <si>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</si>
  <si>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</si>
  <si>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</si>
  <si>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</si>
  <si>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</si>
  <si>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</si>
  <si>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</si>
  <si>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</si>
  <si>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</si>
  <si>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</si>
  <si>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</si>
  <si>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</si>
  <si>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</si>
  <si>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</si>
  <si>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</si>
  <si>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</si>
  <si>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</si>
  <si>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</si>
  <si>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</si>
  <si>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</si>
  <si>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</si>
  <si>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</si>
  <si>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</si>
  <si>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</si>
  <si>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</si>
  <si>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</si>
  <si>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</si>
  <si>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</si>
  <si>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</si>
  <si>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</si>
  <si>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</si>
  <si>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</si>
  <si>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</si>
  <si>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</si>
  <si>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</si>
  <si>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</si>
  <si>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</si>
  <si>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</si>
  <si>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</si>
  <si>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</si>
  <si>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</si>
  <si>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</si>
  <si>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</si>
  <si>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</si>
  <si>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</si>
  <si>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</si>
  <si>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</si>
  <si>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</si>
  <si>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</si>
  <si>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</si>
  <si>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</si>
  <si>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</si>
  <si>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</si>
  <si>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</si>
  <si>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</si>
  <si>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</si>
  <si>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</si>
  <si>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</si>
  <si>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</si>
  <si>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</si>
  <si>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</si>
  <si>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</si>
  <si>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</si>
  <si>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</si>
  <si>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</si>
  <si>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</si>
  <si>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</si>
  <si>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</si>
  <si>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</si>
  <si>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</si>
  <si>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</si>
  <si>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</si>
  <si>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</si>
  <si>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</si>
  <si>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</si>
  <si>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</si>
  <si>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</si>
  <si>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</si>
  <si>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</si>
  <si>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</si>
  <si>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</si>
  <si>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</si>
  <si>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</si>
  <si>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</si>
  <si>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</si>
  <si>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</si>
  <si>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</si>
  <si>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</si>
  <si>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</si>
  <si>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</si>
  <si>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</si>
  <si>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</si>
  <si>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</si>
  <si>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</si>
  <si>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</si>
  <si>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</si>
  <si>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</si>
  <si>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</si>
  <si>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</si>
  <si>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</si>
  <si>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</si>
  <si>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</si>
  <si>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</si>
  <si>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</si>
  <si>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</si>
  <si>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</si>
  <si>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</si>
  <si>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</si>
  <si>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</si>
  <si>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</si>
  <si>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</si>
  <si>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</si>
  <si>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</si>
  <si>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</si>
  <si>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</si>
  <si>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</si>
  <si>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</si>
  <si>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</si>
  <si>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</si>
  <si>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</si>
  <si>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</si>
  <si>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</si>
  <si>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</si>
  <si>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</si>
  <si>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</si>
  <si>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</si>
  <si>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</si>
  <si>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</si>
  <si>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</si>
  <si>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</si>
  <si>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</si>
  <si>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</si>
  <si>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</si>
  <si>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</si>
  <si>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</si>
  <si>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</si>
  <si>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</si>
  <si>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</si>
  <si>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</si>
  <si>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</si>
  <si>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</si>
  <si>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</si>
  <si>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</si>
  <si>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</si>
  <si>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</si>
  <si>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</si>
  <si>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</si>
  <si>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</si>
  <si>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</si>
  <si>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</si>
  <si>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</si>
  <si>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</si>
  <si>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</si>
  <si>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</si>
  <si>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</si>
  <si>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</si>
  <si>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</si>
  <si>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</si>
  <si>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</si>
  <si>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</si>
  <si>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</si>
  <si>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</si>
  <si>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</si>
  <si>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</si>
  <si>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</si>
  <si>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</si>
  <si>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</si>
  <si>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</si>
  <si>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</si>
  <si>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</si>
  <si>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</si>
  <si>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</si>
  <si>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</si>
  <si>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</si>
  <si>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</si>
  <si>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</si>
  <si>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</si>
  <si>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</si>
  <si>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</si>
  <si>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</si>
  <si>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</si>
  <si>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</si>
  <si>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</si>
  <si>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</si>
  <si>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</si>
  <si>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</si>
  <si>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</si>
  <si>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</si>
  <si>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</si>
  <si>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</si>
  <si>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</si>
  <si>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</si>
  <si>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</si>
  <si>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</si>
  <si>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</si>
  <si>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</si>
  <si>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</si>
  <si>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</si>
  <si>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</si>
  <si>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</si>
  <si>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</si>
  <si>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</si>
  <si>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</si>
  <si>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</si>
  <si>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</si>
  <si>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</si>
  <si>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</si>
  <si>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</si>
  <si>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</si>
  <si>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</si>
  <si>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</si>
  <si>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</si>
  <si>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</si>
  <si>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</si>
  <si>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</si>
  <si>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</si>
  <si>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</si>
  <si>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</si>
  <si>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</si>
  <si>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</si>
  <si>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</si>
  <si>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</si>
  <si>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</si>
  <si>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</si>
  <si>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</si>
  <si>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</si>
  <si>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</si>
  <si>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</si>
  <si>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</si>
  <si>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</si>
  <si>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</si>
  <si>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</si>
  <si>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</si>
  <si>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</si>
  <si>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</si>
  <si>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</si>
  <si>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</si>
  <si>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</si>
  <si>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</si>
  <si>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</si>
  <si>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</si>
  <si>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</si>
  <si>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</si>
  <si>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</si>
  <si>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</si>
  <si>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</si>
  <si>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</si>
  <si>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</si>
  <si>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</si>
  <si>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</si>
  <si>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</si>
  <si>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</si>
  <si>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</si>
  <si>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</si>
  <si>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</si>
  <si>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</si>
  <si>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</si>
  <si>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</si>
  <si>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</si>
  <si>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</si>
  <si>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</si>
  <si>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</si>
  <si>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</si>
  <si>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</si>
  <si>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</si>
  <si>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</si>
  <si>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</si>
  <si>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</si>
  <si>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</si>
  <si>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</si>
  <si>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</si>
  <si>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</si>
  <si>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</si>
  <si>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</si>
  <si>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</si>
  <si>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</si>
  <si>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</si>
  <si>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</si>
  <si>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</si>
  <si>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</si>
  <si>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</si>
  <si>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</si>
  <si>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</si>
  <si>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</si>
  <si>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</si>
  <si>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</si>
  <si>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</si>
  <si>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</si>
  <si>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</si>
  <si>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</si>
  <si>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</si>
  <si>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</si>
  <si>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</si>
  <si>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</si>
  <si>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</si>
  <si>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</si>
  <si>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</si>
  <si>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</si>
  <si>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</si>
  <si>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</si>
  <si>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</si>
  <si>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</si>
  <si>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</si>
  <si>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</si>
  <si>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</si>
  <si>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</si>
  <si>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</si>
  <si>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</si>
  <si>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</si>
  <si>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</si>
  <si>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</si>
  <si>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</si>
  <si>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</si>
  <si>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</si>
  <si>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</si>
  <si>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</si>
  <si>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</si>
  <si>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</si>
  <si>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</si>
  <si>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</si>
  <si>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</si>
  <si>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</si>
  <si>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</si>
  <si>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</si>
  <si>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</si>
  <si>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</si>
  <si>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</si>
  <si>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</si>
  <si>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</si>
  <si>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</si>
  <si>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</si>
  <si>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</si>
  <si>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</si>
  <si>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</si>
  <si>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</si>
  <si>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</si>
  <si>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</si>
  <si>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</si>
  <si>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</si>
  <si>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</si>
  <si>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</si>
  <si>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</si>
  <si>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</si>
  <si>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</si>
  <si>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</si>
  <si>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</si>
  <si>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</si>
  <si>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</si>
  <si>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</si>
  <si>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</si>
  <si>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</si>
  <si>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</si>
  <si>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</si>
  <si>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</si>
  <si>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</si>
  <si>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</si>
  <si>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</si>
  <si>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</si>
  <si>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</si>
  <si>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</si>
  <si>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</si>
  <si>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</si>
  <si>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</si>
  <si>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</si>
  <si>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</si>
  <si>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</si>
  <si>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</si>
  <si>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</si>
  <si>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</si>
  <si>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</si>
  <si>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</si>
  <si>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</si>
  <si>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</si>
  <si>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</si>
  <si>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</si>
  <si>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</si>
  <si>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</si>
  <si>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</si>
  <si>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</si>
  <si>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</si>
  <si>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</si>
  <si>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</si>
  <si>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</si>
  <si>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</si>
  <si>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</si>
  <si>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</si>
  <si>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</si>
  <si>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</si>
  <si>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</si>
  <si>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</si>
  <si>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</si>
  <si>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</si>
  <si>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</si>
  <si>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</si>
  <si>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</si>
  <si>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</si>
  <si>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</si>
  <si>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</si>
  <si>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</si>
  <si>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</si>
  <si>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</si>
  <si>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</si>
  <si>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</si>
  <si>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</si>
  <si>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</si>
  <si>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</si>
  <si>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</si>
  <si>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</si>
  <si>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</si>
  <si>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</si>
  <si>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</si>
  <si>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</si>
  <si>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</si>
  <si>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</si>
  <si>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</si>
  <si>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</si>
  <si>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</si>
  <si>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</si>
  <si>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</si>
  <si>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</si>
  <si>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</si>
  <si>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</si>
  <si>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</si>
  <si>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</si>
  <si>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</si>
  <si>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</si>
  <si>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</si>
  <si>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</si>
  <si>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</si>
  <si>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</si>
  <si>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</si>
  <si>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</si>
  <si>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</si>
  <si>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</si>
  <si>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</si>
  <si>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</si>
  <si>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</si>
  <si>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</si>
  <si>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</si>
  <si>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</si>
  <si>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</si>
  <si>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</si>
  <si>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</si>
  <si>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</si>
  <si>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</si>
  <si>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</si>
  <si>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</si>
  <si>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</si>
  <si>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</si>
  <si>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</si>
  <si>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</si>
  <si>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</si>
  <si>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</si>
  <si>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</si>
  <si>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</si>
  <si>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</si>
  <si>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</si>
  <si>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</si>
  <si>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</si>
  <si>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</si>
  <si>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</si>
  <si>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</si>
  <si>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</si>
  <si>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</si>
  <si>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</si>
  <si>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</si>
  <si>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</si>
  <si>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</si>
  <si>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</si>
  <si>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</si>
  <si>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</si>
  <si>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</si>
  <si>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</si>
  <si>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</si>
  <si>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</si>
  <si>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</si>
  <si>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</si>
  <si>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</si>
  <si>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</si>
  <si>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</si>
  <si>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</si>
  <si>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</si>
  <si>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</si>
  <si>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</si>
  <si>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</si>
  <si>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</si>
  <si>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</si>
  <si>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</si>
  <si>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</si>
  <si>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</si>
  <si>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</si>
  <si>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</si>
  <si>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</si>
  <si>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</si>
  <si>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</si>
  <si>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</si>
  <si>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</si>
  <si>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</si>
  <si>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</si>
  <si>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</si>
  <si>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</si>
  <si>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</si>
  <si>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</si>
  <si>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</si>
  <si>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</si>
  <si>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</si>
  <si>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</si>
  <si>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</si>
  <si>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</si>
  <si>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</si>
  <si>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</si>
  <si>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</si>
  <si>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</si>
  <si>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</si>
  <si>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</si>
  <si>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</si>
  <si>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</si>
  <si>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</si>
  <si>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</si>
  <si>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</si>
  <si>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</si>
  <si>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</si>
  <si>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</si>
  <si>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</si>
  <si>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</si>
  <si>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</si>
  <si>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</si>
  <si>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</si>
  <si>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</si>
  <si>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</si>
  <si>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</si>
  <si>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</si>
  <si>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</si>
  <si>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</si>
  <si>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</si>
  <si>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</si>
  <si>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</si>
  <si>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</si>
  <si>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</si>
  <si>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</si>
  <si>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</si>
  <si>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</si>
  <si>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</si>
  <si>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</si>
  <si>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</si>
  <si>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</si>
  <si>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</si>
  <si>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</si>
  <si>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</si>
  <si>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</si>
  <si>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</si>
  <si>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</si>
  <si>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</si>
  <si>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</si>
  <si>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</si>
  <si>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</si>
  <si>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</si>
  <si>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</si>
  <si>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</si>
  <si>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</si>
  <si>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</si>
  <si>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</si>
  <si>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</si>
  <si>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</si>
  <si>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</si>
  <si>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</si>
  <si>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</si>
  <si>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</si>
  <si>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</si>
  <si>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</si>
  <si>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</si>
  <si>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</si>
  <si>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</si>
  <si>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</si>
  <si>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</si>
  <si>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</si>
  <si>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</si>
  <si>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</si>
  <si>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</si>
  <si>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</si>
  <si>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</si>
  <si>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</si>
  <si>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</si>
  <si>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</si>
  <si>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</si>
  <si>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</si>
  <si>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</si>
  <si>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</si>
  <si>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</si>
  <si>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</si>
  <si>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</si>
  <si>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</si>
  <si>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</si>
  <si>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</si>
  <si>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</si>
  <si>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</si>
  <si>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</si>
  <si>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</si>
  <si>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</si>
  <si>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</si>
  <si>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</si>
  <si>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</si>
  <si>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</si>
  <si>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</si>
  <si>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</si>
  <si>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</si>
  <si>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</si>
  <si>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</si>
  <si>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</si>
  <si>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</si>
  <si>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</si>
  <si>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</si>
  <si>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</si>
  <si>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</si>
  <si>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</si>
  <si>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</si>
  <si>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</si>
  <si>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</si>
  <si>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</si>
  <si>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</si>
  <si>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</si>
  <si>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</si>
  <si>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</si>
  <si>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</si>
  <si>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</si>
  <si>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</si>
  <si>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</si>
  <si>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</si>
  <si>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</si>
  <si>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</si>
  <si>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</si>
  <si>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</si>
  <si>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</si>
  <si>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</si>
  <si>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</si>
  <si>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</si>
  <si>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</si>
  <si>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</si>
  <si>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</si>
  <si>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</si>
  <si>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</si>
  <si>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</si>
  <si>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</si>
  <si>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</si>
  <si>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</si>
  <si>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</si>
  <si>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</si>
  <si>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</si>
  <si>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</si>
  <si>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</si>
  <si>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</si>
  <si>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</si>
  <si>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</si>
  <si>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</si>
  <si>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</si>
  <si>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</si>
  <si>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</si>
  <si>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</si>
  <si>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</si>
  <si>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</si>
  <si>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</si>
  <si>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</si>
  <si>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</si>
  <si>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</si>
  <si>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</si>
  <si>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</si>
  <si>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</si>
  <si>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</si>
  <si>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</si>
  <si>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</si>
  <si>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</si>
  <si>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</si>
  <si>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</si>
  <si>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</si>
  <si>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</si>
  <si>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</si>
  <si>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</si>
  <si>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</si>
  <si>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</si>
  <si>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</si>
  <si>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</si>
  <si>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</si>
  <si>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</si>
  <si>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</si>
  <si>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</si>
  <si>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</si>
  <si>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</si>
  <si>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</si>
  <si>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</si>
  <si>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</si>
  <si>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</si>
  <si>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</si>
  <si>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</si>
  <si>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</si>
  <si>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</si>
  <si>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</si>
  <si>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</si>
  <si>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</si>
  <si>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</si>
  <si>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</si>
  <si>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</si>
  <si>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</si>
  <si>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</si>
  <si>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</si>
  <si>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</si>
  <si>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</si>
  <si>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</si>
  <si>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</si>
  <si>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</si>
  <si>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</si>
  <si>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</si>
  <si>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</si>
  <si>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</si>
  <si>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</si>
  <si>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</si>
  <si>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</si>
  <si>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</si>
  <si>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</si>
  <si>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</si>
  <si>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</si>
  <si>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</si>
  <si>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</si>
  <si>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</si>
  <si>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</si>
  <si>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</si>
  <si>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</si>
  <si>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</si>
  <si>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</si>
  <si>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</si>
  <si>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</si>
  <si>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</si>
  <si>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</si>
  <si>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</si>
  <si>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</si>
  <si>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</si>
  <si>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</si>
  <si>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</si>
  <si>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</si>
  <si>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</si>
  <si>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</si>
  <si>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</si>
  <si>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</si>
  <si>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</si>
  <si>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</si>
  <si>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</si>
  <si>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</si>
  <si>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</si>
  <si>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</si>
  <si>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</si>
  <si>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</si>
  <si>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</si>
  <si>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</si>
  <si>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</si>
  <si>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</si>
  <si>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</si>
  <si>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</si>
  <si>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</si>
  <si>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</si>
  <si>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</si>
  <si>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</si>
  <si>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</si>
  <si>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</si>
  <si>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</si>
  <si>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</si>
  <si>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</si>
  <si>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</si>
  <si>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</si>
  <si>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</si>
  <si>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</si>
  <si>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</si>
  <si>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</si>
  <si>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</si>
  <si>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</si>
  <si>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</si>
  <si>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</si>
  <si>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</si>
  <si>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</si>
  <si>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</si>
  <si>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</si>
  <si>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</si>
  <si>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</si>
  <si>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</si>
  <si>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</si>
  <si>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</si>
  <si>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</si>
  <si>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</si>
  <si>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</si>
  <si>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</si>
  <si>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</si>
  <si>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</si>
  <si>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</si>
  <si>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</si>
  <si>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</si>
  <si>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</si>
  <si>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</si>
  <si>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</si>
  <si>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</si>
  <si>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</si>
  <si>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</si>
  <si>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</si>
  <si>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</si>
  <si>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</si>
  <si>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</si>
  <si>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</si>
  <si>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</si>
  <si>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</si>
  <si>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</si>
  <si>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</si>
  <si>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</si>
  <si>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</si>
  <si>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</si>
  <si>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</si>
  <si>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</si>
  <si>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</si>
  <si>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</si>
  <si>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</si>
  <si>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</si>
  <si>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</si>
  <si>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</si>
  <si>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</si>
  <si>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</si>
  <si>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</si>
  <si>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</si>
  <si>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</si>
  <si>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</si>
  <si>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</si>
  <si>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</si>
  <si>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</si>
  <si>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</si>
  <si>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</si>
  <si>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</si>
  <si>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</si>
  <si>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</si>
  <si>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</si>
  <si>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</si>
  <si>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</si>
  <si>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</si>
  <si>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</si>
  <si>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</si>
  <si>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</si>
  <si>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</si>
  <si>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</si>
  <si>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</si>
  <si>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</si>
  <si>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</si>
  <si>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</si>
  <si>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</si>
  <si>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</si>
  <si>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</si>
  <si>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</si>
  <si>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</si>
  <si>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</si>
  <si>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</si>
  <si>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</si>
  <si>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</si>
  <si>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</si>
  <si>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</si>
  <si>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</si>
  <si>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</si>
  <si>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</si>
  <si>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</si>
  <si>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</si>
  <si>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</si>
  <si>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</si>
  <si>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</si>
  <si>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</si>
  <si>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</si>
  <si>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</si>
  <si>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</si>
  <si>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</si>
  <si>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</si>
  <si>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</si>
  <si>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</si>
  <si>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</si>
  <si>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</si>
  <si>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</si>
  <si>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</si>
  <si>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</si>
  <si>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</si>
  <si>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</si>
  <si>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</si>
  <si>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</si>
  <si>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</si>
  <si>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</si>
  <si>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</si>
  <si>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</si>
  <si>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</si>
  <si>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</si>
  <si>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</si>
  <si>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</si>
  <si>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</si>
  <si>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</si>
  <si>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</si>
  <si>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</si>
  <si>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</si>
  <si>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</si>
  <si>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</si>
  <si>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</si>
  <si>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</si>
  <si>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</si>
  <si>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</si>
  <si>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</si>
  <si>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</si>
  <si>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</si>
  <si>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</si>
  <si>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</si>
  <si>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</si>
  <si>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</si>
  <si>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</si>
  <si>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</si>
  <si>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</si>
  <si>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</si>
  <si>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</si>
  <si>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</si>
  <si>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</si>
  <si>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</si>
  <si>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</si>
  <si>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</si>
  <si>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</si>
  <si>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</si>
  <si>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</si>
  <si>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</si>
  <si>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</si>
  <si>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</si>
  <si>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</si>
  <si>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</si>
  <si>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</si>
  <si>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</si>
  <si>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</si>
  <si>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</si>
  <si>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</si>
  <si>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</si>
  <si>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</si>
  <si>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</si>
  <si>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</si>
  <si>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</si>
  <si>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</si>
  <si>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</si>
  <si>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</si>
  <si>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</si>
  <si>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</si>
  <si>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</si>
  <si>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</si>
  <si>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</si>
  <si>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</si>
  <si>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</si>
  <si>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</si>
  <si>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</si>
  <si>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</si>
  <si>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</si>
  <si>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</si>
  <si>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</si>
  <si>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</si>
  <si>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</si>
  <si>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</si>
  <si>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</si>
  <si>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</si>
  <si>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</si>
  <si>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</si>
  <si>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</si>
  <si>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</si>
  <si>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</si>
  <si>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</si>
  <si>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</si>
  <si>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</si>
  <si>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</si>
  <si>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</si>
  <si>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</si>
  <si>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</si>
  <si>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</si>
  <si>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</si>
  <si>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</si>
  <si>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</si>
  <si>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</si>
  <si>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</si>
  <si>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</si>
  <si>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</si>
  <si>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</si>
  <si>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</si>
  <si>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</si>
  <si>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</si>
  <si>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</si>
  <si>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</si>
  <si>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</si>
  <si>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</si>
  <si>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</si>
  <si>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</si>
  <si>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</si>
  <si>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</si>
  <si>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</si>
  <si>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</si>
  <si>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</si>
  <si>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</si>
  <si>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</si>
  <si>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</si>
  <si>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</si>
  <si>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</si>
  <si>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</si>
  <si>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</si>
  <si>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</si>
  <si>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</si>
  <si>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</si>
  <si>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</si>
  <si>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</si>
  <si>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</si>
  <si>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</si>
  <si>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</si>
  <si>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</si>
  <si>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</si>
  <si>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</si>
  <si>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</si>
  <si>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</si>
  <si>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</si>
  <si>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</si>
  <si>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</si>
  <si>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</si>
  <si>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</si>
  <si>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</si>
  <si>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</si>
  <si>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</si>
  <si>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</si>
  <si>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</si>
  <si>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</si>
  <si>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</si>
  <si>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</si>
  <si>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</si>
  <si>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</si>
  <si>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</si>
  <si>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</si>
  <si>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</si>
  <si>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</si>
  <si>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</si>
  <si>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</si>
  <si>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</si>
  <si>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</si>
  <si>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</si>
  <si>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</si>
  <si>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</si>
  <si>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</si>
  <si>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</si>
  <si>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</si>
  <si>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</si>
  <si>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</si>
  <si>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</si>
  <si>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</si>
  <si>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</si>
  <si>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</si>
  <si>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</si>
  <si>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</si>
  <si>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</si>
  <si>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</si>
  <si>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</si>
  <si>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</si>
  <si>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</si>
  <si>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</si>
  <si>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</si>
  <si>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</si>
  <si>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</si>
  <si>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</si>
  <si>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</si>
  <si>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</si>
  <si>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</si>
  <si>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</si>
  <si>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</si>
  <si>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</si>
  <si>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</si>
  <si>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</si>
  <si>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</si>
  <si>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</si>
  <si>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</si>
  <si>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</si>
  <si>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</si>
  <si>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</si>
  <si>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</si>
  <si>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</si>
  <si>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</si>
  <si>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</si>
  <si>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</si>
  <si>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</si>
  <si>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</si>
  <si>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</si>
  <si>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</si>
  <si>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</si>
  <si>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</si>
  <si>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</si>
  <si>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</si>
  <si>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</si>
  <si>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</si>
  <si>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</si>
  <si>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</si>
  <si>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</si>
  <si>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</si>
  <si>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</si>
  <si>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</si>
  <si>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</si>
  <si>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</si>
  <si>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</si>
  <si>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</si>
  <si>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</si>
  <si>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</si>
  <si>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</si>
  <si>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</si>
  <si>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</si>
  <si>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</si>
  <si>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</si>
  <si>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</si>
  <si>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</si>
  <si>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</si>
  <si>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</si>
  <si>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</si>
  <si>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</si>
  <si>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</si>
  <si>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</si>
  <si>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</si>
  <si>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</si>
  <si>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</si>
  <si>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</si>
  <si>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</si>
  <si>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</si>
  <si>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</si>
  <si>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</si>
  <si>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</si>
  <si>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</si>
  <si>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</si>
  <si>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</si>
  <si>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</si>
  <si>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</si>
  <si>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</si>
  <si>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</si>
  <si>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</si>
  <si>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</si>
  <si>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</si>
  <si>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</si>
  <si>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</si>
  <si>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</si>
  <si>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</si>
  <si>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</si>
  <si>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</si>
  <si>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</si>
  <si>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</si>
  <si>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</si>
  <si>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</si>
  <si>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</si>
  <si>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</si>
  <si>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</si>
  <si>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</si>
  <si>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</si>
  <si>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</si>
  <si>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</si>
  <si>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</si>
  <si>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</si>
  <si>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</si>
  <si>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</si>
  <si>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</si>
  <si>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</si>
  <si>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</si>
  <si>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</si>
  <si>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</si>
  <si>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</si>
  <si>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</si>
  <si>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</si>
  <si>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</si>
  <si>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</si>
  <si>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</si>
  <si>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</si>
  <si>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</si>
  <si>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</si>
  <si>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</si>
  <si>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</si>
  <si>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</si>
  <si>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</si>
  <si>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</si>
  <si>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</si>
  <si>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</si>
  <si>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</si>
  <si>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</si>
  <si>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</si>
  <si>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</si>
  <si>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</si>
  <si>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</si>
  <si>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</si>
  <si>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</si>
  <si>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</si>
  <si>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</si>
  <si>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</si>
  <si>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</si>
  <si>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</si>
  <si>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</si>
  <si>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</si>
  <si>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</si>
  <si>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</si>
  <si>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</si>
  <si>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</si>
  <si>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</si>
  <si>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</si>
  <si>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</si>
  <si>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</si>
  <si>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</si>
  <si>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</si>
  <si>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</si>
  <si>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</si>
  <si>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</si>
  <si>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</si>
  <si>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</si>
  <si>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</si>
  <si>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</si>
  <si>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</si>
  <si>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</si>
  <si>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</si>
  <si>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</si>
  <si>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</si>
  <si>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</si>
  <si>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</si>
  <si>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</si>
  <si>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</si>
  <si>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</si>
  <si>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</si>
  <si>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</si>
  <si>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</si>
  <si>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</si>
  <si>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</si>
  <si>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</si>
  <si>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</si>
  <si>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</si>
  <si>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</si>
  <si>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</si>
  <si>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</si>
  <si>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</si>
  <si>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</si>
  <si>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</si>
  <si>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</si>
  <si>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</si>
  <si>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</si>
  <si>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</si>
  <si>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</si>
  <si>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</si>
  <si>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</si>
  <si>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</si>
  <si>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</si>
  <si>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</si>
  <si>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</si>
  <si>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</si>
  <si>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</si>
  <si>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</si>
  <si>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</si>
  <si>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</si>
  <si>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</si>
  <si>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</si>
  <si>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</si>
  <si>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</si>
  <si>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</si>
  <si>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</si>
  <si>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</si>
  <si>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</si>
  <si>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</si>
  <si>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</si>
  <si>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</si>
  <si>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</si>
  <si>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</si>
  <si>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</si>
  <si>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</si>
  <si>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</si>
  <si>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</si>
  <si>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</si>
  <si>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</si>
  <si>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</si>
  <si>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</si>
  <si>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</si>
  <si>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</si>
  <si>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</si>
  <si>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</si>
  <si>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</si>
  <si>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</si>
  <si>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</si>
  <si>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</si>
  <si>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</si>
  <si>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</si>
  <si>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</si>
  <si>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</si>
  <si>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</si>
  <si>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</si>
  <si>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</si>
  <si>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</si>
  <si>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</si>
  <si>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</si>
  <si>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</si>
  <si>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</si>
  <si>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</si>
  <si>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</si>
  <si>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</si>
  <si>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</si>
  <si>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</si>
  <si>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</si>
  <si>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</si>
  <si>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</si>
  <si>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</si>
  <si>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</si>
  <si>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</si>
  <si>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</si>
  <si>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</si>
  <si>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</si>
  <si>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</si>
  <si>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</si>
  <si>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</si>
  <si>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</si>
  <si>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</si>
  <si>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</si>
  <si>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</si>
  <si>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</si>
  <si>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</si>
  <si>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</si>
  <si>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</si>
  <si>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</si>
  <si>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</si>
  <si>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</si>
  <si>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</si>
  <si>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</si>
  <si>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</si>
  <si>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</si>
  <si>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</si>
  <si>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</si>
  <si>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</si>
  <si>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</si>
  <si>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</si>
  <si>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</si>
  <si>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</si>
  <si>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</si>
  <si>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</si>
  <si>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</si>
  <si>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</si>
  <si>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</si>
  <si>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</si>
  <si>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</si>
  <si>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</si>
  <si>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</si>
  <si>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</si>
  <si>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</si>
  <si>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</si>
  <si>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</si>
  <si>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</si>
  <si>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</si>
  <si>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</si>
  <si>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</si>
  <si>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</si>
  <si>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</si>
  <si>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</si>
  <si>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</si>
  <si>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</si>
  <si>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</si>
  <si>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</si>
  <si>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</si>
  <si>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</si>
  <si>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</si>
  <si>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</si>
  <si>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</si>
  <si>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</si>
  <si>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</si>
  <si>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</si>
  <si>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</si>
  <si>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</si>
  <si>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</si>
  <si>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</si>
  <si>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</si>
  <si>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</si>
  <si>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</si>
  <si>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</si>
  <si>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</si>
  <si>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</si>
  <si>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</si>
  <si>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</si>
  <si>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</si>
  <si>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</si>
  <si>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</si>
  <si>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</si>
  <si>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</si>
  <si>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</si>
  <si>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</si>
  <si>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</si>
  <si>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</si>
  <si>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</si>
  <si>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</si>
  <si>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</si>
  <si>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</si>
  <si>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</si>
  <si>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</si>
  <si>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</si>
  <si>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</si>
  <si>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</si>
  <si>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</si>
  <si>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</si>
  <si>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</si>
  <si>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</si>
  <si>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</si>
  <si>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</si>
  <si>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</si>
  <si>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</si>
  <si>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</si>
  <si>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</si>
  <si>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</si>
  <si>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</si>
  <si>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</si>
  <si>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</si>
  <si>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</si>
  <si>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</si>
  <si>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</si>
  <si>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</si>
  <si>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</si>
  <si>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</si>
  <si>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</si>
  <si>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</si>
  <si>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</si>
  <si>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</si>
  <si>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</si>
  <si>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</si>
  <si>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</si>
  <si>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</si>
  <si>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</si>
  <si>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</si>
  <si>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</si>
  <si>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</si>
  <si>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</si>
  <si>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</si>
  <si>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</si>
  <si>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</si>
  <si>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</si>
  <si>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</si>
  <si>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</si>
  <si>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</si>
  <si>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</si>
  <si>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</si>
  <si>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</si>
  <si>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</si>
  <si>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</si>
  <si>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</si>
  <si>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</si>
  <si>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</si>
  <si>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</si>
  <si>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</si>
  <si>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</si>
  <si>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</si>
  <si>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</si>
  <si>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</si>
  <si>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</si>
  <si>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</si>
  <si>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</si>
  <si>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</si>
  <si>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</si>
  <si>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</si>
  <si>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</si>
  <si>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</si>
  <si>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</si>
  <si>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</si>
  <si>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</si>
  <si>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</si>
  <si>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</si>
  <si>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</si>
  <si>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</si>
  <si>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</si>
  <si>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</si>
  <si>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</si>
  <si>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</si>
  <si>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</si>
  <si>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</si>
  <si>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</si>
  <si>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</si>
  <si>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</si>
  <si>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</si>
  <si>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</si>
  <si>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</si>
  <si>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</si>
  <si>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</si>
  <si>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</si>
  <si>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</si>
  <si>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</si>
  <si>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</si>
  <si>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</si>
  <si>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</si>
  <si>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</si>
  <si>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</si>
  <si>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</si>
  <si>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</si>
  <si>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</si>
  <si>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</si>
  <si>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</si>
  <si>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</si>
  <si>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</si>
  <si>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</si>
  <si>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</si>
  <si>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</si>
  <si>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</si>
  <si>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</si>
  <si>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</si>
  <si>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</si>
  <si>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</si>
  <si>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</si>
  <si>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</si>
  <si>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</si>
  <si>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</si>
  <si>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</si>
  <si>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</si>
  <si>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</si>
  <si>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</si>
  <si>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</si>
  <si>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</si>
  <si>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</si>
  <si>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</si>
  <si>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</si>
  <si>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</si>
  <si>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</si>
  <si>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</si>
  <si>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</si>
  <si>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</si>
  <si>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</si>
  <si>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</si>
  <si>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</si>
  <si>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</si>
  <si>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</si>
  <si>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</si>
  <si>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</si>
  <si>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</si>
  <si>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</si>
  <si>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</si>
  <si>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</si>
  <si>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</si>
  <si>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</si>
  <si>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</si>
  <si>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</si>
  <si>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</si>
  <si>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</si>
  <si>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</si>
  <si>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</si>
  <si>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</si>
  <si>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</si>
  <si>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</si>
  <si>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</si>
  <si>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</si>
  <si>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</si>
  <si>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</si>
  <si>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</si>
  <si>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</si>
  <si>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</si>
  <si>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</si>
  <si>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</si>
  <si>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</si>
  <si>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</si>
  <si>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</si>
  <si>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</si>
  <si>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</si>
  <si>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</si>
  <si>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</si>
  <si>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</si>
  <si>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</si>
  <si>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</si>
  <si>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</si>
  <si>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</si>
  <si>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</si>
  <si>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</si>
  <si>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</si>
  <si>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</si>
  <si>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</si>
  <si>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</si>
  <si>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</si>
  <si>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</si>
  <si>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</si>
  <si>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</si>
  <si>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</si>
  <si>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</si>
  <si>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</si>
  <si>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</si>
  <si>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</si>
  <si>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</si>
  <si>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</si>
  <si>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</si>
  <si>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</si>
  <si>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</si>
  <si>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</si>
  <si>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</si>
  <si>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</si>
  <si>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</si>
  <si>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</si>
  <si>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</si>
  <si>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</si>
  <si>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</si>
  <si>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</si>
  <si>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</si>
  <si>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</si>
  <si>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</si>
  <si>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</si>
  <si>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</si>
  <si>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</si>
  <si>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</si>
  <si>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</si>
  <si>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</si>
  <si>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</si>
  <si>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</si>
  <si>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</si>
  <si>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</si>
  <si>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</si>
  <si>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</si>
  <si>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</si>
  <si>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</si>
  <si>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</si>
  <si>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</si>
  <si>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</si>
  <si>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</si>
  <si>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</si>
  <si>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</si>
  <si>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</si>
  <si>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</si>
  <si>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</si>
  <si>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</si>
  <si>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</si>
  <si>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</si>
  <si>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</si>
  <si>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</si>
  <si>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</si>
  <si>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</si>
  <si>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</si>
  <si>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</si>
  <si>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</si>
  <si>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</si>
  <si>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</si>
  <si>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</si>
  <si>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</si>
  <si>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</si>
  <si>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</si>
  <si>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</si>
  <si>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</si>
  <si>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</si>
  <si>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</si>
  <si>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</si>
  <si>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</si>
  <si>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</si>
  <si>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</si>
  <si>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</si>
  <si>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</si>
  <si>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</si>
  <si>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</si>
  <si>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</si>
  <si>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</si>
  <si>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</si>
  <si>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</si>
  <si>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</si>
  <si>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</si>
  <si>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</si>
  <si>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</si>
  <si>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</si>
  <si>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</si>
  <si>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</si>
  <si>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</si>
  <si>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</si>
  <si>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</si>
  <si>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</si>
  <si>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</si>
  <si>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</si>
  <si>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</si>
  <si>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</si>
  <si>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</si>
  <si>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</si>
  <si>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</si>
  <si>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</si>
  <si>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</si>
  <si>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</si>
  <si>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</si>
  <si>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</si>
  <si>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</si>
  <si>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</si>
  <si>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</si>
  <si>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</si>
  <si>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</si>
  <si>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</si>
  <si>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</si>
  <si>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</si>
  <si>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</si>
  <si>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</si>
  <si>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</si>
  <si>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</si>
  <si>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</si>
  <si>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</si>
  <si>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</si>
  <si>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</si>
  <si>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</si>
  <si>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</si>
  <si>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</si>
  <si>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</si>
  <si>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</si>
  <si>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</si>
  <si>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</si>
  <si>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</si>
  <si>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</si>
  <si>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</si>
  <si>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</si>
  <si>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</si>
  <si>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</si>
  <si>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</si>
  <si>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</si>
  <si>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</si>
  <si>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</si>
  <si>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</si>
  <si>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</si>
  <si>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</si>
  <si>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</si>
  <si>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</si>
  <si>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</si>
  <si>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</si>
  <si>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</si>
  <si>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</si>
  <si>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</si>
  <si>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</si>
  <si>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</si>
  <si>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</si>
  <si>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</si>
  <si>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</si>
  <si>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</si>
  <si>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</si>
  <si>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</si>
  <si>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</si>
  <si>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</si>
  <si>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</si>
  <si>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</si>
  <si>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</si>
  <si>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</si>
  <si>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</si>
  <si>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</si>
  <si>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</si>
  <si>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</si>
  <si>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</si>
  <si>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</si>
  <si>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</si>
  <si>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</si>
  <si>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</si>
  <si>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</si>
  <si>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</si>
  <si>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</si>
  <si>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</si>
  <si>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</si>
  <si>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</si>
  <si>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</si>
  <si>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</si>
  <si>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</si>
  <si>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</si>
  <si>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</si>
  <si>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</si>
  <si>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</si>
  <si>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</si>
  <si>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</si>
  <si>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</si>
  <si>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</si>
  <si>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</si>
  <si>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</si>
  <si>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</si>
  <si>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</si>
  <si>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</si>
  <si>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</si>
  <si>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</si>
  <si>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</si>
  <si>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</si>
  <si>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</si>
  <si>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</si>
  <si>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</si>
  <si>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</si>
  <si>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</si>
  <si>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</si>
  <si>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</si>
  <si>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</si>
  <si>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</si>
  <si>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</si>
  <si>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</si>
  <si>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</si>
  <si>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</si>
  <si>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</si>
  <si>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</si>
  <si>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</si>
  <si>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</si>
  <si>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</si>
  <si>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</si>
  <si>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</si>
  <si>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</si>
  <si>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</si>
  <si>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</si>
  <si>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</si>
  <si>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</si>
  <si>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</si>
  <si>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</si>
  <si>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</si>
  <si>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</si>
  <si>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</si>
  <si>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</si>
  <si>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</si>
  <si>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</si>
  <si>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</si>
  <si>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</si>
  <si>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</si>
  <si>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</si>
  <si>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</si>
  <si>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</si>
  <si>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</si>
  <si>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</si>
  <si>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</si>
  <si>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</si>
  <si>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</si>
  <si>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</si>
  <si>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</si>
  <si>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</si>
  <si>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</si>
  <si>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</si>
  <si>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</si>
  <si>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</si>
  <si>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</si>
  <si>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</si>
  <si>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</si>
  <si>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</si>
  <si>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</si>
  <si>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</si>
  <si>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</si>
  <si>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</si>
  <si>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</si>
  <si>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</si>
  <si>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</si>
  <si>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</si>
  <si>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</si>
  <si>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</si>
  <si>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</si>
  <si>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</si>
  <si>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</si>
  <si>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</si>
  <si>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</si>
  <si>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</si>
  <si>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</si>
  <si>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</si>
  <si>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</si>
  <si>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</si>
  <si>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</si>
  <si>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</si>
  <si>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</si>
  <si>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</si>
  <si>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</si>
  <si>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</si>
  <si>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</si>
  <si>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</si>
  <si>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</si>
  <si>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</si>
  <si>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</si>
  <si>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</si>
  <si>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</si>
  <si>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</si>
  <si>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</si>
  <si>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</si>
  <si>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</si>
  <si>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</si>
  <si>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</si>
  <si>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</si>
  <si>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</si>
  <si>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</si>
  <si>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</si>
  <si>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</si>
  <si>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</si>
  <si>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</si>
  <si>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</si>
  <si>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</si>
  <si>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</si>
  <si>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</si>
  <si>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</si>
  <si>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</si>
  <si>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</si>
  <si>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</si>
  <si>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</si>
  <si>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</si>
  <si>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</si>
  <si>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</si>
  <si>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</si>
  <si>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</si>
  <si>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</si>
  <si>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</si>
  <si>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</si>
  <si>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</si>
  <si>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</si>
  <si>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</si>
  <si>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</si>
  <si>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</si>
  <si>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</si>
  <si>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</si>
  <si>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</si>
  <si>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</si>
  <si>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</si>
  <si>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</si>
  <si>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</si>
  <si>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</si>
  <si>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</si>
  <si>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</si>
  <si>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</si>
  <si>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</si>
  <si>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</si>
  <si>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</si>
  <si>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</si>
  <si>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</si>
  <si>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</si>
  <si>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</si>
  <si>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</si>
  <si>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</si>
  <si>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</si>
  <si>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</si>
  <si>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</si>
  <si>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</si>
  <si>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</si>
  <si>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</si>
  <si>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</si>
  <si>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</si>
  <si>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</si>
  <si>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</si>
  <si>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</si>
  <si>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</si>
  <si>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</si>
  <si>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</si>
  <si>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</si>
  <si>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</si>
  <si>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</si>
  <si>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</si>
  <si>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</si>
  <si>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</si>
  <si>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</si>
  <si>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</si>
  <si>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</si>
  <si>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</si>
  <si>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</si>
  <si>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</si>
  <si>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</si>
  <si>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</si>
  <si>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</si>
  <si>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</si>
  <si>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</si>
  <si>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</si>
  <si>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</si>
  <si>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</si>
  <si>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</si>
  <si>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</si>
  <si>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</si>
  <si>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</si>
  <si>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</si>
  <si>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</si>
  <si>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</si>
  <si>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</si>
  <si>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</si>
  <si>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</si>
  <si>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</si>
  <si>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</si>
  <si>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</si>
  <si>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</si>
  <si>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</si>
  <si>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</si>
  <si>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</si>
  <si>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</si>
  <si>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</si>
  <si>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</si>
  <si>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</si>
  <si>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</si>
  <si>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</si>
  <si>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</si>
  <si>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</si>
  <si>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</si>
  <si>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</si>
  <si>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</si>
  <si>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</si>
  <si>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</si>
  <si>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</si>
  <si>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</si>
  <si>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</si>
  <si>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</si>
  <si>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</si>
  <si>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</si>
  <si>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</si>
  <si>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</si>
  <si>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</si>
  <si>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</si>
  <si>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</si>
  <si>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</si>
  <si>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</si>
  <si>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</si>
  <si>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</si>
  <si>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</si>
  <si>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</si>
  <si>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</si>
  <si>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</si>
  <si>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</si>
  <si>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</si>
  <si>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</si>
  <si>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</si>
  <si>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</si>
  <si>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</si>
  <si>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</si>
  <si>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</si>
  <si>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</si>
  <si>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</si>
  <si>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</si>
  <si>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</si>
  <si>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</si>
  <si>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</si>
  <si>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</si>
  <si>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</si>
  <si>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</si>
  <si>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</si>
  <si>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</si>
  <si>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</si>
  <si>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</si>
  <si>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</si>
  <si>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</si>
  <si>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</si>
  <si>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</si>
  <si>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</si>
  <si>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</si>
  <si>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</si>
  <si>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</si>
  <si>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</si>
  <si>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</si>
  <si>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</si>
  <si>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</si>
  <si>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</si>
  <si>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</si>
  <si>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</si>
  <si>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</si>
  <si>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</si>
  <si>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</si>
  <si>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</si>
  <si>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</si>
  <si>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</si>
  <si>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</si>
  <si>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</si>
  <si>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</si>
  <si>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</si>
  <si>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</si>
  <si>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</si>
  <si>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</si>
  <si>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</si>
  <si>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</si>
  <si>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</si>
  <si>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</si>
  <si>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</si>
  <si>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</si>
  <si>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</si>
  <si>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</si>
  <si>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</si>
  <si>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</si>
  <si>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</si>
  <si>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</si>
  <si>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</si>
  <si>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</si>
  <si>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</si>
  <si>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</si>
  <si>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</si>
  <si>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</si>
  <si>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</si>
  <si>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</si>
  <si>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</si>
  <si>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</si>
  <si>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</si>
  <si>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</si>
  <si>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</si>
  <si>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</si>
  <si>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</si>
  <si>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</si>
  <si>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</si>
  <si>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</si>
  <si>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</si>
  <si>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</si>
  <si>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</si>
  <si>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</si>
  <si>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</si>
  <si>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</si>
  <si>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</si>
  <si>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</si>
  <si>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</si>
  <si>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</si>
  <si>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</si>
  <si>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</si>
  <si>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</si>
  <si>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</si>
  <si>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</si>
  <si>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</si>
  <si>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</si>
  <si>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</si>
  <si>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</si>
  <si>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</si>
  <si>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</si>
  <si>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</si>
  <si>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</si>
  <si>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</si>
  <si>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</si>
  <si>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</si>
  <si>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</si>
  <si>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</si>
  <si>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</si>
  <si>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</si>
  <si>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</si>
  <si>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</si>
  <si>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</si>
  <si>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</si>
  <si>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</si>
  <si>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</si>
  <si>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</si>
  <si>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</si>
  <si>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</si>
  <si>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</si>
  <si>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</si>
  <si>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</si>
  <si>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</si>
  <si>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</si>
  <si>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</si>
  <si>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</si>
  <si>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</si>
  <si>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</si>
  <si>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</si>
  <si>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</si>
  <si>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</si>
  <si>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</si>
  <si>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</si>
  <si>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</si>
  <si>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</si>
  <si>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</si>
  <si>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</si>
  <si>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</si>
  <si>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</si>
  <si>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</si>
  <si>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</si>
  <si>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</si>
  <si>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</si>
  <si>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</si>
  <si>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</si>
  <si>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</si>
  <si>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</si>
  <si>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</si>
  <si>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</si>
  <si>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</si>
  <si>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</si>
  <si>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</si>
  <si>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</si>
  <si>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</si>
  <si>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</si>
  <si>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</si>
  <si>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</si>
  <si>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</si>
  <si>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</si>
  <si>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</si>
  <si>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</si>
  <si>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</si>
  <si>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</si>
  <si>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</si>
  <si>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</si>
  <si>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</si>
  <si>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</si>
  <si>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</si>
  <si>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</si>
  <si>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</si>
  <si>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</si>
  <si>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</si>
  <si>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</si>
  <si>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</si>
  <si>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</si>
  <si>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</si>
  <si>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</si>
  <si>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</si>
  <si>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</si>
  <si>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</si>
  <si>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</si>
  <si>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</si>
  <si>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</si>
  <si>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</si>
  <si>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</si>
  <si>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</si>
  <si>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</si>
  <si>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</si>
  <si>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</si>
  <si>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</si>
  <si>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</si>
  <si>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</si>
  <si>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</si>
  <si>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</si>
  <si>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</si>
  <si>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</si>
  <si>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</si>
  <si>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</si>
  <si>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</si>
  <si>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</si>
  <si>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</si>
  <si>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</si>
  <si>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</si>
  <si>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</si>
  <si>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</si>
  <si>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</si>
  <si>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</si>
  <si>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</si>
  <si>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</si>
  <si>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</si>
  <si>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</si>
  <si>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</si>
  <si>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</si>
  <si>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</si>
  <si>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</si>
  <si>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</si>
  <si>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</si>
  <si>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</si>
  <si>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</si>
  <si>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</si>
  <si>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</si>
  <si>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</si>
  <si>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</si>
  <si>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</si>
  <si>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</si>
  <si>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</si>
  <si>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</si>
  <si>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</si>
  <si>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</si>
  <si>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</si>
  <si>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</si>
  <si>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</si>
  <si>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</si>
  <si>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</si>
  <si>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</si>
  <si>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</si>
  <si>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</si>
  <si>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</si>
  <si>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</si>
  <si>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</si>
  <si>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</si>
  <si>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</si>
  <si>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</si>
  <si>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</si>
  <si>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</si>
  <si>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</si>
  <si>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</si>
  <si>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</si>
  <si>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</si>
  <si>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</si>
  <si>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</si>
  <si>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</si>
  <si>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</si>
  <si>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</si>
  <si>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</si>
  <si>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</si>
  <si>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</si>
  <si>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</si>
  <si>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</si>
  <si>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</si>
  <si>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</si>
  <si>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</si>
  <si>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</si>
  <si>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</si>
  <si>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</si>
  <si>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</si>
  <si>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</si>
  <si>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</si>
  <si>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</si>
  <si>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</si>
  <si>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</si>
  <si>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</si>
  <si>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</si>
  <si>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</si>
  <si>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</si>
  <si>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</si>
  <si>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</si>
  <si>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</si>
  <si>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</si>
  <si>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</si>
  <si>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</si>
  <si>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</si>
  <si>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</si>
  <si>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</si>
  <si>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</si>
  <si>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</si>
  <si>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</si>
  <si>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</si>
  <si>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</si>
  <si>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</si>
  <si>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</si>
  <si>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</si>
  <si>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</si>
  <si>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</si>
  <si>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</si>
  <si>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</si>
  <si>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</si>
  <si>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</si>
  <si>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</si>
  <si>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</si>
  <si>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</si>
  <si>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</si>
  <si>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</si>
  <si>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</si>
  <si>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</si>
  <si>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</si>
  <si>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</si>
  <si>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</si>
  <si>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</si>
  <si>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</si>
  <si>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</si>
  <si>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</si>
  <si>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</si>
  <si>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</si>
  <si>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</si>
  <si>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</si>
  <si>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</si>
  <si>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</si>
  <si>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</si>
  <si>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</si>
  <si>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</si>
  <si>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</si>
  <si>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</si>
  <si>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</si>
  <si>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</si>
  <si>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</si>
  <si>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</si>
  <si>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</si>
  <si>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</si>
  <si>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</si>
  <si>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</si>
  <si>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</si>
  <si>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</si>
  <si>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</si>
  <si>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</si>
  <si>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</si>
  <si>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</si>
  <si>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</si>
  <si>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</si>
  <si>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</si>
  <si>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</si>
  <si>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</si>
  <si>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</si>
  <si>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</si>
  <si>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</si>
  <si>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</si>
  <si>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</si>
  <si>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</si>
  <si>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</si>
  <si>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</si>
  <si>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</si>
  <si>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</si>
  <si>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</si>
  <si>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</si>
  <si>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</si>
  <si>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</si>
  <si>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</si>
  <si>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</si>
  <si>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</si>
  <si>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</si>
  <si>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</si>
  <si>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</si>
  <si>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</si>
  <si>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</si>
  <si>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</si>
  <si>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</si>
  <si>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</si>
  <si>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</si>
  <si>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</si>
  <si>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</si>
  <si>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</si>
  <si>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</si>
  <si>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</si>
  <si>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</si>
  <si>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</si>
  <si>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</si>
  <si>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</si>
  <si>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</si>
  <si>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</si>
  <si>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</si>
  <si>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</si>
  <si>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</si>
  <si>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</si>
  <si>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</si>
  <si>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</si>
  <si>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</si>
  <si>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</si>
  <si>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</si>
  <si>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</si>
  <si>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</si>
  <si>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</si>
  <si>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</si>
  <si>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</si>
  <si>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</si>
  <si>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</si>
  <si>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</si>
  <si>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</si>
  <si>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</si>
  <si>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</si>
  <si>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</si>
  <si>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</si>
  <si>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</si>
  <si>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</si>
  <si>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</si>
  <si>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</si>
  <si>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</si>
  <si>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</si>
  <si>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</si>
  <si>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</si>
  <si>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</si>
  <si>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</si>
  <si>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</si>
  <si>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</si>
  <si>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</si>
  <si>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</si>
  <si>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</si>
  <si>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</si>
  <si>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</si>
  <si>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</si>
  <si>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</si>
  <si>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</si>
  <si>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</si>
  <si>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</si>
  <si>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</si>
  <si>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</si>
  <si>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</si>
  <si>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</si>
  <si>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</si>
  <si>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</si>
  <si>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</si>
  <si>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</si>
  <si>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</si>
  <si>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</si>
  <si>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</si>
  <si>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</si>
  <si>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</si>
  <si>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</si>
  <si>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</si>
  <si>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</si>
  <si>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</si>
  <si>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</si>
  <si>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</si>
  <si>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</si>
  <si>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</si>
  <si>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</si>
  <si>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</si>
  <si>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</si>
  <si>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</si>
  <si>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</si>
  <si>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</si>
  <si>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</si>
  <si>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</si>
  <si>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</si>
  <si>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</si>
  <si>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</si>
  <si>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</si>
  <si>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</si>
  <si>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</si>
  <si>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</si>
  <si>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</si>
  <si>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</si>
  <si>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</si>
  <si>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</si>
  <si>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</si>
  <si>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</si>
  <si>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</si>
  <si>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</si>
  <si>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</si>
  <si>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</si>
  <si>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</si>
  <si>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</si>
  <si>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</si>
  <si>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</si>
  <si>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</si>
  <si>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</si>
  <si>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</si>
  <si>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</si>
  <si>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</si>
  <si>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</si>
  <si>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</si>
  <si>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</si>
  <si>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</si>
  <si>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</si>
  <si>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</si>
  <si>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</si>
  <si>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</si>
  <si>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</si>
  <si>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</si>
  <si>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</si>
  <si>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</si>
  <si>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</si>
  <si>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</si>
  <si>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</si>
  <si>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</si>
  <si>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</si>
  <si>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</si>
  <si>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</si>
  <si>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</si>
  <si>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</si>
  <si>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</si>
  <si>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</si>
  <si>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</si>
  <si>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</si>
  <si>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</si>
  <si>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</si>
  <si>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</si>
  <si>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</si>
  <si>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</si>
  <si>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</si>
  <si>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</si>
  <si>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</si>
  <si>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</si>
  <si>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</si>
  <si>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</si>
  <si>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</si>
  <si>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</si>
  <si>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</si>
  <si>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</si>
  <si>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</si>
  <si>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</si>
  <si>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</si>
  <si>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</si>
  <si>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</si>
  <si>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</si>
  <si>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</si>
  <si>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</si>
  <si>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</si>
  <si>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</si>
  <si>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</si>
  <si>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</si>
  <si>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</si>
  <si>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</si>
  <si>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</si>
  <si>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</si>
  <si>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</si>
  <si>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</si>
  <si>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</si>
  <si>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</si>
  <si>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</si>
  <si>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</si>
  <si>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</si>
  <si>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</si>
  <si>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</si>
  <si>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</si>
  <si>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</si>
  <si>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</si>
  <si>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</si>
  <si>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</si>
  <si>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</si>
  <si>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</si>
  <si>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</si>
  <si>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</si>
  <si>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</si>
  <si>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</si>
  <si>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</si>
  <si>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</si>
  <si>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</si>
  <si>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</si>
  <si>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</si>
  <si>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</si>
  <si>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</si>
  <si>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</si>
  <si>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</si>
  <si>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</si>
  <si>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</si>
  <si>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</si>
  <si>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</si>
  <si>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</si>
  <si>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</si>
  <si>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</si>
  <si>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</si>
  <si>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</si>
  <si>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</si>
  <si>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</si>
  <si>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</si>
  <si>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</si>
  <si>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</si>
  <si>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</si>
  <si>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</si>
  <si>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</si>
  <si>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</si>
  <si>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</si>
  <si>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</si>
  <si>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</si>
  <si>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</si>
  <si>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</si>
  <si>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</si>
  <si>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</si>
  <si>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</si>
  <si>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</si>
  <si>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</si>
  <si>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</si>
  <si>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</si>
  <si>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</si>
  <si>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</si>
  <si>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</si>
  <si>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</si>
  <si>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</si>
  <si>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</si>
  <si>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</si>
  <si>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</si>
  <si>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</si>
  <si>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</si>
  <si>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</si>
  <si>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</si>
  <si>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</si>
  <si>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</si>
  <si>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</si>
  <si>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</si>
  <si>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</si>
  <si>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</si>
  <si>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</si>
  <si>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</si>
  <si>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</si>
  <si>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</si>
  <si>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</si>
  <si>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</si>
  <si>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</si>
  <si>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</si>
  <si>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</si>
  <si>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</si>
  <si>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</si>
  <si>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</si>
  <si>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</si>
  <si>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</si>
  <si>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</si>
  <si>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</si>
  <si>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</si>
  <si>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</si>
  <si>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</si>
  <si>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</si>
  <si>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</si>
  <si>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</si>
  <si>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</si>
  <si>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</si>
  <si>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</si>
  <si>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</si>
  <si>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</si>
  <si>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</si>
  <si>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</si>
  <si>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</si>
  <si>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</si>
  <si>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</si>
  <si>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</si>
  <si>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</si>
  <si>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</si>
  <si>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</si>
  <si>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</si>
  <si>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</si>
  <si>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</si>
  <si>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</si>
  <si>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</si>
  <si>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</si>
  <si>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</si>
  <si>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</si>
  <si>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</si>
  <si>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</si>
  <si>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</si>
  <si>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</si>
  <si>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</si>
  <si>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</si>
  <si>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</si>
  <si>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</si>
  <si>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</si>
  <si>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</si>
  <si>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</si>
  <si>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</si>
  <si>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</si>
  <si>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</si>
  <si>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</si>
  <si>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</si>
  <si>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</si>
  <si>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</si>
  <si>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</si>
  <si>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</si>
  <si>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</si>
  <si>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</si>
  <si>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</si>
  <si>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</si>
  <si>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</si>
  <si>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</si>
  <si>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</si>
  <si>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</si>
  <si>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</si>
  <si>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</si>
  <si>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</si>
  <si>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</si>
  <si>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</si>
  <si>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</si>
  <si>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</si>
  <si>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</si>
  <si>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</si>
  <si>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</si>
  <si>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</si>
  <si>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</si>
  <si>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</si>
  <si>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</si>
  <si>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</si>
  <si>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</si>
  <si>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</si>
  <si>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</si>
  <si>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</si>
  <si>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</si>
  <si>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</si>
  <si>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</si>
  <si>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</si>
  <si>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</si>
  <si>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</si>
  <si>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</si>
  <si>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</si>
  <si>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</si>
  <si>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</si>
  <si>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</si>
  <si>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</si>
  <si>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</si>
  <si>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</si>
  <si>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</si>
  <si>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</si>
  <si>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</si>
  <si>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</si>
  <si>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</si>
  <si>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</si>
  <si>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</si>
  <si>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</si>
  <si>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</si>
  <si>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</si>
  <si>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</si>
  <si>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</si>
  <si>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</si>
  <si>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</si>
  <si>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</si>
  <si>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</si>
  <si>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</si>
  <si>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</si>
  <si>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</si>
  <si>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</si>
  <si>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</si>
  <si>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</si>
  <si>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</si>
  <si>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</si>
  <si>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</si>
  <si>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</si>
  <si>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</si>
  <si>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</si>
  <si>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</si>
  <si>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</si>
  <si>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</si>
  <si>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</si>
  <si>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</si>
  <si>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</si>
  <si>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</si>
  <si>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</si>
  <si>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</si>
  <si>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</si>
  <si>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</si>
  <si>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</si>
  <si>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</si>
  <si>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</si>
  <si>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</si>
  <si>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</si>
  <si>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</si>
  <si>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</si>
  <si>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</si>
  <si>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</si>
  <si>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</si>
  <si>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</si>
  <si>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</si>
  <si>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</si>
  <si>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</si>
  <si>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</si>
  <si>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</si>
  <si>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</si>
  <si>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</si>
  <si>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</si>
  <si>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</si>
  <si>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</si>
  <si>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</si>
  <si>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</si>
  <si>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</si>
  <si>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</si>
  <si>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</si>
  <si>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</si>
  <si>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</si>
  <si>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</si>
  <si>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</si>
  <si>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</si>
  <si>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</si>
  <si>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</si>
  <si>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</si>
  <si>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</si>
  <si>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</si>
  <si>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</si>
  <si>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</si>
  <si>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</si>
  <si>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</si>
  <si>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</si>
  <si>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</si>
  <si>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</si>
  <si>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</si>
  <si>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</si>
  <si>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</si>
  <si>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</si>
  <si>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</si>
  <si>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</si>
  <si>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</si>
  <si>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</si>
  <si>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</si>
  <si>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</si>
  <si>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</si>
  <si>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</si>
  <si>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</si>
  <si>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</si>
  <si>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</si>
  <si>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</si>
  <si>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</si>
  <si>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</si>
  <si>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</si>
  <si>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</si>
  <si>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</si>
  <si>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</si>
  <si>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</si>
  <si>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</si>
  <si>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</si>
  <si>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</si>
  <si>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</si>
  <si>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</si>
  <si>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</si>
  <si>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</si>
  <si>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</si>
  <si>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</si>
  <si>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</si>
  <si>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</si>
  <si>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</si>
  <si>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</si>
  <si>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</si>
  <si>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</si>
  <si>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</si>
  <si>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</si>
  <si>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</si>
  <si>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</si>
  <si>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</si>
  <si>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</si>
  <si>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</si>
  <si>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</si>
  <si>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</si>
  <si>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</si>
  <si>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</si>
  <si>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</si>
  <si>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</si>
  <si>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</si>
  <si>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</si>
  <si>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</si>
  <si>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</si>
  <si>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</si>
  <si>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</si>
  <si>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</si>
  <si>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</si>
  <si>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</si>
  <si>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</si>
  <si>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</si>
  <si>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</si>
  <si>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</si>
  <si>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</si>
  <si>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</si>
  <si>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</si>
  <si>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</si>
  <si>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</si>
  <si>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</si>
  <si>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</si>
  <si>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</si>
  <si>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</si>
  <si>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</si>
  <si>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</si>
  <si>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</si>
  <si>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</si>
  <si>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</si>
  <si>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</si>
  <si>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</si>
  <si>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</si>
  <si>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</si>
  <si>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</si>
  <si>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</si>
  <si>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</si>
  <si>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</si>
  <si>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</si>
  <si>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</si>
  <si>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</si>
  <si>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</si>
  <si>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</si>
  <si>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</si>
  <si>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</si>
  <si>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</si>
  <si>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</si>
  <si>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</si>
  <si>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</si>
  <si>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</si>
  <si>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</si>
  <si>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</si>
  <si>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</si>
  <si>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</si>
  <si>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</si>
  <si>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</si>
  <si>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</si>
  <si>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</si>
  <si>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</si>
  <si>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</si>
  <si>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</si>
  <si>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</si>
  <si>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</si>
  <si>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</si>
  <si>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</si>
  <si>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</si>
  <si>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</si>
  <si>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</si>
  <si>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</si>
  <si>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</si>
  <si>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</si>
  <si>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</si>
  <si>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</si>
  <si>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</si>
  <si>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</si>
  <si>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</si>
  <si>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</si>
  <si>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</si>
  <si>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</si>
  <si>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</si>
  <si>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</si>
  <si>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</si>
  <si>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</si>
  <si>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</si>
  <si>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</si>
  <si>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</si>
  <si>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</si>
  <si>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</si>
  <si>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</si>
  <si>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</si>
  <si>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</si>
  <si>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</si>
  <si>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</si>
  <si>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</si>
  <si>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</si>
  <si>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</si>
  <si>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</si>
  <si>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</si>
  <si>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</si>
  <si>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</si>
  <si>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</si>
  <si>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</si>
  <si>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</si>
  <si>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</si>
  <si>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</si>
  <si>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</si>
  <si>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</si>
  <si>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</si>
  <si>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</si>
  <si>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</si>
  <si>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</si>
  <si>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成新度</t>
  </si>
  <si>
    <t>居住项目</t>
  </si>
  <si>
    <t>无</t>
  </si>
  <si>
    <t>否</t>
  </si>
  <si>
    <t>现房</t>
  </si>
  <si>
    <t>是</t>
  </si>
  <si>
    <t>地上</t>
  </si>
  <si>
    <t>底商</t>
  </si>
  <si>
    <t>押一</t>
  </si>
  <si>
    <t>钢混</t>
  </si>
  <si>
    <t>非生产用房</t>
  </si>
  <si>
    <t>自定义容积率</t>
  </si>
  <si>
    <t>不临65条商业街</t>
  </si>
  <si>
    <t>与级别开发程度一致</t>
  </si>
  <si>
    <t>通路</t>
  </si>
  <si>
    <t>通电</t>
  </si>
  <si>
    <t>通讯</t>
  </si>
  <si>
    <t>通上水</t>
  </si>
  <si>
    <t>通热</t>
  </si>
  <si>
    <t>通下水</t>
  </si>
  <si>
    <t>燃气</t>
  </si>
  <si>
    <t>平整</t>
  </si>
  <si>
    <t>楼层修正</t>
  </si>
  <si>
    <t>较好</t>
  </si>
  <si>
    <t>一般</t>
  </si>
  <si>
    <t>好</t>
  </si>
  <si>
    <t>未包含在土地购买价格中</t>
  </si>
  <si>
    <t>全部缴纳</t>
  </si>
  <si>
    <t>已包含在土地取得成本中</t>
  </si>
  <si>
    <t>楼面单价</t>
  </si>
  <si>
    <t>成本比率</t>
  </si>
  <si>
    <t>单套模式</t>
  </si>
  <si>
    <t>售价</t>
  </si>
  <si>
    <t>正常</t>
  </si>
  <si>
    <t>商业</t>
    <phoneticPr fontId="30" type="noConversion"/>
  </si>
  <si>
    <t>报价</t>
  </si>
  <si>
    <t>报价</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</si>
  <si>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</si>
  <si>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</si>
  <si>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</si>
  <si>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</si>
  <si>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</si>
  <si>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</si>
  <si>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</si>
  <si>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</si>
  <si>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</si>
  <si>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</si>
  <si>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t>楼层</t>
    <phoneticPr fontId="3" type="noConversion"/>
  </si>
  <si>
    <t>系数</t>
    <phoneticPr fontId="3" type="noConversion"/>
  </si>
  <si>
    <t>租金</t>
    <phoneticPr fontId="3" type="noConversion"/>
  </si>
  <si>
    <t>底商</t>
    <phoneticPr fontId="3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</si>
  <si>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</si>
  <si>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</si>
  <si>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</si>
  <si>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</si>
  <si>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</si>
  <si>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</si>
  <si>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标准层高</t>
  </si>
  <si>
    <t>标准层高</t>
    <phoneticPr fontId="30" type="noConversion"/>
  </si>
  <si>
    <t>可餐饮</t>
  </si>
  <si>
    <t>可餐饮</t>
    <phoneticPr fontId="30" type="noConversion"/>
  </si>
  <si>
    <t>不可餐饮</t>
  </si>
  <si>
    <t>不可餐饮</t>
    <phoneticPr fontId="30" type="noConversion"/>
  </si>
  <si>
    <t>七通</t>
  </si>
  <si>
    <t>七通</t>
    <phoneticPr fontId="30" type="noConversion"/>
  </si>
  <si>
    <t>六通</t>
    <phoneticPr fontId="30" type="noConversion"/>
  </si>
  <si>
    <t>五通</t>
    <phoneticPr fontId="30" type="noConversion"/>
  </si>
  <si>
    <t>1层</t>
  </si>
  <si>
    <t>售价</t>
    <phoneticPr fontId="3" type="noConversion"/>
  </si>
  <si>
    <t>租售比</t>
    <phoneticPr fontId="3" type="noConversion"/>
  </si>
  <si>
    <t>比较法-商业</t>
  </si>
  <si>
    <t>产权建面</t>
    <phoneticPr fontId="134" type="noConversion"/>
  </si>
  <si>
    <t>租赁建面</t>
    <phoneticPr fontId="134" type="noConversion"/>
  </si>
  <si>
    <t>租赁起始日</t>
    <phoneticPr fontId="134" type="noConversion"/>
  </si>
  <si>
    <t>年租金</t>
    <phoneticPr fontId="134" type="noConversion"/>
  </si>
  <si>
    <t>年度</t>
    <phoneticPr fontId="134" type="noConversion"/>
  </si>
  <si>
    <t>天数</t>
    <phoneticPr fontId="134" type="noConversion"/>
  </si>
  <si>
    <t>免租期</t>
    <phoneticPr fontId="134" type="noConversion"/>
  </si>
  <si>
    <t>租赁终止日</t>
    <phoneticPr fontId="134" type="noConversion"/>
  </si>
  <si>
    <t>物业费</t>
    <phoneticPr fontId="134" type="noConversion"/>
  </si>
  <si>
    <t>价值时点</t>
    <phoneticPr fontId="134" type="noConversion"/>
  </si>
  <si>
    <t>剩余租期内收益价值</t>
    <phoneticPr fontId="134" type="noConversion"/>
  </si>
  <si>
    <t>合计</t>
    <phoneticPr fontId="134" type="noConversion"/>
  </si>
  <si>
    <t>租赁终止日期</t>
    <phoneticPr fontId="3" type="noConversion"/>
  </si>
  <si>
    <t>价值时点</t>
    <phoneticPr fontId="3" type="noConversion"/>
  </si>
  <si>
    <t>剩余租赁期</t>
    <phoneticPr fontId="3" type="noConversion"/>
  </si>
  <si>
    <t>增长率</t>
    <phoneticPr fontId="3" type="noConversion"/>
  </si>
  <si>
    <t>租赁期截止成新度</t>
    <phoneticPr fontId="3" type="noConversion"/>
  </si>
  <si>
    <t>市场租金</t>
    <phoneticPr fontId="3" type="noConversion"/>
  </si>
  <si>
    <t>租期外租金</t>
    <phoneticPr fontId="3" type="noConversion"/>
  </si>
  <si>
    <t>建成年代</t>
    <phoneticPr fontId="30" type="noConversion"/>
  </si>
  <si>
    <t>10号楼</t>
    <phoneticPr fontId="3" type="noConversion"/>
  </si>
  <si>
    <t>2012-2013</t>
    <phoneticPr fontId="30" type="noConversion"/>
  </si>
  <si>
    <t>临街</t>
  </si>
  <si>
    <t>自然人</t>
  </si>
  <si>
    <t>1层商业</t>
  </si>
  <si>
    <t>1层商业</t>
    <phoneticPr fontId="7" type="noConversion"/>
  </si>
  <si>
    <t>麦子店街道</t>
    <phoneticPr fontId="3" type="noConversion"/>
  </si>
  <si>
    <t>内铺</t>
    <phoneticPr fontId="30" type="noConversion"/>
  </si>
  <si>
    <t>外铺</t>
    <phoneticPr fontId="30" type="noConversion"/>
  </si>
  <si>
    <t>外铺</t>
    <phoneticPr fontId="30" type="noConversion"/>
  </si>
  <si>
    <t>35元/月·㎡</t>
    <phoneticPr fontId="134" type="noConversion"/>
  </si>
  <si>
    <t>取暖费</t>
    <phoneticPr fontId="134" type="noConversion"/>
  </si>
  <si>
    <t>12元/年·㎡</t>
    <phoneticPr fontId="134" type="noConversion"/>
  </si>
  <si>
    <t>含物业费，供暖费</t>
    <phoneticPr fontId="134" type="noConversion"/>
  </si>
  <si>
    <t>不含税日租金</t>
    <phoneticPr fontId="134" type="noConversion"/>
  </si>
  <si>
    <t>含税日租金</t>
    <phoneticPr fontId="134" type="noConversion"/>
  </si>
  <si>
    <t>含税租期内租金</t>
    <phoneticPr fontId="3" type="noConversion"/>
  </si>
  <si>
    <t>外铺</t>
    <phoneticPr fontId="3" type="noConversion"/>
  </si>
  <si>
    <t>内铺</t>
    <phoneticPr fontId="3" type="noConversion"/>
  </si>
  <si>
    <t>押二</t>
  </si>
  <si>
    <t>收益法 (元)</t>
  </si>
  <si>
    <r>
      <rPr>
        <sz val="10"/>
        <color indexed="8"/>
        <rFont val="宋体"/>
        <family val="3"/>
        <charset val="134"/>
      </rPr>
      <t>同项目</t>
    </r>
    <r>
      <rPr>
        <sz val="10"/>
        <color indexed="8"/>
        <rFont val="Arial"/>
        <family val="2"/>
      </rPr>
      <t>1</t>
    </r>
    <r>
      <rPr>
        <sz val="10"/>
        <color indexed="8"/>
        <rFont val="宋体"/>
        <family val="3"/>
        <charset val="134"/>
      </rPr>
      <t>层外铺，个人招租，</t>
    </r>
    <r>
      <rPr>
        <sz val="10"/>
        <color indexed="8"/>
        <rFont val="Arial"/>
        <family val="2"/>
      </rPr>
      <t>81</t>
    </r>
    <r>
      <rPr>
        <sz val="10"/>
        <color indexed="8"/>
        <rFont val="宋体"/>
        <family val="3"/>
        <charset val="134"/>
      </rPr>
      <t>平，可谈全含月租金</t>
    </r>
    <r>
      <rPr>
        <sz val="10"/>
        <color indexed="8"/>
        <rFont val="Arial"/>
        <family val="2"/>
      </rPr>
      <t>2</t>
    </r>
    <r>
      <rPr>
        <sz val="10"/>
        <color indexed="8"/>
        <rFont val="宋体"/>
        <family val="3"/>
        <charset val="134"/>
      </rPr>
      <t>万</t>
    </r>
    <r>
      <rPr>
        <sz val="10"/>
        <color indexed="8"/>
        <rFont val="Arial"/>
        <family val="2"/>
      </rPr>
      <t>-2.3</t>
    </r>
    <r>
      <rPr>
        <sz val="10"/>
        <color indexed="8"/>
        <rFont val="宋体"/>
        <family val="3"/>
        <charset val="134"/>
      </rPr>
      <t>万元，日租金</t>
    </r>
    <r>
      <rPr>
        <sz val="10"/>
        <color indexed="8"/>
        <rFont val="Arial"/>
        <family val="2"/>
      </rPr>
      <t>8.1-9.3</t>
    </r>
    <r>
      <rPr>
        <sz val="10"/>
        <color indexed="8"/>
        <rFont val="宋体"/>
        <family val="3"/>
        <charset val="134"/>
      </rPr>
      <t>元</t>
    </r>
    <phoneticPr fontId="3" type="noConversion"/>
  </si>
  <si>
    <r>
      <rPr>
        <sz val="10"/>
        <color indexed="8"/>
        <rFont val="宋体"/>
        <family val="3"/>
        <charset val="134"/>
      </rPr>
      <t>同项目</t>
    </r>
    <r>
      <rPr>
        <sz val="10"/>
        <color indexed="8"/>
        <rFont val="Arial"/>
        <family val="2"/>
      </rPr>
      <t>1</t>
    </r>
    <r>
      <rPr>
        <sz val="10"/>
        <color indexed="8"/>
        <rFont val="宋体"/>
        <family val="3"/>
        <charset val="134"/>
      </rPr>
      <t>层内铺，个人，</t>
    </r>
    <r>
      <rPr>
        <sz val="10"/>
        <color indexed="8"/>
        <rFont val="Arial"/>
        <family val="2"/>
      </rPr>
      <t>93.56</t>
    </r>
    <r>
      <rPr>
        <sz val="10"/>
        <color indexed="8"/>
        <rFont val="宋体"/>
        <family val="3"/>
        <charset val="134"/>
      </rPr>
      <t>平，可谈不含月租金</t>
    </r>
    <r>
      <rPr>
        <sz val="10"/>
        <color indexed="8"/>
        <rFont val="Arial"/>
        <family val="2"/>
      </rPr>
      <t>2.3</t>
    </r>
    <r>
      <rPr>
        <sz val="10"/>
        <color indexed="8"/>
        <rFont val="宋体"/>
        <family val="3"/>
        <charset val="134"/>
      </rPr>
      <t>万</t>
    </r>
    <r>
      <rPr>
        <sz val="10"/>
        <color indexed="8"/>
        <rFont val="Arial"/>
        <family val="2"/>
      </rPr>
      <t>-2.6</t>
    </r>
    <r>
      <rPr>
        <sz val="10"/>
        <color indexed="8"/>
        <rFont val="宋体"/>
        <family val="3"/>
        <charset val="134"/>
      </rPr>
      <t>万元，日租金</t>
    </r>
    <r>
      <rPr>
        <sz val="10"/>
        <color indexed="8"/>
        <rFont val="Arial"/>
        <family val="2"/>
      </rPr>
      <t>8.1-9.3</t>
    </r>
    <r>
      <rPr>
        <sz val="10"/>
        <color indexed="8"/>
        <rFont val="宋体"/>
        <family val="3"/>
        <charset val="134"/>
      </rPr>
      <t>元，含税日租金</t>
    </r>
    <r>
      <rPr>
        <sz val="10"/>
        <color indexed="8"/>
        <rFont val="Arial"/>
        <family val="2"/>
      </rPr>
      <t>8.5-9.6</t>
    </r>
    <r>
      <rPr>
        <sz val="10"/>
        <color indexed="8"/>
        <rFont val="宋体"/>
        <family val="3"/>
        <charset val="134"/>
      </rPr>
      <t>元</t>
    </r>
    <phoneticPr fontId="3" type="noConversion"/>
  </si>
  <si>
    <r>
      <rPr>
        <sz val="10"/>
        <color indexed="8"/>
        <rFont val="宋体"/>
        <family val="3"/>
        <charset val="134"/>
      </rPr>
      <t>同项目里的链商中介介绍，内铺</t>
    </r>
    <r>
      <rPr>
        <sz val="10"/>
        <color indexed="8"/>
        <rFont val="Arial"/>
        <family val="2"/>
      </rPr>
      <t>1</t>
    </r>
    <r>
      <rPr>
        <sz val="10"/>
        <color indexed="8"/>
        <rFont val="宋体"/>
        <family val="3"/>
        <charset val="134"/>
      </rPr>
      <t>层不含税、含供暖、含物业日租金</t>
    </r>
    <r>
      <rPr>
        <sz val="10"/>
        <color indexed="8"/>
        <rFont val="Arial"/>
        <family val="2"/>
      </rPr>
      <t>5.5</t>
    </r>
    <r>
      <rPr>
        <sz val="10"/>
        <color indexed="8"/>
        <rFont val="宋体"/>
        <family val="3"/>
        <charset val="134"/>
      </rPr>
      <t>元，含税</t>
    </r>
    <r>
      <rPr>
        <sz val="10"/>
        <color indexed="8"/>
        <rFont val="Arial"/>
        <family val="2"/>
      </rPr>
      <t>5.8</t>
    </r>
    <r>
      <rPr>
        <sz val="10"/>
        <color indexed="8"/>
        <rFont val="宋体"/>
        <family val="3"/>
        <charset val="134"/>
      </rPr>
      <t>元</t>
    </r>
    <phoneticPr fontId="3" type="noConversion"/>
  </si>
  <si>
    <t>物业费7元/月·平，取暖45元/年·平</t>
    <phoneticPr fontId="134" type="noConversion"/>
  </si>
  <si>
    <t>1层临街配套商业，净日租金6.98元，含税、物业费、取暖费日租金7.33元，不可餐饮</t>
    <phoneticPr fontId="134" type="noConversion"/>
  </si>
  <si>
    <t>1层，临街，不可餐饮</t>
    <phoneticPr fontId="134" type="noConversion"/>
  </si>
  <si>
    <r>
      <rPr>
        <sz val="10"/>
        <color indexed="8"/>
        <rFont val="宋体"/>
        <family val="3"/>
        <charset val="134"/>
      </rPr>
      <t>周边</t>
    </r>
    <r>
      <rPr>
        <sz val="10"/>
        <color indexed="8"/>
        <rFont val="Arial"/>
        <family val="2"/>
      </rPr>
      <t>1</t>
    </r>
    <r>
      <rPr>
        <sz val="10"/>
        <color indexed="8"/>
        <rFont val="宋体"/>
        <family val="3"/>
        <charset val="134"/>
      </rPr>
      <t>层临街商铺日租金</t>
    </r>
    <r>
      <rPr>
        <sz val="10"/>
        <color indexed="8"/>
        <rFont val="Arial"/>
        <family val="2"/>
      </rPr>
      <t>7-12</t>
    </r>
    <r>
      <rPr>
        <sz val="10"/>
        <color indexed="8"/>
        <rFont val="宋体"/>
        <family val="3"/>
        <charset val="134"/>
      </rPr>
      <t>元</t>
    </r>
    <phoneticPr fontId="3" type="noConversion"/>
  </si>
  <si>
    <t>霄云中心</t>
    <phoneticPr fontId="3" type="noConversion"/>
  </si>
  <si>
    <t>丽都水岸</t>
    <phoneticPr fontId="3" type="noConversion"/>
  </si>
  <si>
    <t>亮马水晶</t>
    <phoneticPr fontId="3" type="noConversion"/>
  </si>
  <si>
    <t>内铺</t>
    <phoneticPr fontId="30" type="noConversion"/>
  </si>
  <si>
    <t>环线位置</t>
    <phoneticPr fontId="30" type="noConversion"/>
  </si>
  <si>
    <r>
      <rPr>
        <sz val="11"/>
        <rFont val="宋体"/>
        <family val="3"/>
        <charset val="134"/>
      </rPr>
      <t>三环</t>
    </r>
    <r>
      <rPr>
        <sz val="11"/>
        <rFont val="Arial"/>
        <family val="2"/>
      </rPr>
      <t>-</t>
    </r>
    <r>
      <rPr>
        <sz val="11"/>
        <rFont val="宋体"/>
        <family val="3"/>
        <charset val="134"/>
      </rPr>
      <t>四环</t>
    </r>
    <phoneticPr fontId="30" type="noConversion"/>
  </si>
  <si>
    <t>太阳公元北区</t>
    <phoneticPr fontId="3" type="noConversion"/>
  </si>
  <si>
    <r>
      <rPr>
        <sz val="11"/>
        <rFont val="宋体"/>
        <family val="3"/>
        <charset val="134"/>
      </rPr>
      <t>四环</t>
    </r>
    <r>
      <rPr>
        <sz val="11"/>
        <rFont val="Arial"/>
        <family val="2"/>
      </rPr>
      <t>-</t>
    </r>
    <r>
      <rPr>
        <sz val="11"/>
        <rFont val="宋体"/>
        <family val="3"/>
        <charset val="134"/>
      </rPr>
      <t>五环</t>
    </r>
    <phoneticPr fontId="30" type="noConversion"/>
  </si>
  <si>
    <t>2005-2007</t>
    <phoneticPr fontId="30" type="noConversion"/>
  </si>
  <si>
    <t>临街</t>
    <phoneticPr fontId="30" type="noConversion"/>
  </si>
  <si>
    <t>朝阳区霞光里15号楼1层102商铺用房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</si>
</sst>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77" fillId="12"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51"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12" borderId="0" xfId="0" applyFont="1" applyFill="1" applyAlignment="1" applyProtection="1">
      <alignment vertical="center"/>
      <protection locked="0"/>
    </xf>
    <xf numFmtId="0" fontId="0" fillId="0" borderId="0" xfId="0" applyAlignment="1">
      <alignment horizontal="center" vertical="center"/>
    </xf>
    <xf numFmtId="0" fontId="95" fillId="0" borderId="0" xfId="0" applyFont="1" applyAlignment="1">
      <alignment horizontal="center" vertical="center"/>
    </xf>
    <xf numFmtId="14" fontId="0" fillId="0" borderId="0" xfId="0" applyNumberFormat="1" applyAlignment="1">
      <alignment horizontal="center" vertical="center"/>
    </xf>
    <xf numFmtId="14" fontId="272" fillId="0" borderId="0" xfId="0" applyNumberFormat="1" applyFont="1" applyAlignment="1">
      <alignment horizontal="center" vertical="center"/>
    </xf>
    <xf numFmtId="0" fontId="272" fillId="0" borderId="0" xfId="0" applyFont="1" applyAlignment="1">
      <alignment horizontal="center" vertical="center"/>
    </xf>
    <xf numFmtId="0" fontId="77" fillId="12" borderId="0" xfId="0" applyFont="1" applyFill="1" applyProtection="1">
      <alignment vertical="center"/>
      <protection locked="0"/>
    </xf>
    <xf numFmtId="0" fontId="47" fillId="12" borderId="0" xfId="0" applyFont="1" applyFill="1" applyProtection="1">
      <alignment vertical="center"/>
      <protection locked="0"/>
    </xf>
    <xf numFmtId="14" fontId="47" fillId="12" borderId="0" xfId="0" applyNumberFormat="1" applyFont="1" applyFill="1" applyAlignment="1" applyProtection="1">
      <alignment vertical="center"/>
      <protection locked="0"/>
    </xf>
    <xf numFmtId="0" fontId="0" fillId="18" borderId="1" xfId="0" applyFill="1" applyBorder="1" applyAlignment="1">
      <alignment horizontal="center" vertical="center"/>
    </xf>
    <xf numFmtId="0" fontId="95" fillId="18" borderId="1" xfId="0" applyFont="1" applyFill="1" applyBorder="1" applyAlignment="1">
      <alignment horizontal="center" vertical="center"/>
    </xf>
    <xf numFmtId="0" fontId="95" fillId="0" borderId="1" xfId="0" applyFont="1" applyBorder="1" applyAlignment="1">
      <alignment horizontal="center" vertical="center"/>
    </xf>
    <xf numFmtId="0" fontId="0" fillId="0" borderId="1" xfId="0" applyBorder="1" applyAlignment="1">
      <alignment horizontal="center" vertical="center"/>
    </xf>
    <xf numFmtId="14" fontId="272" fillId="0" borderId="1" xfId="0" applyNumberFormat="1" applyFont="1" applyBorder="1" applyAlignment="1">
      <alignment horizontal="center" vertical="center"/>
    </xf>
    <xf numFmtId="14" fontId="0" fillId="0" borderId="1" xfId="0" applyNumberFormat="1" applyBorder="1" applyAlignment="1">
      <alignment horizontal="center" vertical="center"/>
    </xf>
    <xf numFmtId="10" fontId="53" fillId="9" borderId="49" xfId="0" applyNumberFormat="1" applyFont="1" applyFill="1" applyBorder="1" applyAlignment="1" applyProtection="1">
      <alignment horizontal="center" vertical="center"/>
      <protection locked="0"/>
    </xf>
    <xf numFmtId="179" fontId="53" fillId="7" borderId="0" xfId="0" applyNumberFormat="1"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179" fontId="44" fillId="0" borderId="23" xfId="0" applyNumberFormat="1" applyFont="1" applyFill="1" applyBorder="1" applyAlignment="1" applyProtection="1">
      <alignment horizontal="center" vertical="center"/>
      <protection locked="0"/>
    </xf>
    <xf numFmtId="0" fontId="273" fillId="0" borderId="0" xfId="0" applyFont="1" applyAlignment="1">
      <alignment horizontal="center" vertical="center"/>
    </xf>
    <xf numFmtId="181" fontId="47" fillId="12" borderId="0" xfId="0" applyNumberFormat="1" applyFont="1" applyFill="1" applyAlignment="1" applyProtection="1">
      <alignment vertical="center"/>
      <protection locked="0"/>
    </xf>
    <xf numFmtId="0" fontId="51" fillId="12" borderId="0" xfId="0" applyFont="1" applyFill="1" applyAlignment="1" applyProtection="1">
      <alignment horizontal="right" vertical="center"/>
      <protection locked="0"/>
    </xf>
    <xf numFmtId="0" fontId="51" fillId="12" borderId="0" xfId="0" applyNumberFormat="1" applyFont="1" applyFill="1" applyAlignment="1" applyProtection="1">
      <alignment horizontal="right" vertical="center"/>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4.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9"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114300</xdr:rowOff>
    </xdr:from>
    <xdr:to>
      <xdr:col>10</xdr:col>
      <xdr:colOff>173751</xdr:colOff>
      <xdr:row>20</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5750"/>
          <a:ext cx="7031751" cy="3152775"/>
        </a:xfrm>
        <a:prstGeom prst="rect">
          <a:avLst/>
        </a:prstGeom>
      </xdr:spPr>
    </xdr:pic>
    <xdr:clientData/>
  </xdr:twoCellAnchor>
  <xdr:twoCellAnchor editAs="oneCell">
    <xdr:from>
      <xdr:col>0</xdr:col>
      <xdr:colOff>0</xdr:colOff>
      <xdr:row>22</xdr:row>
      <xdr:rowOff>1</xdr:rowOff>
    </xdr:from>
    <xdr:to>
      <xdr:col>9</xdr:col>
      <xdr:colOff>552450</xdr:colOff>
      <xdr:row>38</xdr:row>
      <xdr:rowOff>95127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1"/>
          <a:ext cx="6724650" cy="2838326"/>
        </a:xfrm>
        <a:prstGeom prst="rect">
          <a:avLst/>
        </a:prstGeom>
      </xdr:spPr>
    </xdr:pic>
    <xdr:clientData/>
  </xdr:twoCellAnchor>
  <xdr:twoCellAnchor editAs="oneCell">
    <xdr:from>
      <xdr:col>0</xdr:col>
      <xdr:colOff>1</xdr:colOff>
      <xdr:row>40</xdr:row>
      <xdr:rowOff>1</xdr:rowOff>
    </xdr:from>
    <xdr:to>
      <xdr:col>11</xdr:col>
      <xdr:colOff>91469</xdr:colOff>
      <xdr:row>60</xdr:row>
      <xdr:rowOff>38101</xdr:rowOff>
    </xdr:to>
    <xdr:pic>
      <xdr:nvPicPr>
        <xdr:cNvPr id="4" name="图片 3"/>
        <xdr:cNvPicPr>
          <a:picLocks noChangeAspect="1"/>
        </xdr:cNvPicPr>
      </xdr:nvPicPr>
      <xdr:blipFill>
        <a:blip xmlns:r="http://schemas.openxmlformats.org/officeDocument/2006/relationships" r:embed="rId3"/>
        <a:stretch>
          <a:fillRect/>
        </a:stretch>
      </xdr:blipFill>
      <xdr:spPr>
        <a:xfrm>
          <a:off x="1" y="6858001"/>
          <a:ext cx="7635268" cy="3467100"/>
        </a:xfrm>
        <a:prstGeom prst="rect">
          <a:avLst/>
        </a:prstGeom>
      </xdr:spPr>
    </xdr:pic>
    <xdr:clientData/>
  </xdr:twoCellAnchor>
  <xdr:twoCellAnchor editAs="oneCell">
    <xdr:from>
      <xdr:col>0</xdr:col>
      <xdr:colOff>0</xdr:colOff>
      <xdr:row>61</xdr:row>
      <xdr:rowOff>0</xdr:rowOff>
    </xdr:from>
    <xdr:to>
      <xdr:col>10</xdr:col>
      <xdr:colOff>485774</xdr:colOff>
      <xdr:row>78</xdr:row>
      <xdr:rowOff>96062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458450"/>
          <a:ext cx="7343774" cy="3010712"/>
        </a:xfrm>
        <a:prstGeom prst="rect">
          <a:avLst/>
        </a:prstGeom>
      </xdr:spPr>
    </xdr:pic>
    <xdr:clientData/>
  </xdr:twoCellAnchor>
  <xdr:twoCellAnchor editAs="oneCell">
    <xdr:from>
      <xdr:col>0</xdr:col>
      <xdr:colOff>0</xdr:colOff>
      <xdr:row>79</xdr:row>
      <xdr:rowOff>1</xdr:rowOff>
    </xdr:from>
    <xdr:to>
      <xdr:col>11</xdr:col>
      <xdr:colOff>104775</xdr:colOff>
      <xdr:row>98</xdr:row>
      <xdr:rowOff>84791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544551"/>
          <a:ext cx="7648575" cy="33423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xdr:row>
      <xdr:rowOff>1</xdr:rowOff>
    </xdr:from>
    <xdr:to>
      <xdr:col>12</xdr:col>
      <xdr:colOff>173805</xdr:colOff>
      <xdr:row>22</xdr:row>
      <xdr:rowOff>114301</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71451"/>
          <a:ext cx="8403404" cy="3714750"/>
        </a:xfrm>
        <a:prstGeom prst="rect">
          <a:avLst/>
        </a:prstGeom>
      </xdr:spPr>
    </xdr:pic>
    <xdr:clientData/>
  </xdr:twoCellAnchor>
  <xdr:twoCellAnchor editAs="oneCell">
    <xdr:from>
      <xdr:col>0</xdr:col>
      <xdr:colOff>0</xdr:colOff>
      <xdr:row>46</xdr:row>
      <xdr:rowOff>95250</xdr:rowOff>
    </xdr:from>
    <xdr:to>
      <xdr:col>11</xdr:col>
      <xdr:colOff>636419</xdr:colOff>
      <xdr:row>67</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981950"/>
          <a:ext cx="8180219" cy="3657600"/>
        </a:xfrm>
        <a:prstGeom prst="rect">
          <a:avLst/>
        </a:prstGeom>
      </xdr:spPr>
    </xdr:pic>
    <xdr:clientData/>
  </xdr:twoCellAnchor>
  <xdr:twoCellAnchor editAs="oneCell">
    <xdr:from>
      <xdr:col>0</xdr:col>
      <xdr:colOff>0</xdr:colOff>
      <xdr:row>24</xdr:row>
      <xdr:rowOff>0</xdr:rowOff>
    </xdr:from>
    <xdr:to>
      <xdr:col>11</xdr:col>
      <xdr:colOff>247650</xdr:colOff>
      <xdr:row>44</xdr:row>
      <xdr:rowOff>130545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7791450" cy="3559545"/>
        </a:xfrm>
        <a:prstGeom prst="rect">
          <a:avLst/>
        </a:prstGeom>
      </xdr:spPr>
    </xdr:pic>
    <xdr:clientData/>
  </xdr:twoCellAnchor>
  <xdr:twoCellAnchor editAs="oneCell">
    <xdr:from>
      <xdr:col>0</xdr:col>
      <xdr:colOff>0</xdr:colOff>
      <xdr:row>69</xdr:row>
      <xdr:rowOff>0</xdr:rowOff>
    </xdr:from>
    <xdr:to>
      <xdr:col>11</xdr:col>
      <xdr:colOff>38523</xdr:colOff>
      <xdr:row>88</xdr:row>
      <xdr:rowOff>104775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830050"/>
          <a:ext cx="7582323" cy="33623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286475</xdr:colOff>
      <xdr:row>24</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01875" cy="4248150"/>
        </a:xfrm>
        <a:prstGeom prst="rect">
          <a:avLst/>
        </a:prstGeom>
      </xdr:spPr>
    </xdr:pic>
    <xdr:clientData/>
  </xdr:twoCellAnchor>
  <xdr:twoCellAnchor editAs="oneCell">
    <xdr:from>
      <xdr:col>0</xdr:col>
      <xdr:colOff>0</xdr:colOff>
      <xdr:row>26</xdr:row>
      <xdr:rowOff>0</xdr:rowOff>
    </xdr:from>
    <xdr:to>
      <xdr:col>5</xdr:col>
      <xdr:colOff>571000</xdr:colOff>
      <xdr:row>55</xdr:row>
      <xdr:rowOff>85093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4000000" cy="5057143"/>
        </a:xfrm>
        <a:prstGeom prst="rect">
          <a:avLst/>
        </a:prstGeom>
      </xdr:spPr>
    </xdr:pic>
    <xdr:clientData/>
  </xdr:twoCellAnchor>
  <xdr:twoCellAnchor editAs="oneCell">
    <xdr:from>
      <xdr:col>6</xdr:col>
      <xdr:colOff>0</xdr:colOff>
      <xdr:row>25</xdr:row>
      <xdr:rowOff>0</xdr:rowOff>
    </xdr:from>
    <xdr:to>
      <xdr:col>11</xdr:col>
      <xdr:colOff>504334</xdr:colOff>
      <xdr:row>57</xdr:row>
      <xdr:rowOff>75505</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4286250"/>
          <a:ext cx="3933334" cy="5561905"/>
        </a:xfrm>
        <a:prstGeom prst="rect">
          <a:avLst/>
        </a:prstGeom>
      </xdr:spPr>
    </xdr:pic>
    <xdr:clientData/>
  </xdr:twoCellAnchor>
  <xdr:twoCellAnchor editAs="oneCell">
    <xdr:from>
      <xdr:col>11</xdr:col>
      <xdr:colOff>619125</xdr:colOff>
      <xdr:row>25</xdr:row>
      <xdr:rowOff>76200</xdr:rowOff>
    </xdr:from>
    <xdr:to>
      <xdr:col>17</xdr:col>
      <xdr:colOff>475754</xdr:colOff>
      <xdr:row>58</xdr:row>
      <xdr:rowOff>8827</xdr:rowOff>
    </xdr:to>
    <xdr:pic>
      <xdr:nvPicPr>
        <xdr:cNvPr id="5" name="图片 4"/>
        <xdr:cNvPicPr>
          <a:picLocks noChangeAspect="1"/>
        </xdr:cNvPicPr>
      </xdr:nvPicPr>
      <xdr:blipFill>
        <a:blip xmlns:r="http://schemas.openxmlformats.org/officeDocument/2006/relationships" r:embed="rId4"/>
        <a:stretch>
          <a:fillRect/>
        </a:stretch>
      </xdr:blipFill>
      <xdr:spPr>
        <a:xfrm>
          <a:off x="8162925" y="4362450"/>
          <a:ext cx="3971429" cy="5590477"/>
        </a:xfrm>
        <a:prstGeom prst="rect">
          <a:avLst/>
        </a:prstGeom>
      </xdr:spPr>
    </xdr:pic>
    <xdr:clientData/>
  </xdr:twoCellAnchor>
  <xdr:twoCellAnchor editAs="oneCell">
    <xdr:from>
      <xdr:col>0</xdr:col>
      <xdr:colOff>0</xdr:colOff>
      <xdr:row>56</xdr:row>
      <xdr:rowOff>0</xdr:rowOff>
    </xdr:from>
    <xdr:to>
      <xdr:col>5</xdr:col>
      <xdr:colOff>485286</xdr:colOff>
      <xdr:row>88</xdr:row>
      <xdr:rowOff>104077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601200"/>
          <a:ext cx="3914286" cy="5590477"/>
        </a:xfrm>
        <a:prstGeom prst="rect">
          <a:avLst/>
        </a:prstGeom>
      </xdr:spPr>
    </xdr:pic>
    <xdr:clientData/>
  </xdr:twoCellAnchor>
  <xdr:twoCellAnchor editAs="oneCell">
    <xdr:from>
      <xdr:col>6</xdr:col>
      <xdr:colOff>0</xdr:colOff>
      <xdr:row>58</xdr:row>
      <xdr:rowOff>0</xdr:rowOff>
    </xdr:from>
    <xdr:to>
      <xdr:col>11</xdr:col>
      <xdr:colOff>523381</xdr:colOff>
      <xdr:row>90</xdr:row>
      <xdr:rowOff>104077</xdr:rowOff>
    </xdr:to>
    <xdr:pic>
      <xdr:nvPicPr>
        <xdr:cNvPr id="7" name="图片 6"/>
        <xdr:cNvPicPr>
          <a:picLocks noChangeAspect="1"/>
        </xdr:cNvPicPr>
      </xdr:nvPicPr>
      <xdr:blipFill>
        <a:blip xmlns:r="http://schemas.openxmlformats.org/officeDocument/2006/relationships" r:embed="rId6"/>
        <a:stretch>
          <a:fillRect/>
        </a:stretch>
      </xdr:blipFill>
      <xdr:spPr>
        <a:xfrm>
          <a:off x="4114800" y="9944100"/>
          <a:ext cx="3952381" cy="5590477"/>
        </a:xfrm>
        <a:prstGeom prst="rect">
          <a:avLst/>
        </a:prstGeom>
      </xdr:spPr>
    </xdr:pic>
    <xdr:clientData/>
  </xdr:twoCellAnchor>
  <xdr:twoCellAnchor editAs="oneCell">
    <xdr:from>
      <xdr:col>12</xdr:col>
      <xdr:colOff>0</xdr:colOff>
      <xdr:row>59</xdr:row>
      <xdr:rowOff>0</xdr:rowOff>
    </xdr:from>
    <xdr:to>
      <xdr:col>17</xdr:col>
      <xdr:colOff>456715</xdr:colOff>
      <xdr:row>91</xdr:row>
      <xdr:rowOff>104077</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10115550"/>
          <a:ext cx="3885715" cy="5590477"/>
        </a:xfrm>
        <a:prstGeom prst="rect">
          <a:avLst/>
        </a:prstGeom>
      </xdr:spPr>
    </xdr:pic>
    <xdr:clientData/>
  </xdr:twoCellAnchor>
  <xdr:twoCellAnchor editAs="oneCell">
    <xdr:from>
      <xdr:col>0</xdr:col>
      <xdr:colOff>0</xdr:colOff>
      <xdr:row>94</xdr:row>
      <xdr:rowOff>0</xdr:rowOff>
    </xdr:from>
    <xdr:to>
      <xdr:col>5</xdr:col>
      <xdr:colOff>542429</xdr:colOff>
      <xdr:row>126</xdr:row>
      <xdr:rowOff>46934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6116300"/>
          <a:ext cx="3971429" cy="5533334"/>
        </a:xfrm>
        <a:prstGeom prst="rect">
          <a:avLst/>
        </a:prstGeom>
      </xdr:spPr>
    </xdr:pic>
    <xdr:clientData/>
  </xdr:twoCellAnchor>
  <xdr:twoCellAnchor editAs="oneCell">
    <xdr:from>
      <xdr:col>0</xdr:col>
      <xdr:colOff>0</xdr:colOff>
      <xdr:row>126</xdr:row>
      <xdr:rowOff>123825</xdr:rowOff>
    </xdr:from>
    <xdr:to>
      <xdr:col>5</xdr:col>
      <xdr:colOff>399572</xdr:colOff>
      <xdr:row>146</xdr:row>
      <xdr:rowOff>132920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1726525"/>
          <a:ext cx="3828572" cy="3438095"/>
        </a:xfrm>
        <a:prstGeom prst="rect">
          <a:avLst/>
        </a:prstGeom>
      </xdr:spPr>
    </xdr:pic>
    <xdr:clientData/>
  </xdr:twoCellAnchor>
  <xdr:twoCellAnchor editAs="oneCell">
    <xdr:from>
      <xdr:col>5</xdr:col>
      <xdr:colOff>676275</xdr:colOff>
      <xdr:row>94</xdr:row>
      <xdr:rowOff>28575</xdr:rowOff>
    </xdr:from>
    <xdr:to>
      <xdr:col>11</xdr:col>
      <xdr:colOff>570999</xdr:colOff>
      <xdr:row>126</xdr:row>
      <xdr:rowOff>94556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105275" y="16144875"/>
          <a:ext cx="4009524" cy="5552381"/>
        </a:xfrm>
        <a:prstGeom prst="rect">
          <a:avLst/>
        </a:prstGeom>
      </xdr:spPr>
    </xdr:pic>
    <xdr:clientData/>
  </xdr:twoCellAnchor>
  <xdr:twoCellAnchor editAs="oneCell">
    <xdr:from>
      <xdr:col>12</xdr:col>
      <xdr:colOff>0</xdr:colOff>
      <xdr:row>94</xdr:row>
      <xdr:rowOff>0</xdr:rowOff>
    </xdr:from>
    <xdr:to>
      <xdr:col>17</xdr:col>
      <xdr:colOff>571000</xdr:colOff>
      <xdr:row>120</xdr:row>
      <xdr:rowOff>56586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229600" y="16116300"/>
          <a:ext cx="4000000" cy="4514286"/>
        </a:xfrm>
        <a:prstGeom prst="rect">
          <a:avLst/>
        </a:prstGeom>
      </xdr:spPr>
    </xdr:pic>
    <xdr:clientData/>
  </xdr:twoCellAnchor>
  <xdr:twoCellAnchor editAs="oneCell">
    <xdr:from>
      <xdr:col>6</xdr:col>
      <xdr:colOff>0</xdr:colOff>
      <xdr:row>128</xdr:row>
      <xdr:rowOff>0</xdr:rowOff>
    </xdr:from>
    <xdr:to>
      <xdr:col>11</xdr:col>
      <xdr:colOff>532905</xdr:colOff>
      <xdr:row>159</xdr:row>
      <xdr:rowOff>161241</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114800" y="21945600"/>
          <a:ext cx="3961905" cy="54761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104775</xdr:colOff>
      <xdr:row>22</xdr:row>
      <xdr:rowOff>100995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6276975" cy="3872894"/>
        </a:xfrm>
        <a:prstGeom prst="rect">
          <a:avLst/>
        </a:prstGeom>
      </xdr:spPr>
    </xdr:pic>
    <xdr:clientData/>
  </xdr:twoCellAnchor>
  <xdr:twoCellAnchor editAs="oneCell">
    <xdr:from>
      <xdr:col>9</xdr:col>
      <xdr:colOff>156239</xdr:colOff>
      <xdr:row>0</xdr:row>
      <xdr:rowOff>0</xdr:rowOff>
    </xdr:from>
    <xdr:to>
      <xdr:col>17</xdr:col>
      <xdr:colOff>75317</xdr:colOff>
      <xdr:row>20</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6328439" y="0"/>
          <a:ext cx="5405478" cy="3438525"/>
        </a:xfrm>
        <a:prstGeom prst="rect">
          <a:avLst/>
        </a:prstGeom>
      </xdr:spPr>
    </xdr:pic>
    <xdr:clientData/>
  </xdr:twoCellAnchor>
  <xdr:twoCellAnchor editAs="oneCell">
    <xdr:from>
      <xdr:col>9</xdr:col>
      <xdr:colOff>295275</xdr:colOff>
      <xdr:row>23</xdr:row>
      <xdr:rowOff>151582</xdr:rowOff>
    </xdr:from>
    <xdr:to>
      <xdr:col>17</xdr:col>
      <xdr:colOff>352425</xdr:colOff>
      <xdr:row>40</xdr:row>
      <xdr:rowOff>149897</xdr:rowOff>
    </xdr:to>
    <xdr:pic>
      <xdr:nvPicPr>
        <xdr:cNvPr id="4" name="图片 3"/>
        <xdr:cNvPicPr>
          <a:picLocks noChangeAspect="1"/>
        </xdr:cNvPicPr>
      </xdr:nvPicPr>
      <xdr:blipFill>
        <a:blip xmlns:r="http://schemas.openxmlformats.org/officeDocument/2006/relationships" r:embed="rId3"/>
        <a:stretch>
          <a:fillRect/>
        </a:stretch>
      </xdr:blipFill>
      <xdr:spPr>
        <a:xfrm>
          <a:off x="6467475" y="4094932"/>
          <a:ext cx="5543550" cy="2912965"/>
        </a:xfrm>
        <a:prstGeom prst="rect">
          <a:avLst/>
        </a:prstGeom>
      </xdr:spPr>
    </xdr:pic>
    <xdr:clientData/>
  </xdr:twoCellAnchor>
  <xdr:twoCellAnchor editAs="oneCell">
    <xdr:from>
      <xdr:col>9</xdr:col>
      <xdr:colOff>333375</xdr:colOff>
      <xdr:row>41</xdr:row>
      <xdr:rowOff>21995</xdr:rowOff>
    </xdr:from>
    <xdr:to>
      <xdr:col>17</xdr:col>
      <xdr:colOff>361036</xdr:colOff>
      <xdr:row>57</xdr:row>
      <xdr:rowOff>132879</xdr:rowOff>
    </xdr:to>
    <xdr:pic>
      <xdr:nvPicPr>
        <xdr:cNvPr id="5" name="图片 4"/>
        <xdr:cNvPicPr>
          <a:picLocks noChangeAspect="1"/>
        </xdr:cNvPicPr>
      </xdr:nvPicPr>
      <xdr:blipFill>
        <a:blip xmlns:r="http://schemas.openxmlformats.org/officeDocument/2006/relationships" r:embed="rId4"/>
        <a:stretch>
          <a:fillRect/>
        </a:stretch>
      </xdr:blipFill>
      <xdr:spPr>
        <a:xfrm>
          <a:off x="6505575" y="7051445"/>
          <a:ext cx="5514061" cy="2854084"/>
        </a:xfrm>
        <a:prstGeom prst="rect">
          <a:avLst/>
        </a:prstGeom>
      </xdr:spPr>
    </xdr:pic>
    <xdr:clientData/>
  </xdr:twoCellAnchor>
  <xdr:twoCellAnchor editAs="oneCell">
    <xdr:from>
      <xdr:col>0</xdr:col>
      <xdr:colOff>57150</xdr:colOff>
      <xdr:row>24</xdr:row>
      <xdr:rowOff>38100</xdr:rowOff>
    </xdr:from>
    <xdr:to>
      <xdr:col>9</xdr:col>
      <xdr:colOff>9525</xdr:colOff>
      <xdr:row>46</xdr:row>
      <xdr:rowOff>24604</xdr:rowOff>
    </xdr:to>
    <xdr:pic>
      <xdr:nvPicPr>
        <xdr:cNvPr id="6" name="图片 5"/>
        <xdr:cNvPicPr>
          <a:picLocks noChangeAspect="1"/>
        </xdr:cNvPicPr>
      </xdr:nvPicPr>
      <xdr:blipFill>
        <a:blip xmlns:r="http://schemas.openxmlformats.org/officeDocument/2006/relationships" r:embed="rId5"/>
        <a:stretch>
          <a:fillRect/>
        </a:stretch>
      </xdr:blipFill>
      <xdr:spPr>
        <a:xfrm>
          <a:off x="57150" y="4152900"/>
          <a:ext cx="6124575" cy="3758404"/>
        </a:xfrm>
        <a:prstGeom prst="rect">
          <a:avLst/>
        </a:prstGeom>
      </xdr:spPr>
    </xdr:pic>
    <xdr:clientData/>
  </xdr:twoCellAnchor>
  <xdr:twoCellAnchor editAs="oneCell">
    <xdr:from>
      <xdr:col>0</xdr:col>
      <xdr:colOff>0</xdr:colOff>
      <xdr:row>58</xdr:row>
      <xdr:rowOff>104775</xdr:rowOff>
    </xdr:from>
    <xdr:to>
      <xdr:col>8</xdr:col>
      <xdr:colOff>352424</xdr:colOff>
      <xdr:row>78</xdr:row>
      <xdr:rowOff>119651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048875"/>
          <a:ext cx="5838824" cy="3443876"/>
        </a:xfrm>
        <a:prstGeom prst="rect">
          <a:avLst/>
        </a:prstGeom>
      </xdr:spPr>
    </xdr:pic>
    <xdr:clientData/>
  </xdr:twoCellAnchor>
  <xdr:twoCellAnchor editAs="oneCell">
    <xdr:from>
      <xdr:col>9</xdr:col>
      <xdr:colOff>209550</xdr:colOff>
      <xdr:row>59</xdr:row>
      <xdr:rowOff>0</xdr:rowOff>
    </xdr:from>
    <xdr:to>
      <xdr:col>17</xdr:col>
      <xdr:colOff>494400</xdr:colOff>
      <xdr:row>72</xdr:row>
      <xdr:rowOff>160570</xdr:rowOff>
    </xdr:to>
    <xdr:pic>
      <xdr:nvPicPr>
        <xdr:cNvPr id="8" name="图片 7"/>
        <xdr:cNvPicPr>
          <a:picLocks noChangeAspect="1"/>
        </xdr:cNvPicPr>
      </xdr:nvPicPr>
      <xdr:blipFill>
        <a:blip xmlns:r="http://schemas.openxmlformats.org/officeDocument/2006/relationships" r:embed="rId7"/>
        <a:stretch>
          <a:fillRect/>
        </a:stretch>
      </xdr:blipFill>
      <xdr:spPr>
        <a:xfrm>
          <a:off x="6381750" y="10115550"/>
          <a:ext cx="5771250" cy="2389420"/>
        </a:xfrm>
        <a:prstGeom prst="rect">
          <a:avLst/>
        </a:prstGeom>
      </xdr:spPr>
    </xdr:pic>
    <xdr:clientData/>
  </xdr:twoCellAnchor>
  <xdr:twoCellAnchor editAs="oneCell">
    <xdr:from>
      <xdr:col>9</xdr:col>
      <xdr:colOff>0</xdr:colOff>
      <xdr:row>73</xdr:row>
      <xdr:rowOff>46642</xdr:rowOff>
    </xdr:from>
    <xdr:to>
      <xdr:col>14</xdr:col>
      <xdr:colOff>152400</xdr:colOff>
      <xdr:row>84</xdr:row>
      <xdr:rowOff>25857</xdr:rowOff>
    </xdr:to>
    <xdr:pic>
      <xdr:nvPicPr>
        <xdr:cNvPr id="9" name="图片 8"/>
        <xdr:cNvPicPr>
          <a:picLocks noChangeAspect="1"/>
        </xdr:cNvPicPr>
      </xdr:nvPicPr>
      <xdr:blipFill>
        <a:blip xmlns:r="http://schemas.openxmlformats.org/officeDocument/2006/relationships" r:embed="rId8"/>
        <a:stretch>
          <a:fillRect/>
        </a:stretch>
      </xdr:blipFill>
      <xdr:spPr>
        <a:xfrm>
          <a:off x="6172200" y="12562492"/>
          <a:ext cx="3581400" cy="1865165"/>
        </a:xfrm>
        <a:prstGeom prst="rect">
          <a:avLst/>
        </a:prstGeom>
      </xdr:spPr>
    </xdr:pic>
    <xdr:clientData/>
  </xdr:twoCellAnchor>
  <xdr:twoCellAnchor editAs="oneCell">
    <xdr:from>
      <xdr:col>14</xdr:col>
      <xdr:colOff>268113</xdr:colOff>
      <xdr:row>72</xdr:row>
      <xdr:rowOff>94267</xdr:rowOff>
    </xdr:from>
    <xdr:to>
      <xdr:col>21</xdr:col>
      <xdr:colOff>437303</xdr:colOff>
      <xdr:row>86</xdr:row>
      <xdr:rowOff>46241</xdr:rowOff>
    </xdr:to>
    <xdr:pic>
      <xdr:nvPicPr>
        <xdr:cNvPr id="10" name="图片 9"/>
        <xdr:cNvPicPr>
          <a:picLocks noChangeAspect="1"/>
        </xdr:cNvPicPr>
      </xdr:nvPicPr>
      <xdr:blipFill>
        <a:blip xmlns:r="http://schemas.openxmlformats.org/officeDocument/2006/relationships" r:embed="rId9"/>
        <a:stretch>
          <a:fillRect/>
        </a:stretch>
      </xdr:blipFill>
      <xdr:spPr>
        <a:xfrm>
          <a:off x="9869313" y="12438667"/>
          <a:ext cx="4969790" cy="23522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北京市朝阳区霞光里15号楼1层102商铺用房房地产抵押价值预评估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受贵公司委托，我公司对北京市朝阳区霞光里15号楼1层102商铺用房房地产抵押价值进行了预评估。</v>
      </c>
    </row>
    <row r="7" spans="1:2" s="1202" customFormat="1">
      <c r="A7" s="1200" t="s">
        <v>566</v>
      </c>
      <c r="B7" s="1201" t="str">
        <f>'预评函-1'!A7</f>
        <v>估价对象为北京市朝阳区霞光里15号楼1层102商铺用房房地产，为所有。根据《国有土地使用证》[]，估价对象（分摊）出让国有建设用地使用权面积为0平方米，建筑面积为47.88平方米。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朝阳区霞光里15号楼1层102商铺用房房地产,属开发建设的居住项目，该项目尚在开发建设中。根据《国有土地使用证》[]，估价对象（分摊）出让国有建设用地使用权面积为0平方米，规划建筑面积为47.88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朝阳区霞光里15号楼1层102商铺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2025年6月13日（评估专业人员实地查勘之日）</v>
      </c>
    </row>
    <row r="13" spans="1:2" s="1202" customFormat="1">
      <c r="A13" s="1200" t="s">
        <v>529</v>
      </c>
      <c r="B13" s="1201" t="str">
        <f>'预评函-1'!A18</f>
        <v>本次估价的“房地产价值”是指在正常市场情况下，在价值时点2025年6月13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220</v>
      </c>
    </row>
    <row r="21" spans="1:2" s="1202" customFormat="1">
      <c r="A21" s="1200" t="s">
        <v>537</v>
      </c>
      <c r="B21" s="1201">
        <f ca="1">'预评函-2'!D7</f>
        <v>45852</v>
      </c>
    </row>
    <row r="22" spans="1:2" s="1202" customFormat="1">
      <c r="A22" s="1200" t="s">
        <v>538</v>
      </c>
      <c r="B22" s="1201" t="str">
        <f ca="1">'预评函-2'!D6</f>
        <v>贰佰贰拾万元整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220</v>
      </c>
    </row>
    <row r="31" spans="1:2" s="1202" customFormat="1">
      <c r="A31" s="1200" t="s">
        <v>576</v>
      </c>
      <c r="B31" s="1201">
        <f ca="1">'预评函-2'!D15</f>
        <v>45852</v>
      </c>
    </row>
    <row r="32" spans="1:2" s="1202" customFormat="1">
      <c r="A32" s="1200" t="s">
        <v>543</v>
      </c>
      <c r="B32" s="1201" t="str">
        <f ca="1">'预评函-2'!D14</f>
        <v>贰佰贰拾万元整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北京市朝阳区霞光里15号楼1层102商铺用房房地产</v>
      </c>
    </row>
    <row r="42" spans="1:2" s="1202" customFormat="1">
      <c r="A42" s="1200" t="s">
        <v>590</v>
      </c>
      <c r="B42" s="1201" t="str">
        <f>'预评函-3'!B2</f>
        <v>建筑面积</v>
      </c>
    </row>
    <row r="43" spans="1:2" s="1202" customFormat="1">
      <c r="A43" s="1200" t="s">
        <v>591</v>
      </c>
      <c r="B43" s="1201">
        <f>'预评函-3'!B4</f>
        <v>47.88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33</v>
      </c>
    </row>
    <row r="48" spans="1:2" s="1202" customFormat="1">
      <c r="A48" s="1200" t="s">
        <v>549</v>
      </c>
      <c r="B48" s="1201">
        <f ca="1">'预评函-3'!E4</f>
        <v>6924</v>
      </c>
    </row>
    <row r="49" spans="1:2" s="1202" customFormat="1">
      <c r="A49" s="1200" t="s">
        <v>550</v>
      </c>
      <c r="B49" s="1201" t="str">
        <f ca="1">'预评函-3'!D5</f>
        <v>叁拾叁万元整</v>
      </c>
    </row>
    <row r="50" spans="1:2" s="1202" customFormat="1">
      <c r="A50" s="1200" t="s">
        <v>574</v>
      </c>
      <c r="B50" s="1201" t="str">
        <f>'预评函-3'!F2</f>
        <v>在建建筑物价值</v>
      </c>
    </row>
    <row r="51" spans="1:2" s="1202" customFormat="1">
      <c r="A51" s="1200" t="s">
        <v>551</v>
      </c>
      <c r="B51" s="1201">
        <f ca="1">'预评函-3'!F4</f>
        <v>186</v>
      </c>
    </row>
    <row r="52" spans="1:2" s="1202" customFormat="1">
      <c r="A52" s="1200" t="s">
        <v>552</v>
      </c>
      <c r="B52" s="1201">
        <f ca="1">'预评函-3'!G4</f>
        <v>38928</v>
      </c>
    </row>
    <row r="53" spans="1:2" s="1202" customFormat="1">
      <c r="A53" s="1200" t="s">
        <v>580</v>
      </c>
      <c r="B53" s="1201" t="str">
        <f ca="1">'预评函-3'!F5</f>
        <v>壹佰捌拾陆万元整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3336</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3337</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3338</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3339</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3340</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3341</v>
      </c>
    </row>
    <row r="8" spans="1:23">
      <c r="A8" s="1545" t="s">
        <v>1026</v>
      </c>
      <c r="B8" s="1545" t="s">
        <v>1027</v>
      </c>
      <c r="C8" s="1546" t="s">
        <v>319</v>
      </c>
      <c r="F8" s="1547" t="s">
        <v>1028</v>
      </c>
      <c r="H8" s="1547" t="s">
        <v>2577</v>
      </c>
      <c r="I8" s="1547" t="s">
        <v>3342</v>
      </c>
    </row>
    <row r="9" spans="1:23">
      <c r="A9" s="1545" t="s">
        <v>1029</v>
      </c>
      <c r="B9" s="1545" t="s">
        <v>1030</v>
      </c>
      <c r="C9" s="1546" t="s">
        <v>320</v>
      </c>
      <c r="F9" s="1547" t="s">
        <v>1031</v>
      </c>
      <c r="H9" s="1547"/>
      <c r="I9" s="1550" t="s">
        <v>3343</v>
      </c>
    </row>
    <row r="10" spans="1:23">
      <c r="A10" s="1545" t="s">
        <v>1032</v>
      </c>
      <c r="B10" s="1545" t="s">
        <v>1033</v>
      </c>
      <c r="C10" s="1546" t="s">
        <v>321</v>
      </c>
      <c r="F10" s="1547" t="s">
        <v>2578</v>
      </c>
      <c r="I10" s="1550" t="s">
        <v>3344</v>
      </c>
    </row>
    <row r="11" spans="1:23">
      <c r="A11" s="1545" t="s">
        <v>1034</v>
      </c>
      <c r="B11" s="1545" t="s">
        <v>1035</v>
      </c>
      <c r="C11" s="1546" t="s">
        <v>322</v>
      </c>
      <c r="F11" s="1547" t="s">
        <v>13</v>
      </c>
      <c r="I11" s="1550" t="s">
        <v>3345</v>
      </c>
    </row>
    <row r="12" spans="1:23">
      <c r="A12" s="1545" t="s">
        <v>1036</v>
      </c>
      <c r="B12" s="1545" t="s">
        <v>1037</v>
      </c>
      <c r="C12" s="1546" t="s">
        <v>323</v>
      </c>
      <c r="I12" s="1550" t="s">
        <v>3346</v>
      </c>
    </row>
    <row r="13" spans="1:23">
      <c r="A13" s="1545" t="s">
        <v>1038</v>
      </c>
      <c r="B13" s="1545" t="s">
        <v>1039</v>
      </c>
      <c r="C13" s="1546" t="s">
        <v>324</v>
      </c>
      <c r="I13" s="1550" t="s">
        <v>3347</v>
      </c>
    </row>
    <row r="14" spans="1:23">
      <c r="A14" s="1545" t="s">
        <v>1040</v>
      </c>
      <c r="B14" s="1545" t="s">
        <v>1041</v>
      </c>
      <c r="C14" s="1547" t="s">
        <v>13</v>
      </c>
      <c r="I14" s="1550" t="s">
        <v>3348</v>
      </c>
    </row>
    <row r="15" spans="1:23">
      <c r="A15" s="1545" t="s">
        <v>1042</v>
      </c>
      <c r="B15" s="1545" t="s">
        <v>1043</v>
      </c>
      <c r="C15" s="1546"/>
      <c r="I15" s="1550" t="s">
        <v>3349</v>
      </c>
    </row>
    <row r="16" spans="1:23">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霞光里15号楼1层102商铺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4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0"/>
      <c r="B54" s="1553" t="s">
        <v>385</v>
      </c>
      <c r="C54" s="1550" t="s">
        <v>583</v>
      </c>
    </row>
    <row r="55" spans="1:4">
      <c r="A55" s="3540"/>
      <c r="B55" s="1553" t="s">
        <v>386</v>
      </c>
      <c r="C55" s="1550" t="s">
        <v>584</v>
      </c>
    </row>
    <row r="56" spans="1:4">
      <c r="A56" s="3540"/>
      <c r="B56" s="1553" t="s">
        <v>387</v>
      </c>
      <c r="C56" s="1550" t="s">
        <v>588</v>
      </c>
    </row>
    <row r="57" spans="1:4">
      <c r="A57" s="354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41" t="s">
        <v>2580</v>
      </c>
      <c r="J2" s="3541"/>
      <c r="K2" s="3541"/>
      <c r="L2" s="3541"/>
      <c r="M2" s="3541"/>
      <c r="N2" s="3541"/>
      <c r="O2" s="3541"/>
      <c r="P2" s="3541"/>
      <c r="Q2" s="3541"/>
      <c r="R2" s="3541"/>
    </row>
    <row r="3" spans="1:18">
      <c r="A3" s="3018" t="s">
        <v>2501</v>
      </c>
      <c r="B3" s="3019">
        <f>项目基本情况!D3</f>
        <v>45821</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1.51</v>
      </c>
      <c r="D5" s="3023">
        <f>IF(ISERROR(ROUND(POWER(1+E5,A5-C5)*(POWER(1+E5,C5)-1)/(POWER(1+E5,A5)-1),3)),0,ROUND(POWER(1+E5,A5-C5)*(POWER(1+E5,C5)-1)/(POWER(1+E5,A5)-1),4))</f>
        <v>7.2599999999999998E-2</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11.52</v>
      </c>
      <c r="D6" s="3023">
        <f>IF(ISERROR(ROUND(POWER(1+E6,A6-C6)*(POWER(1+E6,C6)-1)/(POWER(1+E6,A6)-1),3)),0,ROUND(POWER(1+E6,A6-C6)*(POWER(1+E6,C6)-1)/(POWER(1+E6,A6)-1),4))</f>
        <v>0.42309999999999998</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31.53</v>
      </c>
      <c r="D7" s="3023">
        <f>IF(ISERROR(ROUND(POWER(1+E7,A7-C7)*(POWER(1+E7,C7)-1)/(POWER(1+E7,A7)-1),3)),0,ROUND(POWER(1+E7,A7-C7)*(POWER(1+E7,C7)-1)/(POWER(1+E7,A7)-1),4))</f>
        <v>0.75829999999999997</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4">
      <c r="A17" s="3018" t="s">
        <v>2517</v>
      </c>
      <c r="B17" s="3027">
        <v>4810</v>
      </c>
      <c r="C17" s="3020"/>
      <c r="D17" s="3016"/>
      <c r="E17" s="3016"/>
      <c r="F17" s="3017"/>
    </row>
    <row r="18" spans="1:14" ht="14.25" thickBot="1">
      <c r="A18" s="3029" t="s">
        <v>2516</v>
      </c>
      <c r="B18" s="3030">
        <f>ROUND(B17*F11/F12,2)</f>
        <v>5541.87</v>
      </c>
      <c r="C18" s="3030">
        <f>ROUND(F11/F12,4)</f>
        <v>1.1521999999999999</v>
      </c>
      <c r="D18" s="3031"/>
      <c r="E18" s="3031"/>
      <c r="F18" s="3032"/>
    </row>
    <row r="19" spans="1:14" ht="14.25" thickBot="1"/>
    <row r="20" spans="1:14" s="3067" customFormat="1" ht="14.25" thickTop="1">
      <c r="A20" s="3064" t="s">
        <v>2519</v>
      </c>
      <c r="B20" s="3065"/>
      <c r="C20" s="3065"/>
      <c r="D20" s="3065"/>
      <c r="E20" s="3065"/>
      <c r="F20" s="3065"/>
      <c r="G20" s="3066"/>
      <c r="I20" s="3068" t="s">
        <v>2564</v>
      </c>
      <c r="J20" s="3068" t="s">
        <v>2569</v>
      </c>
      <c r="K20" s="3068"/>
      <c r="L20" s="3068"/>
      <c r="M20" s="3068"/>
    </row>
    <row r="21" spans="1:14">
      <c r="A21" s="3033"/>
      <c r="B21" s="3034" t="s">
        <v>2520</v>
      </c>
      <c r="C21" s="3034" t="s">
        <v>2521</v>
      </c>
      <c r="D21" s="3034" t="s">
        <v>2522</v>
      </c>
      <c r="E21" s="3034" t="s">
        <v>2523</v>
      </c>
      <c r="F21" s="3034" t="s">
        <v>2524</v>
      </c>
      <c r="G21" s="3035" t="s">
        <v>2525</v>
      </c>
      <c r="I21" s="3056">
        <v>5</v>
      </c>
      <c r="J21" s="3056">
        <v>54.2</v>
      </c>
    </row>
    <row r="22" spans="1:14">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N23" s="3455" t="s">
        <v>2568</v>
      </c>
    </row>
    <row r="24" spans="1:14">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N24" s="3455">
        <v>10</v>
      </c>
    </row>
    <row r="25" spans="1:14">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N25" s="3455">
        <v>8</v>
      </c>
    </row>
    <row r="26" spans="1:14">
      <c r="A26" s="3038"/>
      <c r="B26" s="3039"/>
      <c r="C26" s="3039"/>
      <c r="D26" s="3039"/>
      <c r="E26" s="3039"/>
      <c r="F26" s="3039"/>
      <c r="G26" s="3040"/>
      <c r="I26" s="3056">
        <v>30</v>
      </c>
      <c r="J26" s="3056">
        <v>90.5</v>
      </c>
      <c r="K26" s="3056">
        <f t="shared" si="2"/>
        <v>4.2000000000000028</v>
      </c>
      <c r="L26" s="3056" t="s">
        <v>2571</v>
      </c>
      <c r="N26" s="3455">
        <v>5</v>
      </c>
    </row>
    <row r="27" spans="1:14">
      <c r="A27" s="3038" t="s">
        <v>2530</v>
      </c>
      <c r="B27" s="3039"/>
      <c r="C27" s="3039"/>
      <c r="D27" s="3039"/>
      <c r="E27" s="3039"/>
      <c r="F27" s="3039"/>
      <c r="G27" s="3040"/>
      <c r="I27" s="3056">
        <v>35</v>
      </c>
      <c r="J27" s="3056">
        <v>93.8</v>
      </c>
      <c r="K27" s="3056">
        <f t="shared" si="2"/>
        <v>3.2999999999999972</v>
      </c>
      <c r="L27" s="3056" t="s">
        <v>2572</v>
      </c>
      <c r="N27" s="3455">
        <v>3</v>
      </c>
    </row>
    <row r="28" spans="1:14">
      <c r="A28" s="3038" t="s">
        <v>2531</v>
      </c>
      <c r="B28" s="3039"/>
      <c r="C28" s="3039"/>
      <c r="D28" s="3039"/>
      <c r="E28" s="3039"/>
      <c r="F28" s="3039"/>
      <c r="G28" s="3040"/>
      <c r="I28" s="3056">
        <v>40</v>
      </c>
      <c r="J28" s="3056">
        <v>96.4</v>
      </c>
      <c r="K28" s="3056">
        <f t="shared" si="2"/>
        <v>2.6000000000000085</v>
      </c>
      <c r="L28" s="3056" t="s">
        <v>2573</v>
      </c>
      <c r="N28" s="3455">
        <v>2</v>
      </c>
    </row>
    <row r="29" spans="1:14">
      <c r="A29" s="3038" t="s">
        <v>2532</v>
      </c>
      <c r="B29" s="3039"/>
      <c r="C29" s="3039"/>
      <c r="D29" s="3039"/>
      <c r="E29" s="3039"/>
      <c r="F29" s="3039"/>
      <c r="G29" s="3040"/>
      <c r="I29" s="3056">
        <v>45</v>
      </c>
      <c r="J29" s="3056">
        <v>98.4</v>
      </c>
      <c r="K29" s="3056">
        <f t="shared" si="2"/>
        <v>2</v>
      </c>
    </row>
    <row r="30" spans="1:14">
      <c r="A30" s="3038" t="s">
        <v>2533</v>
      </c>
      <c r="B30" s="3039"/>
      <c r="C30" s="3039"/>
      <c r="D30" s="3039"/>
      <c r="E30" s="3039"/>
      <c r="F30" s="3039"/>
      <c r="G30" s="3040"/>
      <c r="I30" s="3056">
        <v>50</v>
      </c>
      <c r="J30" s="3056">
        <v>100</v>
      </c>
      <c r="K30" s="3056">
        <f t="shared" si="2"/>
        <v>1.5999999999999943</v>
      </c>
    </row>
    <row r="31" spans="1:14">
      <c r="A31" s="3038" t="s">
        <v>2534</v>
      </c>
      <c r="B31" s="3039"/>
      <c r="C31" s="3039"/>
      <c r="D31" s="3039"/>
      <c r="E31" s="3039"/>
      <c r="F31" s="3039"/>
      <c r="G31" s="3040"/>
      <c r="I31" s="3056" t="s">
        <v>2565</v>
      </c>
    </row>
    <row r="32" spans="1:14">
      <c r="A32" s="3038" t="s">
        <v>2535</v>
      </c>
      <c r="B32" s="3039"/>
      <c r="C32" s="3039"/>
      <c r="D32" s="3039"/>
      <c r="E32" s="3039"/>
      <c r="F32" s="3039"/>
      <c r="G32" s="3040"/>
    </row>
    <row r="33" spans="1:14">
      <c r="A33" s="3038" t="s">
        <v>2536</v>
      </c>
      <c r="B33" s="3039"/>
      <c r="C33" s="3039"/>
      <c r="D33" s="3039"/>
      <c r="E33" s="3039"/>
      <c r="F33" s="3039"/>
      <c r="G33" s="3040"/>
      <c r="I33" s="3056" t="s">
        <v>2564</v>
      </c>
      <c r="J33" s="3056" t="s">
        <v>2574</v>
      </c>
    </row>
    <row r="34" spans="1:14">
      <c r="A34" s="3038" t="s">
        <v>2537</v>
      </c>
      <c r="B34" s="3039"/>
      <c r="C34" s="3039"/>
      <c r="D34" s="3039"/>
      <c r="E34" s="3039"/>
      <c r="F34" s="3039"/>
      <c r="G34" s="3040"/>
      <c r="I34" s="3056">
        <v>5</v>
      </c>
      <c r="J34" s="3056">
        <v>55.1</v>
      </c>
    </row>
    <row r="35" spans="1:14">
      <c r="A35" s="3038" t="s">
        <v>2538</v>
      </c>
      <c r="B35" s="3039"/>
      <c r="C35" s="3039"/>
      <c r="D35" s="3039"/>
      <c r="E35" s="3039"/>
      <c r="F35" s="3039"/>
      <c r="G35" s="3040"/>
      <c r="I35" s="3056">
        <v>10</v>
      </c>
      <c r="J35" s="3056">
        <v>67</v>
      </c>
      <c r="K35" s="3056">
        <f>J35-J34</f>
        <v>11.899999999999999</v>
      </c>
    </row>
    <row r="36" spans="1:14">
      <c r="A36" s="3038" t="s">
        <v>2539</v>
      </c>
      <c r="B36" s="3039"/>
      <c r="C36" s="3039"/>
      <c r="D36" s="3039"/>
      <c r="E36" s="3039"/>
      <c r="F36" s="3039"/>
      <c r="G36" s="3040"/>
      <c r="I36" s="3056">
        <v>15</v>
      </c>
      <c r="J36" s="3056">
        <v>76.3</v>
      </c>
      <c r="K36" s="3056">
        <f t="shared" ref="K36:K41" si="3">J36-J35</f>
        <v>9.2999999999999972</v>
      </c>
      <c r="L36" s="3056" t="s">
        <v>2567</v>
      </c>
      <c r="N36" s="3455" t="s">
        <v>2568</v>
      </c>
    </row>
    <row r="37" spans="1:14">
      <c r="A37" s="3038" t="s">
        <v>2540</v>
      </c>
      <c r="B37" s="3039"/>
      <c r="C37" s="3039"/>
      <c r="D37" s="3039"/>
      <c r="E37" s="3039"/>
      <c r="F37" s="3039"/>
      <c r="G37" s="3040"/>
      <c r="I37" s="3056">
        <v>20</v>
      </c>
      <c r="J37" s="3056">
        <v>83.6</v>
      </c>
      <c r="K37" s="3056">
        <f t="shared" si="3"/>
        <v>7.2999999999999972</v>
      </c>
      <c r="L37" s="3056" t="s">
        <v>2566</v>
      </c>
      <c r="N37" s="3455">
        <v>10</v>
      </c>
    </row>
    <row r="38" spans="1:14">
      <c r="A38" s="3038" t="s">
        <v>2541</v>
      </c>
      <c r="B38" s="3039"/>
      <c r="C38" s="3039"/>
      <c r="D38" s="3039"/>
      <c r="E38" s="3039"/>
      <c r="F38" s="3039"/>
      <c r="G38" s="3040"/>
      <c r="I38" s="3056">
        <v>25</v>
      </c>
      <c r="J38" s="3056">
        <v>89.3</v>
      </c>
      <c r="K38" s="3056">
        <f t="shared" si="3"/>
        <v>5.7000000000000028</v>
      </c>
      <c r="L38" s="3056" t="s">
        <v>2570</v>
      </c>
      <c r="N38" s="3455">
        <v>8</v>
      </c>
    </row>
    <row r="39" spans="1:14">
      <c r="A39" s="3038"/>
      <c r="B39" s="3039"/>
      <c r="C39" s="3039"/>
      <c r="D39" s="3039"/>
      <c r="E39" s="3039"/>
      <c r="F39" s="3039"/>
      <c r="G39" s="3040"/>
      <c r="I39" s="3056">
        <v>30</v>
      </c>
      <c r="J39" s="3056">
        <v>93.8</v>
      </c>
      <c r="K39" s="3056">
        <f t="shared" si="3"/>
        <v>4.5</v>
      </c>
      <c r="L39" s="3056" t="s">
        <v>2571</v>
      </c>
      <c r="N39" s="3455">
        <v>6</v>
      </c>
    </row>
    <row r="40" spans="1:14">
      <c r="A40" s="3041" t="s">
        <v>2542</v>
      </c>
      <c r="B40" s="3042"/>
      <c r="C40" s="3042"/>
      <c r="D40" s="3042"/>
      <c r="E40" s="3042"/>
      <c r="F40" s="3042"/>
      <c r="G40" s="3043"/>
      <c r="I40" s="3056">
        <v>35</v>
      </c>
      <c r="J40" s="3056">
        <v>97.2</v>
      </c>
      <c r="K40" s="3056">
        <f t="shared" si="3"/>
        <v>3.4000000000000057</v>
      </c>
      <c r="L40" s="3056" t="s">
        <v>2572</v>
      </c>
      <c r="N40" s="3455">
        <v>3</v>
      </c>
    </row>
    <row r="41" spans="1:14">
      <c r="A41" s="3044" t="s">
        <v>2543</v>
      </c>
      <c r="B41" s="3045" t="s">
        <v>2544</v>
      </c>
      <c r="C41" s="3046" t="s">
        <v>2545</v>
      </c>
      <c r="D41" s="3046" t="s">
        <v>2546</v>
      </c>
      <c r="E41" s="3047"/>
      <c r="F41" s="3048"/>
      <c r="G41" s="3049"/>
      <c r="I41" s="3056">
        <v>40</v>
      </c>
      <c r="J41" s="3056">
        <v>100</v>
      </c>
      <c r="K41" s="3056">
        <f t="shared" si="3"/>
        <v>2.7999999999999972</v>
      </c>
    </row>
    <row r="42" spans="1:14">
      <c r="A42" s="3044" t="s">
        <v>2547</v>
      </c>
      <c r="B42" s="3045" t="s">
        <v>2548</v>
      </c>
      <c r="C42" s="3046" t="s">
        <v>2549</v>
      </c>
      <c r="D42" s="3050" t="s">
        <v>2550</v>
      </c>
      <c r="E42" s="3042" t="s">
        <v>2551</v>
      </c>
      <c r="F42" s="3042"/>
      <c r="G42" s="3043"/>
    </row>
    <row r="43" spans="1:14">
      <c r="A43" s="3044" t="s">
        <v>2552</v>
      </c>
      <c r="B43" s="3045" t="s">
        <v>2553</v>
      </c>
      <c r="C43" s="3046" t="s">
        <v>2554</v>
      </c>
      <c r="D43" s="3046" t="s">
        <v>2555</v>
      </c>
      <c r="E43" s="3047" t="s">
        <v>2556</v>
      </c>
      <c r="F43" s="3048"/>
      <c r="G43" s="3049"/>
      <c r="I43" s="3056" t="s">
        <v>2564</v>
      </c>
      <c r="J43" s="3056" t="s">
        <v>2575</v>
      </c>
    </row>
    <row r="44" spans="1:14">
      <c r="A44" s="3044" t="s">
        <v>2557</v>
      </c>
      <c r="B44" s="3045" t="s">
        <v>2558</v>
      </c>
      <c r="C44" s="3046" t="s">
        <v>2559</v>
      </c>
      <c r="D44" s="3050">
        <v>0.5</v>
      </c>
      <c r="E44" s="3047" t="s">
        <v>2560</v>
      </c>
      <c r="F44" s="3048"/>
      <c r="G44" s="3049"/>
      <c r="I44" s="3056">
        <v>30</v>
      </c>
      <c r="J44" s="3056">
        <v>81.7</v>
      </c>
    </row>
    <row r="45" spans="1:14" ht="14.25" thickBot="1">
      <c r="A45" s="3051" t="s">
        <v>2561</v>
      </c>
      <c r="B45" s="3052" t="s">
        <v>2548</v>
      </c>
      <c r="C45" s="3053" t="s">
        <v>2548</v>
      </c>
      <c r="D45" s="3053" t="s">
        <v>2562</v>
      </c>
      <c r="E45" s="3054" t="s">
        <v>2563</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4.25" thickBot="1"/>
    <row r="49" spans="1:4">
      <c r="A49" s="3011" t="s">
        <v>3386</v>
      </c>
    </row>
    <row r="50" spans="1:4">
      <c r="A50" s="3447" t="s">
        <v>3387</v>
      </c>
      <c r="B50" s="3447" t="s">
        <v>3388</v>
      </c>
      <c r="C50" s="3447" t="s">
        <v>3389</v>
      </c>
      <c r="D50" s="3447" t="s">
        <v>3390</v>
      </c>
    </row>
    <row r="51" spans="1:4">
      <c r="A51" s="3447" t="s">
        <v>3391</v>
      </c>
      <c r="B51" s="3020">
        <f>B52+B53</f>
        <v>15000</v>
      </c>
      <c r="C51" s="3448">
        <f>D51/B51</f>
        <v>2666.6666666666665</v>
      </c>
      <c r="D51" s="3020">
        <f>D52+D53</f>
        <v>40000000</v>
      </c>
    </row>
    <row r="52" spans="1:4">
      <c r="A52" s="3449" t="s">
        <v>3392</v>
      </c>
      <c r="B52" s="3450">
        <v>10000</v>
      </c>
      <c r="C52" s="3450">
        <v>1500</v>
      </c>
      <c r="D52" s="3451">
        <f>C52*B52</f>
        <v>15000000</v>
      </c>
    </row>
    <row r="53" spans="1:4">
      <c r="A53" s="3449" t="s">
        <v>3393</v>
      </c>
      <c r="B53" s="3450">
        <v>5000</v>
      </c>
      <c r="C53" s="3450">
        <v>5000</v>
      </c>
      <c r="D53" s="3451">
        <f>C53*B53</f>
        <v>25000000</v>
      </c>
    </row>
    <row r="54" spans="1:4">
      <c r="A54" s="3447" t="s">
        <v>3394</v>
      </c>
      <c r="B54" s="3020">
        <f>B51</f>
        <v>15000</v>
      </c>
      <c r="C54" s="3027">
        <v>700</v>
      </c>
      <c r="D54" s="3020">
        <f t="shared" ref="D54:D55" si="5">C54*B54</f>
        <v>10500000</v>
      </c>
    </row>
    <row r="55" spans="1:4">
      <c r="A55" s="3447" t="s">
        <v>3395</v>
      </c>
      <c r="B55" s="3020">
        <f>B51</f>
        <v>15000</v>
      </c>
      <c r="C55" s="3027">
        <v>1500</v>
      </c>
      <c r="D55" s="3020">
        <f t="shared" si="5"/>
        <v>22500000</v>
      </c>
    </row>
    <row r="56" spans="1:4">
      <c r="A56" s="3447" t="s">
        <v>3396</v>
      </c>
      <c r="B56" s="3020">
        <f>B51</f>
        <v>15000</v>
      </c>
      <c r="C56" s="3452">
        <f>C51+C54+C55</f>
        <v>4866.6666666666661</v>
      </c>
      <c r="D56" s="3020">
        <f>D51+D54+D55</f>
        <v>73000000</v>
      </c>
    </row>
    <row r="58" spans="1:4">
      <c r="A58" s="3447" t="s">
        <v>3397</v>
      </c>
      <c r="B58" s="3453">
        <v>0.05</v>
      </c>
      <c r="C58" s="3020">
        <f>C56*(1+B58)</f>
        <v>5110</v>
      </c>
      <c r="D58" s="3020">
        <f>D56*B58</f>
        <v>3650000</v>
      </c>
    </row>
    <row r="60" spans="1:4">
      <c r="A60" s="3447" t="s">
        <v>3398</v>
      </c>
      <c r="B60" s="3027">
        <v>3500</v>
      </c>
      <c r="C60" s="3027">
        <f>C53</f>
        <v>5000</v>
      </c>
      <c r="D60" s="3020">
        <f>C60*B60</f>
        <v>17500000</v>
      </c>
    </row>
    <row r="62" spans="1:4">
      <c r="A62" s="3447" t="s">
        <v>3399</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3" sqref="K1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50" t="str">
        <f>IF(B10="北京市","北京市",C10)&amp;F10&amp;IF(结果表!G1="在建","出让国有建设用地使用权及在建建筑物",IF(结果表!G1="土地","出让国有建设用地使用权",))&amp;B9&amp;"预评估"</f>
        <v>北京市朝阳区霞光里15号楼1层102商铺用房房地产抵押价值预评估</v>
      </c>
      <c r="C1" s="3551"/>
      <c r="D1" s="3551"/>
      <c r="E1" s="3551"/>
      <c r="F1" s="3551"/>
      <c r="G1" s="3551"/>
      <c r="H1" s="3551"/>
      <c r="I1" s="3552"/>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北京市朝阳区霞光里15号楼1层102商铺用房房地产抵押价值</v>
      </c>
      <c r="T1" s="1744"/>
      <c r="U1" s="1744"/>
      <c r="V1" s="1744"/>
      <c r="W1" s="1744"/>
      <c r="X1" s="1744"/>
      <c r="Y1" s="1744"/>
      <c r="Z1" s="1744"/>
      <c r="AA1" s="1744"/>
      <c r="AB1" s="1744"/>
    </row>
    <row r="2" spans="1:30">
      <c r="A2" s="2366" t="s">
        <v>2169</v>
      </c>
      <c r="B2" s="2370"/>
      <c r="C2" s="2371"/>
      <c r="D2" s="2668"/>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北京市朝阳区霞光里15号楼1层102商铺用房房地产</v>
      </c>
      <c r="T2" s="1744"/>
      <c r="U2" s="1744"/>
      <c r="V2" s="1744"/>
      <c r="W2" s="1744"/>
      <c r="X2" s="1744"/>
      <c r="Y2" s="1744"/>
      <c r="Z2" s="1744"/>
      <c r="AA2" s="1744"/>
      <c r="AB2" s="1744"/>
    </row>
    <row r="3" spans="1:30">
      <c r="A3" s="302" t="s">
        <v>2170</v>
      </c>
      <c r="B3" s="2372">
        <v>45821</v>
      </c>
      <c r="C3" s="2373" t="s">
        <v>2171</v>
      </c>
      <c r="D3" s="2372">
        <f>B3</f>
        <v>45821</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3411</v>
      </c>
      <c r="C8" s="2389"/>
      <c r="D8" s="3553" t="s">
        <v>2177</v>
      </c>
      <c r="E8" s="2390" t="s">
        <v>3412</v>
      </c>
      <c r="F8" s="2391"/>
      <c r="G8" s="2662"/>
      <c r="H8" s="2662"/>
      <c r="I8" s="2662"/>
      <c r="J8" s="2438"/>
      <c r="K8" s="2613"/>
      <c r="L8" s="2612"/>
      <c r="M8" s="2612"/>
      <c r="N8" s="2438"/>
      <c r="O8" s="2449"/>
      <c r="P8" s="2438"/>
      <c r="Q8" s="2438"/>
      <c r="R8" s="2438"/>
    </row>
    <row r="9" spans="1:30" ht="13.5" thickBot="1">
      <c r="A9" s="2392" t="s">
        <v>2178</v>
      </c>
      <c r="B9" s="2393" t="s">
        <v>3412</v>
      </c>
      <c r="C9" s="2394"/>
      <c r="D9" s="3554"/>
      <c r="E9" s="2393"/>
      <c r="F9" s="2395"/>
      <c r="G9" s="2664"/>
      <c r="H9" s="2664"/>
      <c r="I9" s="2664"/>
      <c r="J9" s="2438"/>
      <c r="K9" s="2615"/>
      <c r="L9" s="2612"/>
      <c r="M9" s="2612"/>
      <c r="N9" s="2438"/>
      <c r="O9" s="2449"/>
      <c r="P9" s="2438"/>
      <c r="Q9" s="2438"/>
      <c r="R9" s="2438"/>
    </row>
    <row r="10" spans="1:30" ht="13.5" thickTop="1">
      <c r="A10" s="2396" t="s">
        <v>2179</v>
      </c>
      <c r="B10" s="2397" t="s">
        <v>3413</v>
      </c>
      <c r="C10" s="2398"/>
      <c r="D10" s="2381"/>
      <c r="E10" s="2399" t="s">
        <v>2180</v>
      </c>
      <c r="F10" s="3493" t="s">
        <v>3543</v>
      </c>
      <c r="G10" s="2665"/>
      <c r="H10" s="2666"/>
      <c r="I10" s="2667"/>
      <c r="J10" s="2438"/>
      <c r="K10" s="2615"/>
      <c r="L10" s="2612"/>
      <c r="M10" s="2612"/>
      <c r="N10" s="2438"/>
      <c r="O10" s="2449"/>
      <c r="P10" s="2438"/>
      <c r="Q10" s="2438"/>
      <c r="R10" s="2438"/>
    </row>
    <row r="11" spans="1:30">
      <c r="A11" s="2400" t="s">
        <v>2181</v>
      </c>
      <c r="B11" s="2401" t="s">
        <v>3508</v>
      </c>
      <c r="C11" s="2402"/>
      <c r="D11" s="2403"/>
      <c r="E11" s="2369"/>
      <c r="F11" s="2369"/>
      <c r="G11" s="2369"/>
      <c r="H11" s="2369"/>
      <c r="I11" s="2369"/>
      <c r="J11" s="3059"/>
      <c r="K11" s="3058"/>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7" t="s">
        <v>2576</v>
      </c>
      <c r="J12" s="3060"/>
      <c r="K12" s="2612"/>
      <c r="L12" s="2612"/>
      <c r="M12" s="2438"/>
      <c r="N12" s="2449"/>
      <c r="O12" s="2438"/>
      <c r="P12" s="2438"/>
      <c r="Q12" s="2438"/>
      <c r="AD12" s="1744"/>
    </row>
    <row r="13" spans="1:30">
      <c r="A13" s="3421" t="s">
        <v>3332</v>
      </c>
      <c r="B13" s="2406" t="s">
        <v>2190</v>
      </c>
      <c r="C13" s="855"/>
      <c r="D13" s="855">
        <v>52897</v>
      </c>
      <c r="E13" s="855"/>
      <c r="F13" s="855"/>
      <c r="G13" s="855"/>
      <c r="H13" s="855"/>
      <c r="I13" s="855"/>
      <c r="J13" s="3060"/>
      <c r="K13" s="2612"/>
      <c r="L13" s="2612"/>
      <c r="M13" s="2438"/>
      <c r="N13" s="2449"/>
      <c r="O13" s="2438"/>
      <c r="P13" s="2438"/>
      <c r="Q13" s="2438"/>
      <c r="AD13" s="1744"/>
    </row>
    <row r="14" spans="1:30">
      <c r="A14" s="1080"/>
      <c r="B14" s="2406" t="s">
        <v>2191</v>
      </c>
      <c r="C14" s="2407">
        <v>70</v>
      </c>
      <c r="D14" s="2407">
        <v>40</v>
      </c>
      <c r="E14" s="2407"/>
      <c r="F14" s="2407"/>
      <c r="G14" s="2407"/>
      <c r="H14" s="2407"/>
      <c r="I14" s="2407"/>
      <c r="J14" s="3061"/>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19.38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4"/>
    </row>
    <row r="16" spans="1:30">
      <c r="A16" s="2399" t="s">
        <v>2193</v>
      </c>
      <c r="B16" s="3560"/>
      <c r="C16" s="3561"/>
      <c r="D16" s="3562"/>
      <c r="E16" s="2412" t="s">
        <v>2194</v>
      </c>
      <c r="F16" s="3563"/>
      <c r="G16" s="3564"/>
      <c r="H16" s="3564"/>
      <c r="I16" s="3565"/>
      <c r="J16" s="2438"/>
      <c r="K16" s="2616"/>
      <c r="L16" s="2450"/>
      <c r="M16" s="2450"/>
      <c r="N16" s="2508"/>
      <c r="O16" s="2450"/>
      <c r="P16" s="2508"/>
      <c r="Q16" s="2438"/>
      <c r="R16" s="2438"/>
    </row>
    <row r="17" spans="1:28">
      <c r="A17" s="313" t="s">
        <v>2195</v>
      </c>
      <c r="B17" s="302" t="s">
        <v>2196</v>
      </c>
      <c r="C17" s="8">
        <f>'数据-汇总表'!E3</f>
        <v>47.88</v>
      </c>
      <c r="D17" s="2321" t="s">
        <v>2197</v>
      </c>
      <c r="E17" s="3566" t="s">
        <v>2198</v>
      </c>
      <c r="F17" s="3567"/>
      <c r="G17" s="3567"/>
      <c r="H17" s="3567"/>
      <c r="I17" s="3568"/>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69" t="s">
        <v>2202</v>
      </c>
      <c r="F18" s="3570"/>
      <c r="G18" s="3570"/>
      <c r="H18" s="3570"/>
      <c r="I18" s="3571"/>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56" t="s">
        <v>2206</v>
      </c>
      <c r="C20" s="3557"/>
      <c r="D20" s="3558" t="s">
        <v>2207</v>
      </c>
      <c r="E20" s="3559"/>
      <c r="F20" s="2646" t="s">
        <v>1056</v>
      </c>
      <c r="G20" s="2663"/>
      <c r="H20" s="2663"/>
      <c r="I20" s="2663"/>
      <c r="J20" s="2438"/>
      <c r="K20" s="3555"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5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5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43" t="s">
        <v>2214</v>
      </c>
      <c r="B27" s="320" t="s">
        <v>2215</v>
      </c>
      <c r="C27" s="2415" t="s">
        <v>3415</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3"/>
      <c r="B28" s="302" t="s">
        <v>2216</v>
      </c>
      <c r="C28" s="2417" t="s">
        <v>3416</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3"/>
      <c r="B29" s="302" t="s">
        <v>2217</v>
      </c>
      <c r="C29" s="2419" t="s">
        <v>3417</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4"/>
      <c r="B30" s="302" t="s">
        <v>2218</v>
      </c>
      <c r="C30" s="3545"/>
      <c r="D30" s="3546"/>
      <c r="E30" s="2663"/>
      <c r="F30" s="2663"/>
      <c r="G30" s="2663"/>
      <c r="H30" s="2663"/>
      <c r="I30" s="2663"/>
      <c r="J30" s="2438"/>
      <c r="K30" s="2615"/>
      <c r="L30" s="2612"/>
      <c r="M30" s="2612"/>
      <c r="N30" s="2438"/>
      <c r="O30" s="2449"/>
      <c r="P30" s="2438"/>
      <c r="Q30" s="2438"/>
      <c r="R30" s="2438"/>
      <c r="S30" s="2438"/>
      <c r="T30" s="2438"/>
      <c r="U30" s="2438"/>
      <c r="V30" s="2438"/>
    </row>
    <row r="31" spans="1:28">
      <c r="A31" s="3547" t="s">
        <v>2219</v>
      </c>
      <c r="B31" s="2421" t="s">
        <v>3418</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48"/>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48"/>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42" t="s">
        <v>2228</v>
      </c>
      <c r="T34" s="2427" t="str">
        <f>NUMBERSTRING(7-K34,1)&amp;"通"</f>
        <v>七通</v>
      </c>
      <c r="U34" s="2438"/>
      <c r="V34" s="2438"/>
    </row>
    <row r="35" spans="1:30">
      <c r="A35" s="2428"/>
      <c r="B35" s="3549" t="s">
        <v>2229</v>
      </c>
      <c r="C35" s="3549"/>
      <c r="D35" s="3549"/>
      <c r="E35" s="3549"/>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2"/>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3"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t="s">
        <v>296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2940</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47.88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47.88</v>
      </c>
      <c r="H5" s="13">
        <f t="shared" ref="H5:AT5" si="0">SUM(H13:H656)</f>
        <v>47.88</v>
      </c>
      <c r="I5" s="13">
        <f t="shared" si="0"/>
        <v>47.88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47.88</v>
      </c>
      <c r="BA5" s="15">
        <f t="shared" si="1"/>
        <v>47.88</v>
      </c>
      <c r="BB5" s="15">
        <f t="shared" si="1"/>
        <v>47.88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3420</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3421</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底商</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3419</v>
      </c>
      <c r="E13" s="13">
        <f>IF($C$3="是",ROUND($A$3*G13/$B$3,2),ROUND($A$3*(G13-AT13)/$B$3,2))</f>
        <v>0</v>
      </c>
      <c r="F13" s="29"/>
      <c r="G13" s="30">
        <f>H13+AC13+AT13</f>
        <v>47.88</v>
      </c>
      <c r="H13" s="17">
        <f>SUMIF(I$12:AB$12,"总值",I13:AB13)</f>
        <v>47.88</v>
      </c>
      <c r="I13" s="1625">
        <v>47.88</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47.88</v>
      </c>
      <c r="BA13" s="13">
        <f>SUM(BB13:BK13)</f>
        <v>47.88</v>
      </c>
      <c r="BB13" s="13">
        <f>IF($D13="是",I13-J13,0)</f>
        <v>47.88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1" sqref="K1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81" t="s">
        <v>1131</v>
      </c>
      <c r="B2" s="3581"/>
      <c r="C2" s="3581"/>
      <c r="D2" s="795" t="s">
        <v>1107</v>
      </c>
      <c r="E2" s="1638" t="s">
        <v>1108</v>
      </c>
      <c r="F2" s="2658"/>
      <c r="G2" s="2649"/>
      <c r="H2" s="2650"/>
      <c r="I2" s="2324" t="s">
        <v>1132</v>
      </c>
      <c r="J2" s="2658"/>
      <c r="K2" s="2658"/>
      <c r="L2" s="2658"/>
      <c r="M2" s="2658"/>
      <c r="N2" s="2660"/>
      <c r="O2" s="2658"/>
      <c r="P2" s="2658"/>
    </row>
    <row r="3" spans="1:16" ht="15.75" thickBot="1">
      <c r="A3" s="3582" t="s">
        <v>1105</v>
      </c>
      <c r="B3" s="3582"/>
      <c r="C3" s="3582"/>
      <c r="D3" s="43">
        <f>'数据-基础表'!AY6</f>
        <v>0</v>
      </c>
      <c r="E3" s="43">
        <f>'数据-基础表'!AZ5</f>
        <v>47.88</v>
      </c>
      <c r="F3" s="2658"/>
      <c r="G3" s="1144"/>
      <c r="H3" s="1025" t="s">
        <v>1106</v>
      </c>
      <c r="I3" s="854" t="e">
        <f>ROUND('数据-基础表'!B3/'数据-基础表'!A3,2)</f>
        <v>#DIV/0!</v>
      </c>
      <c r="J3" s="2658"/>
      <c r="K3" s="2658"/>
      <c r="L3" s="2658"/>
      <c r="M3" s="2658"/>
      <c r="N3" s="2660"/>
      <c r="O3" s="2658"/>
      <c r="P3" s="2658"/>
    </row>
    <row r="4" spans="1:16" ht="15">
      <c r="A4" s="3583"/>
      <c r="B4" s="3584"/>
      <c r="C4" s="3585"/>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86" t="s">
        <v>1110</v>
      </c>
      <c r="C5" s="3586"/>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86" t="s">
        <v>1111</v>
      </c>
      <c r="C6" s="3586"/>
      <c r="D6" s="45">
        <f>ROUND($D$3*E6/$E$3,2)</f>
        <v>0</v>
      </c>
      <c r="E6" s="46">
        <f>E3-E5</f>
        <v>47.88</v>
      </c>
      <c r="F6" s="2658"/>
      <c r="G6" s="2652" t="s">
        <v>1112</v>
      </c>
      <c r="H6" s="1145" t="s">
        <v>1113</v>
      </c>
      <c r="I6" s="2653" t="e">
        <f>ROUND(F31/D31,2)</f>
        <v>#DIV/0!</v>
      </c>
      <c r="J6" s="2658"/>
      <c r="K6" s="2658"/>
      <c r="L6" s="2658"/>
      <c r="M6" s="2658"/>
      <c r="N6" s="2658"/>
      <c r="O6" s="2658"/>
      <c r="P6" s="2658"/>
    </row>
    <row r="7" spans="1:16" ht="15.75" thickBot="1">
      <c r="A7" s="3578"/>
      <c r="B7" s="3579"/>
      <c r="C7" s="3580"/>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47.88</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47.88</v>
      </c>
      <c r="F16" s="2658"/>
      <c r="G16" s="2659"/>
      <c r="H16" s="1647" t="s">
        <v>1135</v>
      </c>
      <c r="I16" s="1648"/>
      <c r="J16" s="1138"/>
      <c r="K16" s="3575" t="s">
        <v>1135</v>
      </c>
      <c r="L16" s="3576"/>
      <c r="M16" s="3576"/>
      <c r="N16" s="3576"/>
      <c r="O16" s="3576"/>
      <c r="P16" s="3577"/>
    </row>
    <row r="17" spans="1:19" ht="15">
      <c r="A17" s="1649" t="s">
        <v>1136</v>
      </c>
      <c r="B17" s="1650" t="s">
        <v>1137</v>
      </c>
      <c r="C17" s="1651" t="s">
        <v>1138</v>
      </c>
      <c r="D17" s="1652" t="s">
        <v>1126</v>
      </c>
      <c r="E17" s="1653" t="s">
        <v>1127</v>
      </c>
      <c r="F17" s="1654"/>
      <c r="G17" s="1655"/>
      <c r="H17" s="1656" t="s">
        <v>1139</v>
      </c>
      <c r="I17" s="1657" t="s">
        <v>1124</v>
      </c>
      <c r="J17" s="1138"/>
      <c r="K17" s="3572" t="s">
        <v>1140</v>
      </c>
      <c r="L17" s="3573"/>
      <c r="M17" s="3574"/>
      <c r="N17" s="3572" t="s">
        <v>1141</v>
      </c>
      <c r="O17" s="3573"/>
      <c r="P17" s="3574"/>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
        <v>3510</v>
      </c>
      <c r="D19" s="45">
        <f>ROUND($D$3*E19/$E$3,2)</f>
        <v>0</v>
      </c>
      <c r="E19" s="53">
        <f t="shared" ref="E19:E26" si="1">SUM(F19:G19)</f>
        <v>47.88</v>
      </c>
      <c r="F19" s="2793">
        <f>'数据-基础表'!I13</f>
        <v>47.88</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47.88</v>
      </c>
    </row>
    <row r="20" spans="1:19">
      <c r="A20" s="1669"/>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47.88</v>
      </c>
      <c r="F27" s="1139">
        <f>IF(SUM(F19:F26)=E8,SUM(F19:F26),"地上面积有误")</f>
        <v>47.88</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47.88</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47.88</v>
      </c>
      <c r="F31" s="676">
        <f>F27+F30</f>
        <v>47.88</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9.75" style="1681" customWidth="1"/>
    <col min="23" max="28" width="6.75" style="1681" customWidth="1"/>
    <col min="29" max="29" width="13" style="1681" customWidth="1"/>
    <col min="30"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45821</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3414</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1层商业</v>
      </c>
      <c r="B6" s="1712" t="str">
        <f>IF(A6=0,"","经营性")</f>
        <v>经营性</v>
      </c>
      <c r="C6" s="1713" t="s">
        <v>673</v>
      </c>
      <c r="D6" s="857">
        <f>SUMIF(项目基本情况!C$12:I$12,C6,项目基本情况!C$14:I$14)</f>
        <v>40</v>
      </c>
      <c r="E6" s="856">
        <f>IF(B6="","",SUMIF(项目基本情况!C$12:I$12,C6,项目基本情况!C$13:I$13))</f>
        <v>52897</v>
      </c>
      <c r="F6" s="64">
        <f>SUMIF(项目基本情况!C$12:I$12,C6,项目基本情况!C$15:I$15)</f>
        <v>19.38</v>
      </c>
      <c r="G6" s="65">
        <f>IF(ISERROR(ROUND(POWER(1+H6,D6-F6)*(POWER(1+H6,F6)-1)/(POWER(1+H6,D6)-1),3)),0,ROUND(POWER(1+H6,D6-F6)*(POWER(1+H6,F6)-1)/(POWER(1+H6,D6)-1),3))</f>
        <v>0.71299999999999997</v>
      </c>
      <c r="H6" s="731">
        <v>0.05</v>
      </c>
      <c r="I6" s="731">
        <v>5.5E-2</v>
      </c>
      <c r="J6" s="66">
        <v>7.0000000000000007E-2</v>
      </c>
      <c r="K6" s="1029">
        <f>SUMIF('数据-汇总表'!C$19:C$33,A6,'数据-汇总表'!E$19:E$33)</f>
        <v>47.88</v>
      </c>
      <c r="L6" s="732">
        <v>4500</v>
      </c>
      <c r="M6" s="67">
        <f t="shared" ref="M6:M14" si="0">ROUND(K6*L6/10000,0)</f>
        <v>22</v>
      </c>
      <c r="N6" s="730">
        <f>ROUND(1-(1-0%)*(2025-N18)/60,2)</f>
        <v>0.75</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94">
        <f>AC27</f>
        <v>7.2</v>
      </c>
      <c r="V6" s="70">
        <v>0</v>
      </c>
      <c r="W6" s="70">
        <v>0</v>
      </c>
      <c r="X6" s="1039"/>
      <c r="Y6" s="71">
        <f>N6</f>
        <v>0.75</v>
      </c>
      <c r="Z6" s="72">
        <f>ROUND(U23*(1+AA6)^AC24,1)</f>
        <v>7.8</v>
      </c>
      <c r="AA6" s="66">
        <v>1.4999999999999999E-2</v>
      </c>
      <c r="AB6" s="66">
        <v>0.1</v>
      </c>
      <c r="AC6" s="1039"/>
      <c r="AD6" s="73">
        <f>AC26</f>
        <v>0.7</v>
      </c>
      <c r="AE6" s="1040">
        <f ca="1">IF(AN6="",0,SUMIF(INDIRECT("'"&amp;AN6&amp;"'"&amp;"!E:E"),$AE$5,INDIRECT("'"&amp;AN6&amp;"'"&amp;"!F:F")))</f>
        <v>19.38</v>
      </c>
      <c r="AF6" s="1347">
        <f>AC24</f>
        <v>2.7</v>
      </c>
      <c r="AG6" s="138">
        <f ca="1">IF(AF6="",0,AE6-AF6)</f>
        <v>16.68</v>
      </c>
      <c r="AH6" s="74"/>
      <c r="AI6" s="76">
        <v>365</v>
      </c>
      <c r="AJ6" s="77"/>
      <c r="AK6" s="85">
        <v>5.0000000000000001E-3</v>
      </c>
      <c r="AL6" s="79">
        <v>1E-3</v>
      </c>
      <c r="AM6" s="80">
        <v>0.01</v>
      </c>
      <c r="AN6" s="1714" t="s">
        <v>3525</v>
      </c>
      <c r="AO6" s="52">
        <f ca="1">SUMIF(INDIRECT("'"&amp;AN6&amp;"'"&amp;"!A:A"),"总价",INDIRECT("'"&amp;AN6&amp;"'"&amp;"!B:B"))</f>
        <v>146.1533</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0.71299999999999997</v>
      </c>
      <c r="H16" s="90">
        <f>ROUND(SUMPRODUCT(H6:H13,K6:K13)/SUMPRODUCT((H6:H13&gt;0)*(K6:K13)),3)</f>
        <v>0.05</v>
      </c>
      <c r="I16" s="91"/>
      <c r="J16" s="91"/>
      <c r="K16" s="92">
        <f>SUM(K6:K15)</f>
        <v>47.88</v>
      </c>
      <c r="L16" s="93">
        <f>ROUND(M16*10000/SUM(K6:K14),0)</f>
        <v>4595</v>
      </c>
      <c r="M16" s="93">
        <f>SUM(M6:M14)</f>
        <v>22</v>
      </c>
      <c r="N16" s="94">
        <f>ROUND(SUMPRODUCT(M6:M14,N6:N14)/M16,3)</f>
        <v>0.75</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2010</v>
      </c>
      <c r="O18" s="2669"/>
      <c r="P18" s="2669"/>
      <c r="Q18" s="2669">
        <f>Q16/B20</f>
        <v>7.4999999999999997E-2</v>
      </c>
      <c r="R18" s="2669"/>
      <c r="S18" s="2669"/>
      <c r="T18" s="2669"/>
      <c r="U18" s="2669"/>
      <c r="V18" s="2669"/>
      <c r="W18" s="2669"/>
      <c r="X18" s="2669"/>
      <c r="Y18" s="2669"/>
      <c r="Z18" s="2669">
        <v>6</v>
      </c>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2302</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2300</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f>B20</f>
        <v>2</v>
      </c>
      <c r="C21" s="2671"/>
      <c r="D21" s="2674"/>
      <c r="E21" s="2671"/>
      <c r="F21" s="2671"/>
      <c r="G21" s="2671"/>
      <c r="H21" s="2671"/>
      <c r="I21" s="2671"/>
      <c r="J21" s="2671"/>
      <c r="K21" s="2670"/>
      <c r="L21" s="2670"/>
      <c r="M21" s="2669"/>
      <c r="N21" s="2669"/>
      <c r="O21" s="2669"/>
      <c r="P21" s="2669"/>
      <c r="Q21" s="2669"/>
      <c r="R21" s="2669"/>
      <c r="S21" s="3469" t="s">
        <v>3461</v>
      </c>
      <c r="T21" s="3469" t="s">
        <v>3462</v>
      </c>
      <c r="U21" s="3469" t="s">
        <v>3463</v>
      </c>
      <c r="V21" s="3469" t="s">
        <v>3482</v>
      </c>
      <c r="W21" s="3469" t="s">
        <v>3483</v>
      </c>
      <c r="X21" s="2670"/>
      <c r="Y21" s="2669"/>
      <c r="Z21" s="2669"/>
      <c r="AA21" s="3482" t="s">
        <v>3497</v>
      </c>
      <c r="AB21" s="2669"/>
      <c r="AC21" s="3484">
        <f>租赁合同!F13</f>
        <v>46795</v>
      </c>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c r="O22" s="2669"/>
      <c r="P22" s="2669"/>
      <c r="Q22" s="2669"/>
      <c r="R22" s="3469" t="s">
        <v>3522</v>
      </c>
      <c r="S22" s="2670">
        <v>1</v>
      </c>
      <c r="T22" s="2670">
        <v>1</v>
      </c>
      <c r="U22" s="2670">
        <v>10</v>
      </c>
      <c r="V22" s="2670">
        <v>80000</v>
      </c>
      <c r="W22" s="2670">
        <f>U22*365/V22</f>
        <v>4.5624999999999999E-2</v>
      </c>
      <c r="X22" s="2670"/>
      <c r="Y22" s="2669"/>
      <c r="Z22" s="2669"/>
      <c r="AA22" s="3482" t="s">
        <v>3498</v>
      </c>
      <c r="AB22" s="2669"/>
      <c r="AC22" s="3484">
        <f>租赁合同!E12</f>
        <v>45821</v>
      </c>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3469" t="s">
        <v>3523</v>
      </c>
      <c r="S23" s="2670">
        <v>1</v>
      </c>
      <c r="T23" s="2670">
        <v>0.75</v>
      </c>
      <c r="U23" s="2670">
        <f>U22*T23</f>
        <v>7.5</v>
      </c>
      <c r="V23" s="2670">
        <f>V22*T23</f>
        <v>60000</v>
      </c>
      <c r="W23" s="2670">
        <f>U23*365/V23</f>
        <v>4.5624999999999999E-2</v>
      </c>
      <c r="X23" s="2670"/>
      <c r="Y23" s="2669"/>
      <c r="Z23" s="2669"/>
      <c r="AA23" s="3483"/>
      <c r="AB23" s="2669"/>
      <c r="AC23" s="2669">
        <f>AC21-AC22</f>
        <v>974</v>
      </c>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3468"/>
      <c r="S24" s="2670"/>
      <c r="T24" s="2670"/>
      <c r="U24" s="2670"/>
      <c r="V24" s="2670"/>
      <c r="W24" s="2670"/>
      <c r="X24" s="2670"/>
      <c r="Y24" s="2669"/>
      <c r="Z24" s="2669"/>
      <c r="AA24" s="3482" t="s">
        <v>3499</v>
      </c>
      <c r="AB24" s="2669"/>
      <c r="AC24" s="2669">
        <f>ROUND(AC23/365,1)</f>
        <v>2.7</v>
      </c>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70"/>
      <c r="T25" s="2670"/>
      <c r="U25" s="2670"/>
      <c r="V25" s="2670"/>
      <c r="W25" s="2670"/>
      <c r="X25" s="2670"/>
      <c r="Y25" s="2669"/>
      <c r="Z25" s="2669"/>
      <c r="AA25" s="3482" t="s">
        <v>3500</v>
      </c>
      <c r="AB25" s="2669"/>
      <c r="AC25" s="3496">
        <v>1.4999999999999999E-2</v>
      </c>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t="s">
        <v>3526</v>
      </c>
      <c r="S26" s="2670"/>
      <c r="T26" s="2670"/>
      <c r="U26" s="2670"/>
      <c r="V26" s="2670"/>
      <c r="W26" s="2670"/>
      <c r="X26" s="2670"/>
      <c r="Y26" s="2669"/>
      <c r="Z26" s="2669"/>
      <c r="AA26" s="3482" t="s">
        <v>3501</v>
      </c>
      <c r="AB26" s="2669"/>
      <c r="AC26" s="2669">
        <f>ROUND(1-(1-0%)*(2028-N18)/60,2)</f>
        <v>0.7</v>
      </c>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v>160</v>
      </c>
      <c r="C27" s="2799" t="s">
        <v>2304</v>
      </c>
      <c r="D27" s="2677"/>
      <c r="E27" s="2660"/>
      <c r="F27" s="2660"/>
      <c r="G27" s="2671"/>
      <c r="H27" s="2671"/>
      <c r="I27" s="2671"/>
      <c r="J27" s="2671"/>
      <c r="K27" s="2670"/>
      <c r="L27" s="2670"/>
      <c r="M27" s="2669"/>
      <c r="N27" s="2669"/>
      <c r="O27" s="2669"/>
      <c r="P27" s="2669"/>
      <c r="Q27" s="2669"/>
      <c r="R27" s="2669" t="s">
        <v>3527</v>
      </c>
      <c r="S27" s="2670"/>
      <c r="T27" s="2670"/>
      <c r="U27" s="2670"/>
      <c r="V27" s="2670"/>
      <c r="W27" s="2670"/>
      <c r="X27" s="2670"/>
      <c r="Y27" s="2669"/>
      <c r="Z27" s="2669"/>
      <c r="AA27" s="3482" t="s">
        <v>3521</v>
      </c>
      <c r="AB27" s="2669"/>
      <c r="AC27" s="2669">
        <f>租赁合同!I14</f>
        <v>7.2</v>
      </c>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8"/>
      <c r="D28" s="2677"/>
      <c r="E28" s="2660"/>
      <c r="F28" s="2660"/>
      <c r="G28" s="2671"/>
      <c r="H28" s="2671"/>
      <c r="I28" s="2671"/>
      <c r="J28" s="2671"/>
      <c r="K28" s="2670"/>
      <c r="L28" s="2670"/>
      <c r="M28" s="2669"/>
      <c r="N28" s="2669"/>
      <c r="O28" s="2669"/>
      <c r="P28" s="2669"/>
      <c r="Q28" s="2669"/>
      <c r="R28" s="2669" t="s">
        <v>3528</v>
      </c>
      <c r="S28" s="2669"/>
      <c r="T28" s="2669"/>
      <c r="U28" s="2669"/>
      <c r="V28" s="2669"/>
      <c r="W28" s="2669"/>
      <c r="X28" s="2669"/>
      <c r="Y28" s="2669"/>
      <c r="Z28" s="2669"/>
      <c r="AA28" s="3468" t="s">
        <v>3502</v>
      </c>
      <c r="AB28" s="2669"/>
      <c r="AC28" s="2669">
        <f>U23</f>
        <v>7.5</v>
      </c>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0" t="s">
        <v>2294</v>
      </c>
      <c r="D29" s="2677"/>
      <c r="E29" s="2660"/>
      <c r="F29" s="2660"/>
      <c r="G29" s="2671"/>
      <c r="H29" s="2671"/>
      <c r="I29" s="2671"/>
      <c r="J29" s="2671"/>
      <c r="K29" s="2670"/>
      <c r="L29" s="2670"/>
      <c r="M29" s="2669"/>
      <c r="N29" s="2669"/>
      <c r="O29" s="2669"/>
      <c r="P29" s="2669"/>
      <c r="Q29" s="2669"/>
      <c r="R29" s="2669" t="s">
        <v>3532</v>
      </c>
      <c r="S29" s="2669"/>
      <c r="T29" s="2669"/>
      <c r="U29" s="2669"/>
      <c r="V29" s="2669"/>
      <c r="W29" s="2669"/>
      <c r="X29" s="2669"/>
      <c r="Y29" s="2669"/>
      <c r="Z29" s="2669"/>
      <c r="AA29" s="3468" t="s">
        <v>3503</v>
      </c>
      <c r="AB29" s="2669"/>
      <c r="AC29" s="2669">
        <f>ROUND(AC28*(1+AC25)^AC24,1)</f>
        <v>7.8</v>
      </c>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8"/>
      <c r="D30" s="2677"/>
      <c r="E30" s="2660"/>
      <c r="F30" s="2660"/>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1" t="s">
        <v>3382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1" t="s">
        <v>2295</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1" t="s">
        <v>2296</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2.5000000000000001E-2</v>
      </c>
      <c r="C36" s="2801" t="s">
        <v>3400</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0.03</v>
      </c>
      <c r="C37" s="2801" t="s">
        <v>3383</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3384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2310</v>
      </c>
      <c r="B40" s="1077">
        <f ca="1">IF(A40="利息：取LPR",存贷款利率!G1,存贷款利率!G1+C40)</f>
        <v>0.03</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6.000000000000001E-3</v>
      </c>
      <c r="C43" s="2676"/>
      <c r="D43" s="2674"/>
      <c r="E43" s="3476" t="s">
        <v>3511</v>
      </c>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7.0000000000000007E-2</v>
      </c>
      <c r="C44" s="2801" t="s">
        <v>3385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2305</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0</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c r="C53" s="2660"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87" t="s">
        <v>2286</v>
      </c>
      <c r="B1" s="3588"/>
      <c r="C1" s="3588"/>
      <c r="D1" s="3588"/>
      <c r="E1" s="3588"/>
      <c r="F1" s="3588"/>
      <c r="G1" s="358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17"/>
  <sheetViews>
    <sheetView workbookViewId="0">
      <selection activeCell="G5" sqref="G5"/>
    </sheetView>
  </sheetViews>
  <sheetFormatPr defaultRowHeight="13.5"/>
  <cols>
    <col min="1" max="2" width="9" style="3477"/>
    <col min="3" max="3" width="10" style="3477" customWidth="1"/>
    <col min="4" max="4" width="10.5" style="3477" customWidth="1"/>
    <col min="5" max="5" width="13" style="3477" customWidth="1"/>
    <col min="6" max="6" width="22" style="3477" customWidth="1"/>
    <col min="7" max="7" width="9.5" style="3477" bestFit="1" customWidth="1"/>
    <col min="8" max="8" width="14.125" style="3477" customWidth="1"/>
    <col min="9" max="9" width="11.5" style="3477" customWidth="1"/>
    <col min="10" max="11" width="9" style="3477"/>
    <col min="12" max="12" width="12.625" style="3477" customWidth="1"/>
    <col min="13" max="13" width="12.375" style="3477" customWidth="1"/>
    <col min="14" max="16384" width="9" style="3477"/>
  </cols>
  <sheetData>
    <row r="2" spans="2:13">
      <c r="G2" s="3478" t="s">
        <v>3518</v>
      </c>
    </row>
    <row r="3" spans="2:13">
      <c r="B3" s="3478" t="s">
        <v>3489</v>
      </c>
      <c r="C3" s="3478" t="s">
        <v>3485</v>
      </c>
      <c r="D3" s="3478" t="s">
        <v>3486</v>
      </c>
      <c r="E3" s="3478" t="s">
        <v>3487</v>
      </c>
      <c r="F3" s="3478" t="s">
        <v>3492</v>
      </c>
      <c r="G3" s="3478" t="s">
        <v>3488</v>
      </c>
      <c r="H3" s="3478" t="s">
        <v>3519</v>
      </c>
      <c r="I3" s="3478" t="s">
        <v>3520</v>
      </c>
      <c r="J3" s="3478" t="s">
        <v>3490</v>
      </c>
      <c r="L3" s="3478" t="s">
        <v>3493</v>
      </c>
      <c r="M3" s="3478" t="s">
        <v>3516</v>
      </c>
    </row>
    <row r="4" spans="2:13">
      <c r="B4" s="3477">
        <v>1</v>
      </c>
      <c r="C4" s="3477">
        <f>'数据-汇总表'!F19</f>
        <v>47.88</v>
      </c>
      <c r="D4" s="3477">
        <v>47.88</v>
      </c>
      <c r="E4" s="3479">
        <v>45625</v>
      </c>
      <c r="F4" s="3479">
        <v>45700</v>
      </c>
      <c r="G4" s="3478" t="s">
        <v>3491</v>
      </c>
      <c r="H4" s="3477">
        <v>0</v>
      </c>
      <c r="J4" s="3477">
        <f>F4-E4</f>
        <v>75</v>
      </c>
      <c r="K4" s="3478">
        <f>J4/30</f>
        <v>2.5</v>
      </c>
      <c r="L4" s="3478" t="s">
        <v>3515</v>
      </c>
      <c r="M4" s="3478" t="s">
        <v>3517</v>
      </c>
    </row>
    <row r="5" spans="2:13">
      <c r="B5" s="3477">
        <v>1</v>
      </c>
      <c r="E5" s="3480">
        <v>45701</v>
      </c>
      <c r="F5" s="3480">
        <v>46065</v>
      </c>
      <c r="G5" s="3481">
        <f>10000*12</f>
        <v>120000</v>
      </c>
      <c r="H5" s="3481">
        <f>ROUND(G5/$D$4/J5,1)</f>
        <v>6.9</v>
      </c>
      <c r="I5" s="3481">
        <f>ROUND(G5*(1+5%)/365/$D$4,1)</f>
        <v>7.2</v>
      </c>
      <c r="J5" s="3481">
        <f>F5-E5</f>
        <v>364</v>
      </c>
      <c r="L5" s="3477">
        <f>35*12/365</f>
        <v>1.1506849315068493</v>
      </c>
      <c r="M5" s="3477">
        <f>12*47.88/365</f>
        <v>1.5741369863013701</v>
      </c>
    </row>
    <row r="6" spans="2:13">
      <c r="B6" s="3477">
        <v>2</v>
      </c>
      <c r="E6" s="3479">
        <v>46066</v>
      </c>
      <c r="F6" s="3479">
        <v>46430</v>
      </c>
      <c r="G6" s="3477">
        <f>G5</f>
        <v>120000</v>
      </c>
      <c r="H6" s="3477">
        <f>ROUND(G6/$D$4/J6,1)</f>
        <v>6.9</v>
      </c>
      <c r="I6" s="3495">
        <f t="shared" ref="I6:I7" si="0">ROUND(G6*(1+5%)/365/$D$4,1)</f>
        <v>7.2</v>
      </c>
      <c r="J6" s="3477">
        <f>F6-E6</f>
        <v>364</v>
      </c>
    </row>
    <row r="7" spans="2:13">
      <c r="B7" s="3477">
        <v>3</v>
      </c>
      <c r="E7" s="3479">
        <v>46431</v>
      </c>
      <c r="F7" s="3479">
        <v>46795</v>
      </c>
      <c r="G7" s="3477">
        <f>G5</f>
        <v>120000</v>
      </c>
      <c r="H7" s="3477">
        <f>ROUND(G7/$D$4/J7,1)</f>
        <v>6.9</v>
      </c>
      <c r="I7" s="3495">
        <f t="shared" si="0"/>
        <v>7.2</v>
      </c>
      <c r="J7" s="3477">
        <f>F7-E7</f>
        <v>364</v>
      </c>
    </row>
    <row r="10" spans="2:13">
      <c r="C10" s="3485"/>
      <c r="D10" s="3485"/>
      <c r="E10" s="3485"/>
      <c r="F10" s="3486" t="s">
        <v>3495</v>
      </c>
      <c r="G10" s="3485"/>
      <c r="H10" s="3485"/>
      <c r="I10" s="3485"/>
      <c r="J10" s="3485"/>
    </row>
    <row r="11" spans="2:13">
      <c r="C11" s="3487" t="s">
        <v>3485</v>
      </c>
      <c r="D11" s="3487" t="s">
        <v>3486</v>
      </c>
      <c r="E11" s="3487" t="s">
        <v>3494</v>
      </c>
      <c r="F11" s="3487" t="s">
        <v>3492</v>
      </c>
      <c r="G11" s="3487" t="s">
        <v>3488</v>
      </c>
      <c r="H11" s="3487" t="s">
        <v>3519</v>
      </c>
      <c r="I11" s="3478" t="s">
        <v>3520</v>
      </c>
      <c r="J11" s="3487" t="s">
        <v>3490</v>
      </c>
    </row>
    <row r="12" spans="2:13">
      <c r="C12" s="3488">
        <f>C4</f>
        <v>47.88</v>
      </c>
      <c r="D12" s="3488">
        <f>D4</f>
        <v>47.88</v>
      </c>
      <c r="E12" s="3489">
        <f>系统读取表!B3</f>
        <v>45821</v>
      </c>
      <c r="F12" s="3490">
        <f>F5</f>
        <v>46065</v>
      </c>
      <c r="G12" s="3488">
        <f>ROUND(H5*D12*J12,0)</f>
        <v>80611</v>
      </c>
      <c r="H12" s="3488">
        <f>H5</f>
        <v>6.9</v>
      </c>
      <c r="I12" s="3488">
        <f>I5</f>
        <v>7.2</v>
      </c>
      <c r="J12" s="3488">
        <f>F12-E12</f>
        <v>244</v>
      </c>
    </row>
    <row r="13" spans="2:13">
      <c r="C13" s="3488"/>
      <c r="D13" s="3488"/>
      <c r="E13" s="3490">
        <f>E6</f>
        <v>46066</v>
      </c>
      <c r="F13" s="3490">
        <f>F7</f>
        <v>46795</v>
      </c>
      <c r="G13" s="3488">
        <f>G6+G7</f>
        <v>240000</v>
      </c>
      <c r="H13" s="3488">
        <f>H6</f>
        <v>6.9</v>
      </c>
      <c r="I13" s="3488">
        <f>I6</f>
        <v>7.2</v>
      </c>
      <c r="J13" s="3488">
        <f>F13-E13</f>
        <v>729</v>
      </c>
    </row>
    <row r="14" spans="2:13">
      <c r="C14" s="3487" t="s">
        <v>3496</v>
      </c>
      <c r="D14" s="3488"/>
      <c r="E14" s="3488"/>
      <c r="F14" s="3488"/>
      <c r="G14" s="3488">
        <f>G12+G13</f>
        <v>320611</v>
      </c>
      <c r="H14" s="3488">
        <f>ROUND(G14/$D$12/J14,1)</f>
        <v>6.9</v>
      </c>
      <c r="I14" s="3488">
        <f>I13</f>
        <v>7.2</v>
      </c>
      <c r="J14" s="3488">
        <f>J12+J13</f>
        <v>973</v>
      </c>
    </row>
    <row r="17" spans="4:4">
      <c r="D17" s="3478"/>
    </row>
  </sheetData>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F4" sqref="F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47.88</v>
      </c>
      <c r="C1" s="2684"/>
      <c r="D1" s="2684"/>
      <c r="E1" s="2684"/>
      <c r="F1" s="2684"/>
      <c r="G1" s="2685"/>
      <c r="H1" s="2686"/>
      <c r="I1" s="2686"/>
      <c r="J1" s="2686"/>
      <c r="K1" s="2686"/>
    </row>
    <row r="2" spans="1:11" ht="16.5">
      <c r="A2" s="2511" t="s">
        <v>653</v>
      </c>
      <c r="B2" s="2511">
        <f>SUM(C14:C23)</f>
        <v>0</v>
      </c>
      <c r="C2" s="2684"/>
      <c r="D2" s="2684"/>
      <c r="E2" s="2684"/>
      <c r="F2" s="2684"/>
      <c r="G2" s="2685"/>
      <c r="H2" s="2686"/>
      <c r="I2" s="2686"/>
      <c r="J2" s="2686"/>
      <c r="K2" s="2686"/>
    </row>
    <row r="3" spans="1:11" ht="16.5">
      <c r="A3" s="2511" t="s">
        <v>662</v>
      </c>
      <c r="B3" s="2513">
        <f>项目基本情况!D3</f>
        <v>45821</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 ca="1">SUM(D14:D23)</f>
        <v>220</v>
      </c>
      <c r="C5" s="2511">
        <f ca="1">IF(B5=D14,结果表!H102,ROUND(B5*10000/$B$1,0))</f>
        <v>45852</v>
      </c>
      <c r="D5" s="2511" t="e">
        <f ca="1">ROUND(B5*10000/$B$2,0)</f>
        <v>#DIV/0!</v>
      </c>
      <c r="E5" s="2684"/>
      <c r="F5" s="2685"/>
      <c r="G5" s="2685"/>
      <c r="H5" s="2686"/>
      <c r="I5" s="2686"/>
      <c r="J5" s="2686"/>
      <c r="K5" s="2686"/>
    </row>
    <row r="6" spans="1:11" ht="16.5">
      <c r="A6" s="2511" t="s">
        <v>656</v>
      </c>
      <c r="B6" s="2511">
        <f ca="1">SUM(G14:G23)</f>
        <v>220</v>
      </c>
      <c r="C6" s="2511">
        <f ca="1">IF(B6=G14,结果表!H108,ROUND(B6*10000/$B$1,0))</f>
        <v>45852</v>
      </c>
      <c r="D6" s="2511" t="e">
        <f ca="1">ROUND(B6*10000/$B$2,0)</f>
        <v>#DIV/0!</v>
      </c>
      <c r="E6" s="2684"/>
      <c r="F6" s="2685"/>
      <c r="G6" s="2685"/>
      <c r="H6" s="2686"/>
      <c r="I6" s="2686"/>
      <c r="J6" s="2686"/>
      <c r="K6" s="2686"/>
    </row>
    <row r="7" spans="1:11" ht="16.5">
      <c r="A7" s="2511" t="s">
        <v>664</v>
      </c>
      <c r="B7" s="2511">
        <f>SUM(H14:H23)</f>
        <v>0</v>
      </c>
      <c r="C7" s="2511" t="str">
        <f>IF(B7=H14,结果表!H110,ROUND(B7*10000/$B$1,0))</f>
        <v>——</v>
      </c>
      <c r="D7" s="2511" t="e">
        <f>ROUND(B7*10000/$B$2,0)</f>
        <v>#DIV/0!</v>
      </c>
      <c r="E7" s="2684"/>
      <c r="F7" s="2685"/>
      <c r="G7" s="2685"/>
      <c r="H7" s="2686"/>
      <c r="I7" s="2686"/>
      <c r="J7" s="2686"/>
      <c r="K7" s="2686"/>
    </row>
    <row r="8" spans="1:11" ht="16.5">
      <c r="A8" s="2511" t="s">
        <v>587</v>
      </c>
      <c r="B8" s="2511">
        <f>SUM(I14:I23)</f>
        <v>0</v>
      </c>
      <c r="C8" s="2511" t="str">
        <f>IF(B8=I14,结果表!H112,ROUND(B8*10000/$B$1,0))</f>
        <v>——</v>
      </c>
      <c r="D8" s="2511" t="e">
        <f>ROUND(B8*10000/$B$2,0)</f>
        <v>#DIV/0!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3355</v>
      </c>
      <c r="D10" s="2511" t="s">
        <v>3356</v>
      </c>
      <c r="E10" s="3439"/>
      <c r="F10" s="3443" t="s">
        <v>3357</v>
      </c>
      <c r="G10" s="3440"/>
      <c r="H10" s="2686"/>
      <c r="I10" s="2686"/>
      <c r="J10" s="2686"/>
      <c r="K10" s="2686"/>
    </row>
    <row r="11" spans="1:11" ht="16.5">
      <c r="A11" s="2511" t="s">
        <v>670</v>
      </c>
      <c r="B11" s="2519"/>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'数据-汇总表'!F19</f>
        <v>47.88</v>
      </c>
      <c r="C14" s="2517"/>
      <c r="D14" s="2517">
        <f ca="1">结果表!G19</f>
        <v>220</v>
      </c>
      <c r="E14" s="2517">
        <f ca="1">结果表!G20</f>
        <v>45852</v>
      </c>
      <c r="F14" s="2517" t="e">
        <f ca="1">ROUND(D14*10000/C14,0)</f>
        <v>#DIV/0!</v>
      </c>
      <c r="G14" s="2517">
        <f ca="1">D14</f>
        <v>220</v>
      </c>
      <c r="H14" s="2517"/>
      <c r="I14" s="2517"/>
      <c r="J14" s="2685"/>
      <c r="K14" s="2686"/>
    </row>
    <row r="15" spans="1:11" ht="16.5">
      <c r="A15" s="2516" t="s">
        <v>649</v>
      </c>
      <c r="B15" s="2518"/>
      <c r="C15" s="2518"/>
      <c r="D15" s="2518"/>
      <c r="E15" s="2517" t="e">
        <f t="shared" ref="E15:E23" si="0">ROUND(D15*10000/B15,0)</f>
        <v>#DIV/0!</v>
      </c>
      <c r="F15" s="2517" t="e">
        <f t="shared" ref="F15:F23" si="1">ROUND(D15*10000/C15,0)</f>
        <v>#DIV/0!</v>
      </c>
      <c r="G15" s="1330"/>
      <c r="H15" s="1330"/>
      <c r="I15" s="2518"/>
      <c r="J15" s="2685"/>
      <c r="K15" s="2686"/>
    </row>
    <row r="16" spans="1:11" ht="16.5">
      <c r="A16" s="2516" t="s">
        <v>648</v>
      </c>
      <c r="B16" s="2518"/>
      <c r="C16" s="2518"/>
      <c r="D16" s="2518"/>
      <c r="E16" s="2517" t="e">
        <f t="shared" si="0"/>
        <v>#DIV/0!</v>
      </c>
      <c r="F16" s="2517" t="e">
        <f t="shared" si="1"/>
        <v>#DIV/0!</v>
      </c>
      <c r="G16" s="1330"/>
      <c r="H16" s="1330"/>
      <c r="I16" s="2518"/>
      <c r="J16" s="2686"/>
      <c r="K16" s="2686"/>
    </row>
    <row r="17" spans="1:11" ht="16.5">
      <c r="A17" s="2516" t="s">
        <v>647</v>
      </c>
      <c r="B17" s="2518"/>
      <c r="C17" s="2518"/>
      <c r="D17" s="2518"/>
      <c r="E17" s="2517" t="e">
        <f t="shared" si="0"/>
        <v>#DIV/0!</v>
      </c>
      <c r="F17" s="2517" t="e">
        <f t="shared" si="1"/>
        <v>#DIV/0!</v>
      </c>
      <c r="G17" s="1330"/>
      <c r="H17" s="1330"/>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3" t="str">
        <f>项目基本情况!S2</f>
        <v>北京市朝阳区霞光里15号楼1层102商铺用房房地产</v>
      </c>
      <c r="B2" s="3624"/>
      <c r="C2" s="3624"/>
      <c r="D2" s="3624"/>
      <c r="E2" s="3624"/>
      <c r="F2" s="3624"/>
      <c r="G2" s="3624"/>
      <c r="H2" s="3624"/>
      <c r="I2" s="3625"/>
    </row>
    <row r="3" spans="1:12" ht="12.75">
      <c r="A3" s="3627" t="s">
        <v>1264</v>
      </c>
      <c r="B3" s="3628"/>
      <c r="C3" s="3628"/>
      <c r="D3" s="3628"/>
      <c r="E3" s="3628"/>
      <c r="F3" s="3628"/>
      <c r="G3" s="3628"/>
      <c r="H3" s="3628"/>
      <c r="I3" s="3628"/>
    </row>
    <row r="4" spans="1:12" ht="14.25">
      <c r="A4" s="1753" t="s">
        <v>1265</v>
      </c>
      <c r="B4" s="1754" t="s">
        <v>1266</v>
      </c>
      <c r="C4" s="1755" t="s">
        <v>3484</v>
      </c>
      <c r="D4" s="1755" t="s">
        <v>3525</v>
      </c>
      <c r="E4" s="3629" t="s">
        <v>1267</v>
      </c>
      <c r="F4" s="3630"/>
      <c r="G4" s="3630"/>
      <c r="H4" s="3630"/>
      <c r="I4" s="363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3" t="s">
        <v>1268</v>
      </c>
      <c r="B5" s="3590">
        <v>25</v>
      </c>
      <c r="C5" s="3606"/>
      <c r="D5" s="3626"/>
      <c r="E5" s="131" t="s">
        <v>1269</v>
      </c>
      <c r="F5" s="1756"/>
      <c r="G5" s="1756"/>
      <c r="H5" s="1756"/>
      <c r="I5" s="1372"/>
    </row>
    <row r="6" spans="1:12" ht="12.75">
      <c r="A6" s="3603"/>
      <c r="B6" s="3590"/>
      <c r="C6" s="3607"/>
      <c r="D6" s="3626"/>
      <c r="E6" s="131" t="s">
        <v>1270</v>
      </c>
      <c r="F6" s="1756"/>
      <c r="G6" s="1756"/>
      <c r="H6" s="1756"/>
      <c r="I6" s="1372"/>
    </row>
    <row r="7" spans="1:12" ht="12.75">
      <c r="A7" s="3603"/>
      <c r="B7" s="3590"/>
      <c r="C7" s="3608"/>
      <c r="D7" s="3626"/>
      <c r="E7" s="131" t="s">
        <v>1271</v>
      </c>
      <c r="F7" s="1756"/>
      <c r="G7" s="1756"/>
      <c r="H7" s="1756"/>
      <c r="I7" s="1372"/>
    </row>
    <row r="8" spans="1:12" ht="12.75">
      <c r="A8" s="3603" t="s">
        <v>1272</v>
      </c>
      <c r="B8" s="3590">
        <v>15</v>
      </c>
      <c r="C8" s="3606"/>
      <c r="D8" s="3626"/>
      <c r="E8" s="131" t="s">
        <v>1273</v>
      </c>
      <c r="F8" s="1756"/>
      <c r="G8" s="1756"/>
      <c r="H8" s="1756"/>
      <c r="I8" s="1372"/>
    </row>
    <row r="9" spans="1:12" ht="12.75">
      <c r="A9" s="3603"/>
      <c r="B9" s="3590"/>
      <c r="C9" s="3608"/>
      <c r="D9" s="3626"/>
      <c r="E9" s="131" t="s">
        <v>1274</v>
      </c>
      <c r="F9" s="1756"/>
      <c r="G9" s="1756"/>
      <c r="H9" s="1756"/>
      <c r="I9" s="1372"/>
    </row>
    <row r="10" spans="1:12" ht="12.75">
      <c r="A10" s="3603" t="s">
        <v>1275</v>
      </c>
      <c r="B10" s="3590">
        <v>15</v>
      </c>
      <c r="C10" s="3606"/>
      <c r="D10" s="3626"/>
      <c r="E10" s="131" t="s">
        <v>1276</v>
      </c>
      <c r="F10" s="1756"/>
      <c r="G10" s="1756"/>
      <c r="H10" s="1756"/>
      <c r="I10" s="1372"/>
    </row>
    <row r="11" spans="1:12" ht="12.75">
      <c r="A11" s="3603"/>
      <c r="B11" s="3590"/>
      <c r="C11" s="3608"/>
      <c r="D11" s="3626"/>
      <c r="E11" s="131" t="s">
        <v>1277</v>
      </c>
      <c r="F11" s="1756"/>
      <c r="G11" s="1756"/>
      <c r="H11" s="1756"/>
      <c r="I11" s="1372"/>
    </row>
    <row r="12" spans="1:12" ht="12.75">
      <c r="A12" s="3603" t="s">
        <v>1278</v>
      </c>
      <c r="B12" s="3590">
        <v>15</v>
      </c>
      <c r="C12" s="3606"/>
      <c r="D12" s="3626"/>
      <c r="E12" s="131" t="s">
        <v>1279</v>
      </c>
      <c r="F12" s="1756"/>
      <c r="G12" s="1756"/>
      <c r="H12" s="1756"/>
      <c r="I12" s="1372"/>
    </row>
    <row r="13" spans="1:12" ht="12.75">
      <c r="A13" s="3603"/>
      <c r="B13" s="3590"/>
      <c r="C13" s="3608"/>
      <c r="D13" s="3626"/>
      <c r="E13" s="131" t="s">
        <v>1280</v>
      </c>
      <c r="F13" s="1756"/>
      <c r="G13" s="1756"/>
      <c r="H13" s="1756"/>
      <c r="I13" s="1372"/>
    </row>
    <row r="14" spans="1:12" ht="12.75">
      <c r="A14" s="3603" t="s">
        <v>1281</v>
      </c>
      <c r="B14" s="3590">
        <v>30</v>
      </c>
      <c r="C14" s="3606">
        <v>6</v>
      </c>
      <c r="D14" s="3626">
        <v>4</v>
      </c>
      <c r="E14" s="131" t="s">
        <v>1282</v>
      </c>
      <c r="F14" s="1756"/>
      <c r="G14" s="1756"/>
      <c r="H14" s="1756"/>
      <c r="I14" s="1372"/>
    </row>
    <row r="15" spans="1:12" ht="12.75">
      <c r="A15" s="3603"/>
      <c r="B15" s="3590"/>
      <c r="C15" s="3607"/>
      <c r="D15" s="3626"/>
      <c r="E15" s="131" t="s">
        <v>1283</v>
      </c>
      <c r="F15" s="1756"/>
      <c r="G15" s="1756"/>
      <c r="H15" s="1756"/>
      <c r="I15" s="1372"/>
    </row>
    <row r="16" spans="1:12" ht="12.75">
      <c r="A16" s="3603"/>
      <c r="B16" s="3590"/>
      <c r="C16" s="3608"/>
      <c r="D16" s="3626"/>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13" t="s">
        <v>2131</v>
      </c>
      <c r="F18" s="3614"/>
      <c r="G18" s="3614"/>
      <c r="H18" s="3614"/>
      <c r="I18" s="3614"/>
      <c r="K18" s="302" t="s">
        <v>1289</v>
      </c>
      <c r="L18" s="302">
        <f>IF(C1="",'数据-汇总表'!E3,SUMIF(项目类型,C1,'数据-汇总表'!E17:E26)+SUMIF(项目类型,C1,'数据-汇总表'!I17:I26))</f>
        <v>47.88</v>
      </c>
      <c r="M18" s="302">
        <f>IF(C1="",'数据-汇总表'!E3,SUMIF(项目类型,C1,'数据-汇总表'!E17:E26))</f>
        <v>47.88</v>
      </c>
    </row>
    <row r="19" spans="1:36" ht="15">
      <c r="A19" s="1760" t="s">
        <v>1290</v>
      </c>
      <c r="B19" s="1761" t="s">
        <v>1291</v>
      </c>
      <c r="C19" s="134">
        <f ca="1">SUMIF(INDIRECT("'"&amp;C4&amp;"'"&amp;"!A:A"),结果表!B19,INDIRECT("'"&amp;C4&amp;"'"&amp;"!B:B"))</f>
        <v>268.46319999999997</v>
      </c>
      <c r="D19" s="135">
        <f ca="1">SUMIF(INDIRECT("'"&amp;D4&amp;"'"&amp;"!A:A"),结果表!B19,INDIRECT("'"&amp;D4&amp;"'"&amp;"!B:B"))</f>
        <v>146.1533</v>
      </c>
      <c r="E19" s="1760" t="s">
        <v>1292</v>
      </c>
      <c r="F19" s="1761" t="s">
        <v>1291</v>
      </c>
      <c r="G19" s="136">
        <f ca="1">ROUND(C19*$C$18+D19*$D$18,0)</f>
        <v>220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56070</v>
      </c>
      <c r="D20" s="138">
        <f ca="1">SUMIF(INDIRECT("'"&amp;D4&amp;"'"&amp;"!A:A"),结果表!B20,INDIRECT("'"&amp;D4&amp;"'"&amp;"!B:B"))</f>
        <v>30525</v>
      </c>
      <c r="E20" s="1763"/>
      <c r="F20" s="1025" t="s">
        <v>1295</v>
      </c>
      <c r="G20" s="139">
        <f ca="1">ROUND(C20*$C$18+D20*$D$18,0)</f>
        <v>45852</v>
      </c>
      <c r="H20" s="807" t="s">
        <v>1296</v>
      </c>
      <c r="I20" s="129"/>
      <c r="J20" s="724">
        <v>38000</v>
      </c>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0.83686033774126178</v>
      </c>
      <c r="E22" s="129"/>
      <c r="F22" s="129"/>
      <c r="G22" s="129"/>
      <c r="H22" s="129"/>
      <c r="I22" s="129"/>
    </row>
    <row r="23" spans="1:36" ht="13.5" thickBot="1">
      <c r="A23" s="1746"/>
      <c r="B23" s="1746"/>
      <c r="C23" s="1746"/>
      <c r="D23" s="1746"/>
      <c r="E23" s="129"/>
      <c r="F23" s="129"/>
      <c r="G23" s="129"/>
      <c r="H23" s="129"/>
      <c r="I23" s="129"/>
    </row>
    <row r="24" spans="1:36" ht="14.25">
      <c r="A24" s="3597" t="s">
        <v>1299</v>
      </c>
      <c r="B24" s="1761" t="s">
        <v>1291</v>
      </c>
      <c r="C24" s="136">
        <f>IF(B30=0,0,D30)</f>
        <v>0</v>
      </c>
      <c r="D24" s="1768"/>
      <c r="E24" s="129"/>
      <c r="F24" s="129"/>
      <c r="G24" s="129"/>
      <c r="H24" s="129"/>
      <c r="I24" s="129"/>
    </row>
    <row r="25" spans="1:36" ht="14.25">
      <c r="A25" s="3598"/>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45852</v>
      </c>
      <c r="D32" s="1774" t="s">
        <v>3443</v>
      </c>
      <c r="E32" s="129"/>
      <c r="F32" s="129"/>
      <c r="G32" s="129"/>
      <c r="H32" s="129"/>
      <c r="I32" s="129"/>
    </row>
    <row r="33" spans="1:15" ht="15">
      <c r="A33" s="785" t="s">
        <v>1306</v>
      </c>
      <c r="B33" s="1775"/>
      <c r="C33" s="1776" t="s">
        <v>3444</v>
      </c>
      <c r="D33" s="1777" t="s">
        <v>3525</v>
      </c>
      <c r="E33" s="1778" t="s">
        <v>1307</v>
      </c>
      <c r="F33" s="1779" t="str">
        <f>IF(D32="楼面单价","取值（单价）","取值（总价）")</f>
        <v>取值（单价）</v>
      </c>
      <c r="G33" s="129"/>
      <c r="H33" s="129"/>
      <c r="I33" s="129"/>
    </row>
    <row r="34" spans="1:15" ht="15">
      <c r="A34" s="1780"/>
      <c r="B34" s="1781" t="s">
        <v>1308</v>
      </c>
      <c r="C34" s="148">
        <f ca="1">IF(C33="自定义",F34,C32-C35)</f>
        <v>6924</v>
      </c>
      <c r="D34" s="860">
        <f ca="1">IF(C33="自定义",ROUND(C34/C32,3),IF(C33="收益比率",SUMIF(INDIRECT("'"&amp;D33&amp;"'"&amp;"!b:b"),"土地收益比率",INDIRECT("'"&amp;D33&amp;"'"&amp;"!c:c")),SUMIF(INDIRECT("'"&amp;D33&amp;"'"&amp;"!b:b"),"土地成本比率",INDIRECT("'"&amp;D33&amp;"'"&amp;"!c:c"))))</f>
        <v>0.15100000000000002</v>
      </c>
      <c r="E34" s="1782" t="s">
        <v>1309</v>
      </c>
      <c r="F34" s="1329"/>
      <c r="G34" s="129"/>
      <c r="H34" s="129"/>
      <c r="I34" s="129"/>
    </row>
    <row r="35" spans="1:15" ht="15.75" thickBot="1">
      <c r="A35" s="1783"/>
      <c r="B35" s="1784" t="s">
        <v>1310</v>
      </c>
      <c r="C35" s="1169">
        <f ca="1">IF(C33="自定义",F35,ROUND(C32*D35,0))</f>
        <v>38928</v>
      </c>
      <c r="D35" s="1170">
        <f ca="1">IF(C33="自定义",ROUND(C35/C32,3),IF(C33="收益比率",SUMIF(INDIRECT("'"&amp;D33&amp;"'"&amp;"!b:b"),"建筑物收益比率",INDIRECT("'"&amp;D33&amp;"'"&amp;"!c:c")),SUMIF(INDIRECT("'"&amp;D33&amp;"'"&amp;"!b:b"),"建筑物成本比率",INDIRECT("'"&amp;D33&amp;"'"&amp;"!c:c"))))</f>
        <v>0.84899999999999998</v>
      </c>
      <c r="E35" s="1785" t="s">
        <v>1311</v>
      </c>
      <c r="F35" s="154"/>
      <c r="G35" s="129"/>
      <c r="H35" s="129"/>
      <c r="I35" s="129"/>
    </row>
    <row r="36" spans="1:15" ht="15.75" thickBot="1">
      <c r="A36" s="3617" t="s">
        <v>1312</v>
      </c>
      <c r="B36" s="1786" t="s">
        <v>1313</v>
      </c>
      <c r="C36" s="145"/>
      <c r="D36" s="1787"/>
      <c r="E36" s="1788"/>
      <c r="F36" s="1789"/>
      <c r="G36" s="129"/>
      <c r="H36" s="129"/>
      <c r="I36" s="129"/>
    </row>
    <row r="37" spans="1:15" ht="15.75" thickBot="1">
      <c r="A37" s="3618"/>
      <c r="B37" s="1673" t="s">
        <v>1314</v>
      </c>
      <c r="C37" s="147"/>
      <c r="D37" s="1138"/>
      <c r="E37" s="1138"/>
      <c r="F37" s="1789"/>
      <c r="G37" s="129"/>
      <c r="H37" s="129"/>
      <c r="I37" s="129"/>
    </row>
    <row r="38" spans="1:15" ht="15.75" thickBot="1">
      <c r="A38" s="3619"/>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94" t="s">
        <v>1326</v>
      </c>
      <c r="B45" s="3595"/>
      <c r="C45" s="3596"/>
      <c r="D45" s="155">
        <f ca="1">ROUND(H101*F45,0)</f>
        <v>220</v>
      </c>
      <c r="E45" s="156" t="s">
        <v>1327</v>
      </c>
      <c r="F45" s="157">
        <v>1</v>
      </c>
      <c r="G45" s="158" t="s">
        <v>1328</v>
      </c>
      <c r="H45" s="129"/>
      <c r="I45" s="129"/>
      <c r="J45" s="3672" t="s">
        <v>1329</v>
      </c>
      <c r="K45" s="3672"/>
      <c r="L45" s="3672"/>
      <c r="M45" s="3672"/>
      <c r="N45" s="3672"/>
      <c r="O45" s="3672"/>
    </row>
    <row r="46" spans="1:15" ht="14.25" customHeight="1">
      <c r="A46" s="3591" t="s">
        <v>1330</v>
      </c>
      <c r="B46" s="3592"/>
      <c r="C46" s="3592"/>
      <c r="D46" s="3592"/>
      <c r="E46" s="3592"/>
      <c r="F46" s="3592"/>
      <c r="G46" s="3593"/>
      <c r="H46" s="1805"/>
      <c r="I46" s="159"/>
      <c r="J46" s="2522">
        <v>1</v>
      </c>
      <c r="K46" s="3653" t="s">
        <v>1331</v>
      </c>
      <c r="L46" s="3653"/>
      <c r="M46" s="3673"/>
      <c r="N46" s="3673"/>
      <c r="O46" s="3673"/>
    </row>
    <row r="47" spans="1:15" ht="12" customHeight="1">
      <c r="A47" s="160" t="s">
        <v>1332</v>
      </c>
      <c r="B47" s="161"/>
      <c r="C47" s="162"/>
      <c r="D47" s="1086" t="s">
        <v>1333</v>
      </c>
      <c r="E47" s="302" t="s">
        <v>1334</v>
      </c>
      <c r="F47" s="163" t="s">
        <v>1335</v>
      </c>
      <c r="G47" s="2545" t="s">
        <v>1336</v>
      </c>
      <c r="H47" s="2546"/>
      <c r="I47" s="159"/>
      <c r="J47" s="2522">
        <v>2</v>
      </c>
      <c r="K47" s="3653" t="s">
        <v>1337</v>
      </c>
      <c r="L47" s="3653"/>
      <c r="M47" s="3674">
        <f>'数据-取费表'!B2</f>
        <v>45821</v>
      </c>
      <c r="N47" s="3674"/>
      <c r="O47" s="3674"/>
    </row>
    <row r="48" spans="1:15" ht="25.5">
      <c r="A48" s="3622" t="s">
        <v>1338</v>
      </c>
      <c r="B48" s="3605"/>
      <c r="C48" s="3605"/>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53" t="s">
        <v>1340</v>
      </c>
      <c r="L48" s="3653"/>
      <c r="M48" s="3675">
        <f ca="1">H101</f>
        <v>220</v>
      </c>
      <c r="N48" s="3675"/>
      <c r="O48" s="3675"/>
    </row>
    <row r="49" spans="1:35" ht="25.5" customHeight="1">
      <c r="A49" s="2332" t="s">
        <v>1341</v>
      </c>
      <c r="B49" s="3589" t="s">
        <v>1342</v>
      </c>
      <c r="C49" s="3589"/>
      <c r="D49" s="1589">
        <v>0</v>
      </c>
      <c r="E49" s="324" t="s">
        <v>1343</v>
      </c>
      <c r="F49" s="2423" t="s">
        <v>28</v>
      </c>
      <c r="G49" s="3659"/>
      <c r="H49" s="2309" t="s">
        <v>2134</v>
      </c>
      <c r="I49" s="2310"/>
      <c r="J49" s="2522">
        <v>4</v>
      </c>
      <c r="K49" s="3653" t="str">
        <f>IF(项目基本情况!E8="房地产抵押价值","房地产抵押价值","抵押担保权已注销时的房地产抵押价值")</f>
        <v>房地产抵押价值</v>
      </c>
      <c r="L49" s="3653"/>
      <c r="M49" s="3675">
        <f ca="1">IF(项目基本情况!E8="房地产抵押价值",H107,H109)</f>
        <v>220</v>
      </c>
      <c r="N49" s="3675"/>
      <c r="O49" s="3675"/>
    </row>
    <row r="50" spans="1:35" ht="25.5" customHeight="1">
      <c r="A50" s="2550"/>
      <c r="B50" s="3589" t="s">
        <v>1344</v>
      </c>
      <c r="C50" s="3589"/>
      <c r="D50" s="2551"/>
      <c r="E50" s="332"/>
      <c r="F50" s="2423"/>
      <c r="G50" s="3660"/>
      <c r="H50" s="2311" t="s">
        <v>2135</v>
      </c>
      <c r="I50" s="2310"/>
      <c r="J50" s="3672" t="s">
        <v>1345</v>
      </c>
      <c r="K50" s="3672"/>
      <c r="L50" s="3672"/>
      <c r="M50" s="3672"/>
      <c r="N50" s="3672"/>
      <c r="O50" s="3672"/>
    </row>
    <row r="51" spans="1:35" ht="20.45" customHeight="1">
      <c r="A51" s="2552"/>
      <c r="B51" s="3589" t="s">
        <v>1346</v>
      </c>
      <c r="C51" s="3589"/>
      <c r="D51" s="1086"/>
      <c r="E51" s="327"/>
      <c r="F51" s="2423"/>
      <c r="G51" s="3661"/>
      <c r="H51" s="2311" t="s">
        <v>2136</v>
      </c>
      <c r="I51" s="2310"/>
      <c r="J51" s="2523" t="s">
        <v>1347</v>
      </c>
      <c r="K51" s="3653" t="s">
        <v>1348</v>
      </c>
      <c r="L51" s="3653"/>
      <c r="M51" s="2523" t="s">
        <v>1349</v>
      </c>
      <c r="N51" s="2523" t="s">
        <v>1350</v>
      </c>
      <c r="O51" s="2523" t="s">
        <v>1351</v>
      </c>
    </row>
    <row r="52" spans="1:35" ht="24" customHeight="1">
      <c r="A52" s="2334" t="s">
        <v>1352</v>
      </c>
      <c r="B52" s="3589" t="s">
        <v>1353</v>
      </c>
      <c r="C52" s="3589"/>
      <c r="D52" s="1086">
        <f ca="1">ROUND(D45*'数据-取费表'!B41/(1+'数据-取费表'!C42),0)</f>
        <v>12</v>
      </c>
      <c r="E52" s="2333" t="s">
        <v>1354</v>
      </c>
      <c r="F52" s="2553">
        <f>'数据-取费表'!B41</f>
        <v>5.6000000000000001E-2</v>
      </c>
      <c r="G52" s="2554"/>
      <c r="H52" s="2543"/>
      <c r="I52" s="1806"/>
      <c r="J52" s="2522">
        <v>1</v>
      </c>
      <c r="K52" s="3654" t="s">
        <v>1355</v>
      </c>
      <c r="L52" s="3654"/>
      <c r="M52" s="2524" t="b">
        <f>D48</f>
        <v>0</v>
      </c>
      <c r="N52" s="2522" t="str">
        <f>E48</f>
        <v>销售额×税（费）率</v>
      </c>
      <c r="O52" s="2525">
        <f>F48</f>
        <v>5.6000000000000001E-2</v>
      </c>
    </row>
    <row r="53" spans="1:35" ht="12" customHeight="1">
      <c r="A53" s="2334" t="s">
        <v>1356</v>
      </c>
      <c r="B53" s="3615" t="s">
        <v>2291</v>
      </c>
      <c r="C53" s="3616"/>
      <c r="D53" s="1086">
        <f ca="1">ROUND(D45*'数据-取费表'!B41/(1+'数据-取费表'!C42),0)</f>
        <v>12</v>
      </c>
      <c r="E53" s="2333" t="s">
        <v>1354</v>
      </c>
      <c r="F53" s="2553">
        <f>'数据-取费表'!B41</f>
        <v>5.6000000000000001E-2</v>
      </c>
      <c r="G53" s="2554"/>
      <c r="H53" s="2543"/>
      <c r="I53" s="1806"/>
      <c r="J53" s="2522">
        <v>2</v>
      </c>
      <c r="K53" s="3654" t="s">
        <v>1357</v>
      </c>
      <c r="L53" s="3654"/>
      <c r="M53" s="2524">
        <f t="shared" ref="M53:O54" ca="1" si="0">D55</f>
        <v>0</v>
      </c>
      <c r="N53" s="2522" t="str">
        <f t="shared" si="0"/>
        <v>销售额×税（费）率</v>
      </c>
      <c r="O53" s="2525" t="str">
        <f t="shared" si="0"/>
        <v>免征</v>
      </c>
    </row>
    <row r="54" spans="1:35" ht="12" customHeight="1">
      <c r="A54" s="2334" t="s">
        <v>1358</v>
      </c>
      <c r="B54" s="3615" t="s">
        <v>2292</v>
      </c>
      <c r="C54" s="3616"/>
      <c r="D54" s="1086">
        <f ca="1">C68</f>
        <v>12</v>
      </c>
      <c r="E54" s="327" t="s">
        <v>1359</v>
      </c>
      <c r="F54" s="2553">
        <f>'数据-取费表'!B41</f>
        <v>5.6000000000000001E-2</v>
      </c>
      <c r="G54" s="2554"/>
      <c r="H54" s="2555"/>
      <c r="I54" s="1806"/>
      <c r="J54" s="2522">
        <v>3</v>
      </c>
      <c r="K54" s="3654" t="s">
        <v>1360</v>
      </c>
      <c r="L54" s="3654"/>
      <c r="M54" s="2524">
        <f t="shared" ca="1" si="0"/>
        <v>125</v>
      </c>
      <c r="N54" s="2522" t="str">
        <f t="shared" si="0"/>
        <v>增值额×税（费）率</v>
      </c>
      <c r="O54" s="2526" t="str">
        <f t="shared" si="0"/>
        <v>免征</v>
      </c>
    </row>
    <row r="55" spans="1:35" ht="24" customHeight="1">
      <c r="A55" s="3604" t="s">
        <v>1361</v>
      </c>
      <c r="B55" s="3605"/>
      <c r="C55" s="3605"/>
      <c r="D55" s="2323">
        <f ca="1">IF(H55="个人住宅",0,ROUND(D45*I55,0))</f>
        <v>0</v>
      </c>
      <c r="E55" s="2333" t="s">
        <v>1362</v>
      </c>
      <c r="F55" s="2553" t="str">
        <f>IF(H55="正常",I55,"免征")</f>
        <v>免征</v>
      </c>
      <c r="G55" s="2554"/>
      <c r="H55" s="2549"/>
      <c r="I55" s="165">
        <f>'数据-取费表'!B49</f>
        <v>5.0000000000000001E-4</v>
      </c>
      <c r="J55" s="2522">
        <f>IF(H59="非个人房产","",4)</f>
        <v>4</v>
      </c>
      <c r="K55" s="3654" t="str">
        <f>IF(H59="非个人房产","——","个人所得税")</f>
        <v>个人所得税</v>
      </c>
      <c r="L55" s="3654"/>
      <c r="M55" s="2527">
        <f ca="1">D59</f>
        <v>2</v>
      </c>
      <c r="N55" s="2039" t="str">
        <f>E59</f>
        <v>差额计税</v>
      </c>
      <c r="O55" s="2528">
        <f>F59</f>
        <v>0.01</v>
      </c>
    </row>
    <row r="56" spans="1:35" ht="24.75">
      <c r="A56" s="3604" t="s">
        <v>1363</v>
      </c>
      <c r="B56" s="3605"/>
      <c r="C56" s="3605"/>
      <c r="D56" s="2323">
        <f ca="1">IF(H56="个人住宅",D57,D58)</f>
        <v>125</v>
      </c>
      <c r="E56" s="2333" t="s">
        <v>1364</v>
      </c>
      <c r="F56" s="2553" t="str">
        <f>IF(H56="正常",F58,"免征")</f>
        <v>免征</v>
      </c>
      <c r="G56" s="2556" t="s">
        <v>1365</v>
      </c>
      <c r="H56" s="2557"/>
      <c r="I56" s="1807"/>
      <c r="J56" s="2522" t="str">
        <f>IF(项目基本情况!K6="上海银行",IF(J55="",4,J55+1),"")</f>
        <v/>
      </c>
      <c r="K56" s="3677" t="str">
        <f>IF(项目基本情况!K6="上海银行","其他处置费用","")</f>
        <v/>
      </c>
      <c r="L56" s="3678"/>
      <c r="M56" s="2524" t="str">
        <f>IF(项目基本情况!K6="上海银行",M69,"")</f>
        <v/>
      </c>
      <c r="N56" s="3677" t="str">
        <f>IF(项目基本情况!K6="上海银行","包含处置中涉及的律师、诉讼、拍卖、评估等费用","")</f>
        <v/>
      </c>
      <c r="O56" s="3680"/>
    </row>
    <row r="57" spans="1:35" ht="12.75">
      <c r="A57" s="2334" t="s">
        <v>1341</v>
      </c>
      <c r="B57" s="3615" t="s">
        <v>1366</v>
      </c>
      <c r="C57" s="3616"/>
      <c r="D57" s="1589">
        <v>0</v>
      </c>
      <c r="E57" s="324" t="s">
        <v>1343</v>
      </c>
      <c r="F57" s="302"/>
      <c r="G57" s="2554"/>
      <c r="H57" s="2558"/>
      <c r="I57" s="1807"/>
      <c r="J57" s="3654">
        <f>IF(AND(J55="",J56=""),4,IF(项目基本情况!K6="上海银行",结果表!J56+1,结果表!J55+1))</f>
        <v>5</v>
      </c>
      <c r="K57" s="3654" t="s">
        <v>1367</v>
      </c>
      <c r="L57" s="2529" t="s">
        <v>1368</v>
      </c>
      <c r="M57" s="2530"/>
      <c r="N57" s="2531">
        <f ca="1">SUMIF(M52:M56,"&lt;9e307")</f>
        <v>127</v>
      </c>
      <c r="O57" s="2532"/>
      <c r="P57" s="2688">
        <f ca="1">N57/M49</f>
        <v>0.57727272727272727</v>
      </c>
    </row>
    <row r="58" spans="1:35" ht="24.75">
      <c r="A58" s="2334" t="s">
        <v>1352</v>
      </c>
      <c r="B58" s="3615" t="s">
        <v>1369</v>
      </c>
      <c r="C58" s="3589"/>
      <c r="D58" s="2323">
        <f ca="1">IF(H58="转让取得",C81,C97)</f>
        <v>125</v>
      </c>
      <c r="E58" s="2333" t="s">
        <v>1364</v>
      </c>
      <c r="F58" s="302" t="s">
        <v>28</v>
      </c>
      <c r="G58" s="2554"/>
      <c r="H58" s="2557"/>
      <c r="I58" s="1807"/>
      <c r="J58" s="3654"/>
      <c r="K58" s="3654"/>
      <c r="L58" s="2529" t="s">
        <v>1370</v>
      </c>
      <c r="M58" s="2533"/>
      <c r="N58" s="2534" t="str">
        <f ca="1">NUMBERSTRING(INT(N57*10000),2)&amp;"元整"</f>
        <v>壹佰贰拾柒万元整</v>
      </c>
      <c r="O58" s="2535"/>
    </row>
    <row r="59" spans="1:35" ht="24.75" thickBot="1">
      <c r="A59" s="3657" t="s">
        <v>1371</v>
      </c>
      <c r="B59" s="3658"/>
      <c r="C59" s="3658"/>
      <c r="D59" s="2559">
        <f ca="1">IF(H59="非个人房产","——",IF(H59="个人住宅（满五唯一有凭证）",0,IF(H59="个人其他（无凭证）",ROUND(D45*F59,0),ROUND(C67*F59,0))))</f>
        <v>2</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55">
        <f>J57+1</f>
        <v>6</v>
      </c>
      <c r="K59" s="3654" t="s">
        <v>1372</v>
      </c>
      <c r="L59" s="2522" t="s">
        <v>1368</v>
      </c>
      <c r="M59" s="2536"/>
      <c r="N59" s="2537">
        <f ca="1">M49-N57</f>
        <v>93</v>
      </c>
      <c r="O59" s="2538"/>
    </row>
    <row r="60" spans="1:35" ht="12" customHeight="1">
      <c r="A60" s="1808"/>
      <c r="B60" s="1746"/>
      <c r="C60" s="1746"/>
      <c r="D60" s="1746"/>
      <c r="E60" s="1577"/>
      <c r="F60" s="1807"/>
      <c r="G60" s="1807"/>
      <c r="H60" s="1809"/>
      <c r="I60" s="129"/>
      <c r="J60" s="3656"/>
      <c r="K60" s="3654"/>
      <c r="L60" s="2529" t="s">
        <v>1370</v>
      </c>
      <c r="M60" s="2533"/>
      <c r="N60" s="2534" t="str">
        <f ca="1">NUMBERSTRING(INT(N59*10000),2)&amp;"元整"</f>
        <v>玖拾叁万元整</v>
      </c>
      <c r="O60" s="2535"/>
    </row>
    <row r="61" spans="1:35" ht="13.5" thickBot="1">
      <c r="A61" s="3602" t="s">
        <v>1373</v>
      </c>
      <c r="B61" s="3602"/>
      <c r="C61" s="3602"/>
      <c r="D61" s="3602"/>
      <c r="E61" s="3602"/>
      <c r="F61" s="1807"/>
      <c r="G61" s="1807"/>
      <c r="H61" s="1809"/>
      <c r="I61" s="129"/>
      <c r="J61" s="2522">
        <f>J59+1</f>
        <v>7</v>
      </c>
      <c r="K61" s="3654" t="s">
        <v>1374</v>
      </c>
      <c r="L61" s="3654"/>
      <c r="M61" s="2539"/>
      <c r="N61" s="2540">
        <f ca="1">ROUND(N59*10000/'数据-汇总表'!E3,0)</f>
        <v>19424</v>
      </c>
      <c r="O61" s="2541"/>
    </row>
    <row r="62" spans="1:35" ht="12.75">
      <c r="A62" s="3620" t="s">
        <v>1375</v>
      </c>
      <c r="B62" s="3621"/>
      <c r="C62" s="2020"/>
      <c r="D62" s="2020" t="s">
        <v>1376</v>
      </c>
      <c r="E62" s="166" t="s">
        <v>1377</v>
      </c>
      <c r="F62" s="1807"/>
      <c r="G62" s="1807"/>
      <c r="H62" s="1809"/>
      <c r="I62" s="129"/>
    </row>
    <row r="63" spans="1:35" ht="12.75">
      <c r="A63" s="173" t="s">
        <v>330</v>
      </c>
      <c r="B63" s="167" t="s">
        <v>1378</v>
      </c>
      <c r="C63" s="2563">
        <f ca="1">ROUND((C64+C65)/(1+'数据-取费表'!C42),0)</f>
        <v>210</v>
      </c>
      <c r="D63" s="167"/>
      <c r="E63" s="168"/>
      <c r="F63" s="1807"/>
      <c r="G63" s="1807"/>
      <c r="H63" s="1809"/>
      <c r="I63" s="129"/>
      <c r="J63" s="3679" t="s">
        <v>1379</v>
      </c>
      <c r="K63" s="1331" t="s">
        <v>1380</v>
      </c>
      <c r="L63" s="1331">
        <f ca="1">IF(M49&gt;10000,M49*0.5%,IF(AND(M49&gt;1000,M49&lt;=10000),M49*1%,IF(AND(M49&gt;100,M49&lt;=1000),M49*3%,IF(AND(M49&gt;10,M49&lt;=100),M49*5%,M49*8%))))</f>
        <v>6.6</v>
      </c>
      <c r="M63" s="302">
        <f ca="1">ROUND(L63,1)</f>
        <v>6.6</v>
      </c>
      <c r="N63" s="2542"/>
      <c r="Z63" s="1751"/>
      <c r="AI63" s="1752"/>
    </row>
    <row r="64" spans="1:35" ht="14.25" customHeight="1">
      <c r="A64" s="169" t="s">
        <v>325</v>
      </c>
      <c r="B64" s="170" t="s">
        <v>1381</v>
      </c>
      <c r="C64" s="2564">
        <f ca="1">D45</f>
        <v>220</v>
      </c>
      <c r="D64" s="170" t="s">
        <v>26</v>
      </c>
      <c r="E64" s="172"/>
      <c r="F64" s="1807"/>
      <c r="G64" s="1807"/>
      <c r="H64" s="1809"/>
      <c r="I64" s="129"/>
      <c r="J64" s="3679"/>
      <c r="K64" s="1331" t="s">
        <v>1382</v>
      </c>
      <c r="L64" s="1331">
        <f ca="1">IF(M49&gt;2000,M49*0.5%,IF(AND(M49&gt;1000,M49&lt;=2000),M49*0.6%,IF(AND(M49&gt;500,M49&lt;=1000),M49*0.7%,IF(AND(M49&gt;200,M49&lt;=500),M49*0.8%,IF(AND(M49&gt;100,M49&lt;=200),M49*0.9%,IF(AND(M49&gt;50,M49&lt;=100),M49*1%,IF(AND(M49&gt;20,M49&lt;=50),M49*1.5%,IF(AND(M49&gt;10,M49&lt;=20),M49*2%,IF(AND(M49&gt;1,M49&lt;=10),M49*2.5%)))))))))</f>
        <v>1.76</v>
      </c>
      <c r="M64" s="302">
        <f t="shared" ref="M64:M65" ca="1" si="1">ROUND(L64,1)</f>
        <v>1.8</v>
      </c>
      <c r="N64" s="2543" t="s">
        <v>1383</v>
      </c>
      <c r="Z64" s="1751"/>
      <c r="AI64" s="1752"/>
    </row>
    <row r="65" spans="1:35" ht="14.25" customHeight="1">
      <c r="A65" s="169" t="s">
        <v>326</v>
      </c>
      <c r="B65" s="170" t="s">
        <v>1384</v>
      </c>
      <c r="C65" s="2565"/>
      <c r="D65" s="170"/>
      <c r="E65" s="172"/>
      <c r="F65" s="1807"/>
      <c r="G65" s="1807"/>
      <c r="H65" s="1809"/>
      <c r="I65" s="129"/>
      <c r="J65" s="3679"/>
      <c r="K65" s="1331" t="s">
        <v>1385</v>
      </c>
      <c r="L65" s="1331">
        <f ca="1">IF(M49&gt;1000,M49*0.1%,IF(AND(M49&gt;500,M49&lt;=1000),M49*0.5%,IF(AND(M49&gt;50,M49&lt;=500),M49*1%,IF(AND(M49&gt;1,M49&lt;=50),M49*1.5%))))</f>
        <v>2.2000000000000002</v>
      </c>
      <c r="M65" s="302">
        <f t="shared" ca="1" si="1"/>
        <v>2.2000000000000002</v>
      </c>
      <c r="N65" s="2543" t="s">
        <v>1383</v>
      </c>
      <c r="Z65" s="1751"/>
      <c r="AI65" s="1752"/>
    </row>
    <row r="66" spans="1:35" ht="14.25" customHeight="1">
      <c r="A66" s="173" t="s">
        <v>327</v>
      </c>
      <c r="B66" s="174" t="s">
        <v>1386</v>
      </c>
      <c r="C66" s="2566"/>
      <c r="D66" s="174" t="s">
        <v>26</v>
      </c>
      <c r="E66" s="1337" t="s">
        <v>671</v>
      </c>
      <c r="F66" s="1807"/>
      <c r="G66" s="1807"/>
      <c r="H66" s="1809"/>
      <c r="I66" s="129"/>
      <c r="J66" s="3679"/>
      <c r="K66" s="1331" t="s">
        <v>1387</v>
      </c>
      <c r="L66" s="1331">
        <f ca="1">M49*0.5%</f>
        <v>1.1000000000000001</v>
      </c>
      <c r="M66" s="302">
        <f ca="1">IF(L66&gt;0.5,0.5,ROUND(L66,0))</f>
        <v>0.5</v>
      </c>
      <c r="N66" s="2543" t="s">
        <v>1388</v>
      </c>
      <c r="Z66" s="1751"/>
      <c r="AI66" s="1752"/>
    </row>
    <row r="67" spans="1:35" ht="14.25" customHeight="1">
      <c r="A67" s="173" t="s">
        <v>328</v>
      </c>
      <c r="B67" s="174" t="s">
        <v>1389</v>
      </c>
      <c r="C67" s="2567">
        <f ca="1">C63-C66</f>
        <v>210</v>
      </c>
      <c r="D67" s="170" t="s">
        <v>26</v>
      </c>
      <c r="E67" s="172"/>
      <c r="F67" s="1807"/>
      <c r="G67" s="1807"/>
      <c r="H67" s="1809"/>
      <c r="I67" s="129"/>
      <c r="J67" s="3679"/>
      <c r="K67" s="1331" t="s">
        <v>1390</v>
      </c>
      <c r="L67" s="1331">
        <f ca="1">IF(M49&gt;=10000,(8.25+(M49-10000)*0.01%),IF(AND(M49&gt;=8000,M49&lt;10000),(7.85+(M49-8000)*0.02%),IF(AND(M49&gt;=5000,M49&lt;8000),(6.65+(M49-5000)*0.04%),IF(AND(M49&gt;=2000,M49&lt;5000),(4.25+(PM49-2000)*0.08%),IF(AND(M49&gt;=1000,M49&lt;2000),(2.75+(M49-1000)*0.15%),IF(AND(M49&gt;=100,M49&lt;1000),(0.5+(M49-100)*0.25%),IF(AND(M49&gt;0,M49&lt;100),M49*0.5%)))))))</f>
        <v>0.8</v>
      </c>
      <c r="M67" s="302">
        <f ca="1">ROUND(L67*0.9,1)</f>
        <v>0.7</v>
      </c>
      <c r="N67" s="2542"/>
      <c r="Z67" s="1751"/>
      <c r="AI67" s="1752"/>
    </row>
    <row r="68" spans="1:35" ht="14.25" customHeight="1" thickBot="1">
      <c r="A68" s="176" t="s">
        <v>329</v>
      </c>
      <c r="B68" s="177" t="s">
        <v>1391</v>
      </c>
      <c r="C68" s="2568">
        <f ca="1">IF(C67&lt;=0,0,ROUND(C67*D68,0))</f>
        <v>12</v>
      </c>
      <c r="D68" s="2569">
        <f>'数据-取费表'!B41</f>
        <v>5.6000000000000001E-2</v>
      </c>
      <c r="E68" s="178"/>
      <c r="F68" s="1807"/>
      <c r="G68" s="1807"/>
      <c r="H68" s="1809"/>
      <c r="I68" s="129"/>
      <c r="J68" s="3679"/>
      <c r="K68" s="1331" t="s">
        <v>1392</v>
      </c>
      <c r="L68" s="1331">
        <f ca="1">IF(M49&gt;10000,M49*0.5%,IF(AND(M49&gt;5000,M49&lt;=10000),M49*1%,IF(AND(M49&gt;1000,M49&lt;=5000),M49*2%,IF(AND(M49&gt;200,M49&lt;=1000),M49*3%,M49*5%))))</f>
        <v>6.6</v>
      </c>
      <c r="M68" s="302">
        <f ca="1">ROUND(L68,1)</f>
        <v>6.6</v>
      </c>
      <c r="N68" s="2542"/>
      <c r="Z68" s="1751"/>
      <c r="AI68" s="1752"/>
    </row>
    <row r="69" spans="1:35" s="1771" customFormat="1" ht="16.5" customHeight="1">
      <c r="A69" s="1810"/>
      <c r="B69" s="1811"/>
      <c r="C69" s="1812"/>
      <c r="D69" s="1813"/>
      <c r="E69" s="1814"/>
      <c r="F69" s="1577"/>
      <c r="G69" s="1577"/>
      <c r="H69" s="1576"/>
      <c r="I69" s="1746"/>
      <c r="J69" s="3679"/>
      <c r="K69" s="1331" t="s">
        <v>1393</v>
      </c>
      <c r="L69" s="1331"/>
      <c r="M69" s="302">
        <f ca="1">ROUND(SUM(M63:M68),0)</f>
        <v>18</v>
      </c>
      <c r="N69" s="2544">
        <f ca="1">M69/M49</f>
        <v>8.1818181818181818E-2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41" t="s">
        <v>1394</v>
      </c>
      <c r="B70" s="3642"/>
      <c r="C70" s="3642"/>
      <c r="D70" s="3642"/>
      <c r="E70" s="3642"/>
      <c r="F70" s="3642"/>
      <c r="G70" s="3642"/>
      <c r="H70" s="3642"/>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0" t="s">
        <v>1375</v>
      </c>
      <c r="B71" s="3621"/>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210</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15" t="s">
        <v>1402</v>
      </c>
      <c r="F76" s="3589"/>
      <c r="G76" s="3589"/>
      <c r="H76" s="364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v>
      </c>
      <c r="D78" s="2576">
        <f>'数据-取费表'!B43</f>
        <v>6.000000000000001E-3</v>
      </c>
      <c r="E78" s="3599" t="s">
        <v>1406</v>
      </c>
      <c r="F78" s="3600"/>
      <c r="G78" s="3600"/>
      <c r="H78" s="360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209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209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125</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1" t="s">
        <v>1410</v>
      </c>
      <c r="B83" s="3642"/>
      <c r="C83" s="3642"/>
      <c r="D83" s="3642"/>
      <c r="E83" s="3642"/>
      <c r="F83" s="3642"/>
      <c r="G83" s="3642"/>
      <c r="H83" s="364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0" t="s">
        <v>1375</v>
      </c>
      <c r="B84" s="3621"/>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210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81" t="s">
        <v>2129</v>
      </c>
      <c r="H90" s="3682"/>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99" t="s">
        <v>1419</v>
      </c>
      <c r="F91" s="3600"/>
      <c r="G91" s="360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99" t="s">
        <v>1422</v>
      </c>
      <c r="F92" s="3600"/>
      <c r="G92" s="3600"/>
      <c r="H92" s="3609"/>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v>
      </c>
      <c r="D93" s="2576">
        <f>'数据-取费表'!B43</f>
        <v>6.000000000000001E-3</v>
      </c>
      <c r="E93" s="3599" t="s">
        <v>1406</v>
      </c>
      <c r="F93" s="3600"/>
      <c r="G93" s="3600"/>
      <c r="H93" s="360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10" t="s">
        <v>1426</v>
      </c>
      <c r="F94" s="3611"/>
      <c r="G94" s="3611"/>
      <c r="H94" s="361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209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209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125</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83" t="s">
        <v>1428</v>
      </c>
      <c r="B100" s="3584"/>
      <c r="C100" s="3584"/>
      <c r="D100" s="3601"/>
      <c r="E100" s="3584" t="s">
        <v>1429</v>
      </c>
      <c r="F100" s="3584"/>
      <c r="G100" s="3584"/>
      <c r="H100" s="3601"/>
      <c r="I100" s="129"/>
    </row>
    <row r="101" spans="1:35" ht="18.75" customHeight="1">
      <c r="A101" s="3662" t="s">
        <v>1430</v>
      </c>
      <c r="B101" s="3663"/>
      <c r="C101" s="2584" t="str">
        <f>C4</f>
        <v>比较法-商业</v>
      </c>
      <c r="D101" s="2585" t="str">
        <f>D4</f>
        <v>收益法 (元)</v>
      </c>
      <c r="E101" s="3676" t="s">
        <v>1431</v>
      </c>
      <c r="F101" s="3633"/>
      <c r="G101" s="1826" t="s">
        <v>1432</v>
      </c>
      <c r="H101" s="2594">
        <f ca="1">H118</f>
        <v>220</v>
      </c>
      <c r="I101" s="129"/>
    </row>
    <row r="102" spans="1:35" ht="18.75" customHeight="1">
      <c r="A102" s="3635" t="s">
        <v>1433</v>
      </c>
      <c r="B102" s="2583" t="s">
        <v>1432</v>
      </c>
      <c r="C102" s="2584">
        <f ca="1">IF(D32="楼面单价",ROUND(C19,0),C19)</f>
        <v>268</v>
      </c>
      <c r="D102" s="2585">
        <f ca="1">IF(D32="楼面单价",ROUND(D19,0),D19)</f>
        <v>146</v>
      </c>
      <c r="E102" s="3676"/>
      <c r="F102" s="3633"/>
      <c r="G102" s="1826" t="s">
        <v>1434</v>
      </c>
      <c r="H102" s="2554">
        <f ca="1">I118</f>
        <v>45852</v>
      </c>
      <c r="I102" s="129"/>
    </row>
    <row r="103" spans="1:35" ht="42.75" customHeight="1">
      <c r="A103" s="3635"/>
      <c r="B103" s="2583" t="s">
        <v>1434</v>
      </c>
      <c r="C103" s="2586">
        <f ca="1">C20</f>
        <v>56070</v>
      </c>
      <c r="D103" s="2587">
        <f ca="1">D20</f>
        <v>30525</v>
      </c>
      <c r="E103" s="3670" t="s">
        <v>1435</v>
      </c>
      <c r="F103" s="3671"/>
      <c r="G103" s="1827" t="s">
        <v>1436</v>
      </c>
      <c r="H103" s="2594">
        <f>IF(D36="正常操作",H104+H105+H106,H105+H106)</f>
        <v>0</v>
      </c>
      <c r="I103" s="129"/>
    </row>
    <row r="104" spans="1:35" ht="18.75" customHeight="1">
      <c r="A104" s="3635" t="s">
        <v>1437</v>
      </c>
      <c r="B104" s="2588" t="s">
        <v>1432</v>
      </c>
      <c r="C104" s="2589">
        <f ca="1">H118</f>
        <v>220</v>
      </c>
      <c r="D104" s="2590"/>
      <c r="E104" s="1673" t="s">
        <v>1438</v>
      </c>
      <c r="F104" s="1665"/>
      <c r="G104" s="1827" t="s">
        <v>1436</v>
      </c>
      <c r="H104" s="2595">
        <f>IF(D36="同一抵押权人同一抵押物续贷",C36&amp;"（续贷，未扣减，详见特别提示）",C36)</f>
        <v>0</v>
      </c>
      <c r="I104" s="129"/>
    </row>
    <row r="105" spans="1:35" ht="18.75" customHeight="1" thickBot="1">
      <c r="A105" s="3636"/>
      <c r="B105" s="2591" t="s">
        <v>1434</v>
      </c>
      <c r="C105" s="2592">
        <f ca="1">I118</f>
        <v>45852</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32" t="str">
        <f>IF(项目基本情况!E8="已注销","——","3.房地产抵押价值")</f>
        <v>3.房地产抵押价值</v>
      </c>
      <c r="F107" s="3633"/>
      <c r="G107" s="1826" t="s">
        <v>1432</v>
      </c>
      <c r="H107" s="2594">
        <f ca="1">IF(E107="——","——",H101-H103)</f>
        <v>220</v>
      </c>
      <c r="I107" s="129"/>
    </row>
    <row r="108" spans="1:35" ht="18.75" customHeight="1">
      <c r="A108" s="129"/>
      <c r="B108" s="129"/>
      <c r="C108" s="129"/>
      <c r="D108" s="129"/>
      <c r="E108" s="3632"/>
      <c r="F108" s="3633"/>
      <c r="G108" s="1826" t="s">
        <v>1434</v>
      </c>
      <c r="H108" s="2554">
        <f ca="1">IF(H107=H101,H102,ROUND(H107*10000/'数据-汇总表'!E3,0))</f>
        <v>45852</v>
      </c>
      <c r="I108" s="129"/>
    </row>
    <row r="109" spans="1:35" ht="18.75" customHeight="1">
      <c r="A109" s="129"/>
      <c r="B109" s="129"/>
      <c r="C109" s="129"/>
      <c r="D109" s="129"/>
      <c r="E109" s="3632" t="str">
        <f>IF(项目基本情况!E8="已注销及未注销","4.抵押担保权已注销时的房地产抵押价值",IF(项目基本情况!E8="已注销","3.抵押担保权已注销时的房地产抵押价值","——"))</f>
        <v>——</v>
      </c>
      <c r="F109" s="3633"/>
      <c r="G109" s="1826" t="s">
        <v>1432</v>
      </c>
      <c r="H109" s="2597" t="str">
        <f>IF(E109="——","——",H101-H105-H106)</f>
        <v>——</v>
      </c>
      <c r="I109" s="129"/>
    </row>
    <row r="110" spans="1:35" ht="18.75" customHeight="1">
      <c r="A110" s="129"/>
      <c r="B110" s="129"/>
      <c r="C110" s="129"/>
      <c r="D110" s="129"/>
      <c r="E110" s="3632"/>
      <c r="F110" s="3633"/>
      <c r="G110" s="1826" t="s">
        <v>1434</v>
      </c>
      <c r="H110" s="2554" t="str">
        <f>IF(H109="——","——",ROUND(H109*10000/'数据-汇总表'!E3,0))</f>
        <v>——</v>
      </c>
      <c r="I110" s="129"/>
    </row>
    <row r="111" spans="1:35" ht="18.75" customHeight="1">
      <c r="A111" s="129"/>
      <c r="B111" s="129"/>
      <c r="C111" s="129"/>
      <c r="D111" s="129"/>
      <c r="E111" s="3664" t="str">
        <f>IF(项目基本情况!E9="抵押净值",IF(OR(项目基本情况!E8="已注销",项目基本情况!E8="房地产抵押价值"),"4.抵押净值","5.抵押净值"),"——")</f>
        <v>——</v>
      </c>
      <c r="F111" s="3634"/>
      <c r="G111" s="1826" t="s">
        <v>1432</v>
      </c>
      <c r="H111" s="2594" t="str">
        <f>IF(E111="——","——",N59)</f>
        <v>——</v>
      </c>
      <c r="I111" s="129"/>
    </row>
    <row r="112" spans="1:35" ht="18.75" customHeight="1" thickBot="1">
      <c r="A112" s="129"/>
      <c r="B112" s="129"/>
      <c r="C112" s="129"/>
      <c r="D112" s="129"/>
      <c r="E112" s="3665"/>
      <c r="F112" s="3666"/>
      <c r="G112" s="1829" t="s">
        <v>1434</v>
      </c>
      <c r="H112" s="2598" t="str">
        <f>IF(E111="——","——",N61)</f>
        <v>——</v>
      </c>
      <c r="I112" s="129"/>
    </row>
    <row r="113" spans="1:27" ht="18.75" customHeight="1">
      <c r="A113" s="129"/>
      <c r="B113" s="129"/>
      <c r="C113" s="129"/>
      <c r="D113" s="129"/>
      <c r="E113" s="3637" t="s">
        <v>1440</v>
      </c>
      <c r="F113" s="3637"/>
      <c r="G113" s="3637"/>
      <c r="H113" s="3637"/>
      <c r="I113" s="129"/>
    </row>
    <row r="114" spans="1:27" ht="3.75" customHeight="1">
      <c r="A114" s="1746"/>
      <c r="B114" s="1746"/>
      <c r="C114" s="1746"/>
      <c r="D114" s="1746"/>
      <c r="E114" s="1808"/>
      <c r="F114" s="1808"/>
      <c r="G114" s="1808"/>
      <c r="H114" s="1808"/>
      <c r="I114" s="1746"/>
    </row>
    <row r="115" spans="1:27" ht="18.75" customHeight="1">
      <c r="A115" s="3647" t="s">
        <v>1442</v>
      </c>
      <c r="B115" s="3648"/>
      <c r="C115" s="3648"/>
      <c r="D115" s="3648"/>
      <c r="E115" s="3648"/>
      <c r="F115" s="3648"/>
      <c r="G115" s="3648"/>
      <c r="H115" s="3648"/>
      <c r="I115" s="3649"/>
    </row>
    <row r="116" spans="1:27" ht="27" customHeight="1">
      <c r="A116" s="3603" t="s">
        <v>1443</v>
      </c>
      <c r="B116" s="3638" t="s">
        <v>1444</v>
      </c>
      <c r="C116" s="3638" t="s">
        <v>1445</v>
      </c>
      <c r="D116" s="3651" t="s">
        <v>1446</v>
      </c>
      <c r="E116" s="3652"/>
      <c r="F116" s="3646" t="s">
        <v>1447</v>
      </c>
      <c r="G116" s="3646"/>
      <c r="H116" s="3603" t="s">
        <v>1448</v>
      </c>
      <c r="I116" s="3603"/>
    </row>
    <row r="117" spans="1:27" ht="18.75" customHeight="1">
      <c r="A117" s="3603"/>
      <c r="B117" s="3639"/>
      <c r="C117" s="3639"/>
      <c r="D117" s="2328" t="s">
        <v>1449</v>
      </c>
      <c r="E117" s="2328" t="s">
        <v>1450</v>
      </c>
      <c r="F117" s="2328" t="s">
        <v>1449</v>
      </c>
      <c r="G117" s="2328" t="s">
        <v>1451</v>
      </c>
      <c r="H117" s="2328" t="s">
        <v>1449</v>
      </c>
      <c r="I117" s="2328" t="s">
        <v>1451</v>
      </c>
    </row>
    <row r="118" spans="1:27" ht="24.75" customHeight="1">
      <c r="A118" s="2599" t="str">
        <f>项目基本情况!S2</f>
        <v>北京市朝阳区霞光里15号楼1层102商铺用房房地产</v>
      </c>
      <c r="B118" s="2328">
        <f>M18</f>
        <v>47.88</v>
      </c>
      <c r="C118" s="2328">
        <f>M19</f>
        <v>0</v>
      </c>
      <c r="D118" s="2328">
        <f ca="1">ROUND(IF(D32="总价",C34,E118*B118/10000),0)</f>
        <v>33</v>
      </c>
      <c r="E118" s="2328">
        <f ca="1">ROUND(IF(C33="自定义",IF(D32="楼面单价",C34,D118*10000/B118),I118-G118),0)</f>
        <v>6924</v>
      </c>
      <c r="F118" s="2328">
        <f ca="1">ROUND(IF(D32="总价",C35,G118*B118/10000),0)</f>
        <v>186</v>
      </c>
      <c r="G118" s="2328">
        <f ca="1">ROUND(IF(D32="楼面单价",C35,F118*10000/B118),0)</f>
        <v>38928</v>
      </c>
      <c r="H118" s="2328">
        <f ca="1">ROUND(IF(D32="总价",C32,I118*B118/10000),0)</f>
        <v>220</v>
      </c>
      <c r="I118" s="2328">
        <f ca="1">ROUND(IF(D32="楼面单价",C32,H118*10000/B118),0)</f>
        <v>45852</v>
      </c>
    </row>
    <row r="119" spans="1:27" ht="18.75" customHeight="1">
      <c r="A119" s="3603" t="s">
        <v>1452</v>
      </c>
      <c r="B119" s="3603"/>
      <c r="C119" s="3603"/>
      <c r="D119" s="3643" t="str">
        <f ca="1">NUMBERSTRING(INT(D118*10000),2)&amp;"元整"</f>
        <v>叁拾叁万元整</v>
      </c>
      <c r="E119" s="3645"/>
      <c r="F119" s="3643" t="str">
        <f ca="1">NUMBERSTRING(INT(F118*10000),2)&amp;"元整"</f>
        <v>壹佰捌拾陆万元整</v>
      </c>
      <c r="G119" s="3645"/>
      <c r="H119" s="3643" t="str">
        <f ca="1">NUMBERSTRING(INT(H118*10000),2)&amp;"元整"</f>
        <v>贰佰贰拾万元整</v>
      </c>
      <c r="I119" s="3645"/>
    </row>
    <row r="120" spans="1:27" ht="18.75" customHeight="1">
      <c r="A120" s="3667" t="str">
        <f>IF(项目基本情况!B9="房地产市场价值","",MID(E103,3,LEN(E103)-2))</f>
        <v>估价师知悉的法定优先受偿款</v>
      </c>
      <c r="B120" s="3668"/>
      <c r="C120" s="3669"/>
      <c r="D120" s="3667">
        <f>H103</f>
        <v>0</v>
      </c>
      <c r="E120" s="3668"/>
      <c r="F120" s="3668"/>
      <c r="G120" s="3668"/>
      <c r="H120" s="3668"/>
      <c r="I120" s="366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43" t="s">
        <v>1452</v>
      </c>
      <c r="B121" s="3644"/>
      <c r="C121" s="3645"/>
      <c r="D121" s="3643" t="str">
        <f>IF(D120=0,"零元整",NUMBERSTRING(INT(D120*10000),2)&amp;"元整")</f>
        <v>零元整</v>
      </c>
      <c r="E121" s="3644"/>
      <c r="F121" s="3644"/>
      <c r="G121" s="3644"/>
      <c r="H121" s="3644"/>
      <c r="I121" s="3645"/>
      <c r="AA121" s="724"/>
    </row>
    <row r="122" spans="1:27" ht="18.75" customHeight="1">
      <c r="A122" s="3634" t="str">
        <f>IF(项目基本情况!B9="房地产市场价值","",MID(E107,3,LEN(E107)-2))</f>
        <v>房地产抵押价值</v>
      </c>
      <c r="B122" s="3634"/>
      <c r="C122" s="3634"/>
      <c r="D122" s="3667">
        <f ca="1">H107</f>
        <v>220</v>
      </c>
      <c r="E122" s="3668"/>
      <c r="F122" s="3668"/>
      <c r="G122" s="3668"/>
      <c r="H122" s="3668"/>
      <c r="I122" s="3669"/>
      <c r="AA122" s="724"/>
    </row>
    <row r="123" spans="1:27" ht="18.75" customHeight="1">
      <c r="A123" s="3603" t="s">
        <v>1452</v>
      </c>
      <c r="B123" s="3603"/>
      <c r="C123" s="3603"/>
      <c r="D123" s="3643" t="str">
        <f ca="1">NUMBERSTRING(INT(D122*10000),2)&amp;"元整"</f>
        <v>贰佰贰拾万元整</v>
      </c>
      <c r="E123" s="3644"/>
      <c r="F123" s="3644"/>
      <c r="G123" s="3644"/>
      <c r="H123" s="3644"/>
      <c r="I123" s="3645"/>
      <c r="AA123" s="724"/>
    </row>
    <row r="124" spans="1:27" ht="18.75" customHeight="1">
      <c r="A124" s="3634" t="str">
        <f>IF(项目基本情况!B9="房地产市场价值","",MID(E109,3,LEN(E109)-2))</f>
        <v/>
      </c>
      <c r="B124" s="3634"/>
      <c r="C124" s="3634"/>
      <c r="D124" s="3667" t="str">
        <f>H109</f>
        <v>——</v>
      </c>
      <c r="E124" s="3668"/>
      <c r="F124" s="3668"/>
      <c r="G124" s="3668"/>
      <c r="H124" s="3668"/>
      <c r="I124" s="3669"/>
      <c r="AA124" s="724"/>
    </row>
    <row r="125" spans="1:27" ht="18.75" customHeight="1">
      <c r="A125" s="3603" t="s">
        <v>1452</v>
      </c>
      <c r="B125" s="3603"/>
      <c r="C125" s="3603"/>
      <c r="D125" s="3643" t="e">
        <f>NUMBERSTRING(INT(D124*10000),2)&amp;"元整"</f>
        <v>#VALUE!</v>
      </c>
      <c r="E125" s="3644"/>
      <c r="F125" s="3644"/>
      <c r="G125" s="3644"/>
      <c r="H125" s="3644"/>
      <c r="I125" s="3645"/>
      <c r="AA125" s="724"/>
    </row>
    <row r="126" spans="1:27" ht="18.75" customHeight="1">
      <c r="A126" s="3634" t="str">
        <f>IF(项目基本情况!B9="房地产市场价值","",MID(E111,3,LEN(E111)-2))</f>
        <v/>
      </c>
      <c r="B126" s="3634"/>
      <c r="C126" s="3634"/>
      <c r="D126" s="3667" t="str">
        <f>H111</f>
        <v>——</v>
      </c>
      <c r="E126" s="3668"/>
      <c r="F126" s="3668"/>
      <c r="G126" s="3668"/>
      <c r="H126" s="3668"/>
      <c r="I126" s="3669"/>
      <c r="AA126" s="724"/>
    </row>
    <row r="127" spans="1:27" ht="18.75" customHeight="1">
      <c r="A127" s="3603" t="s">
        <v>1452</v>
      </c>
      <c r="B127" s="3603"/>
      <c r="C127" s="3603"/>
      <c r="D127" s="3643" t="e">
        <f>NUMBERSTRING(INT(D126*10000),2)&amp;"元整"</f>
        <v>#VALUE!</v>
      </c>
      <c r="E127" s="3644"/>
      <c r="F127" s="3644"/>
      <c r="G127" s="3644"/>
      <c r="H127" s="3644"/>
      <c r="I127" s="3645"/>
      <c r="AA127" s="724"/>
    </row>
    <row r="128" spans="1:27" ht="21.75" customHeight="1">
      <c r="A128" s="3650" t="s">
        <v>1453</v>
      </c>
      <c r="B128" s="3650"/>
      <c r="C128" s="3650"/>
      <c r="D128" s="3650"/>
      <c r="E128" s="3650"/>
      <c r="F128" s="3650"/>
      <c r="G128" s="3650"/>
      <c r="H128" s="3650"/>
      <c r="I128" s="3650"/>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0" t="str">
        <f>项目基本情况!B1</f>
        <v>北京市朝阳区霞光里15号楼1层102商铺用房房地产抵押价值预评估</v>
      </c>
      <c r="C37" s="3500"/>
      <c r="D37" s="3500"/>
      <c r="E37" s="3500"/>
      <c r="F37" s="3500"/>
      <c r="G37" s="3500"/>
      <c r="H37" s="3500"/>
      <c r="I37" s="3500"/>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6" zoomScale="90" zoomScaleNormal="70" zoomScaleSheetLayoutView="90" workbookViewId="0">
      <selection activeCell="K38" sqref="E36:K3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3509</v>
      </c>
      <c r="E1" s="3424" t="s">
        <v>3445</v>
      </c>
      <c r="F1" s="1878" t="s">
        <v>3446</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268.46319999999997</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56070</v>
      </c>
      <c r="C3" s="354" t="s">
        <v>1768</v>
      </c>
      <c r="D3" s="353">
        <f>IF(D1="",'数据-汇总表'!E3,SUMIF('数据-汇总表'!$C19:$C33,D1,'数据-汇总表'!$E19:$E33))</f>
        <v>47.88</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1769</v>
      </c>
      <c r="B4" s="356"/>
      <c r="C4" s="3702" t="s">
        <v>1770</v>
      </c>
      <c r="D4" s="3703"/>
      <c r="E4" s="3704" t="s">
        <v>1771</v>
      </c>
      <c r="F4" s="3705"/>
      <c r="G4" s="3702" t="s">
        <v>1772</v>
      </c>
      <c r="H4" s="3703"/>
      <c r="I4" s="3702" t="s">
        <v>1773</v>
      </c>
      <c r="J4" s="3703"/>
      <c r="K4" s="559" t="s">
        <v>1774</v>
      </c>
      <c r="L4" s="2713"/>
      <c r="M4" s="2714"/>
      <c r="N4" s="2714"/>
      <c r="O4" s="2714"/>
      <c r="P4" s="3706" t="s">
        <v>1775</v>
      </c>
      <c r="Q4" s="3707"/>
      <c r="R4" s="3712" t="s">
        <v>1771</v>
      </c>
      <c r="S4" s="3713"/>
      <c r="T4" s="3712" t="s">
        <v>1772</v>
      </c>
      <c r="U4" s="3713"/>
      <c r="V4" s="3697" t="s">
        <v>1773</v>
      </c>
      <c r="W4" s="3697"/>
      <c r="X4" s="1354"/>
      <c r="Y4" s="3712" t="s">
        <v>1775</v>
      </c>
      <c r="Z4" s="3713"/>
      <c r="AA4" s="3699" t="s">
        <v>1771</v>
      </c>
      <c r="AB4" s="3697" t="s">
        <v>1772</v>
      </c>
      <c r="AC4" s="3699" t="s">
        <v>1773</v>
      </c>
    </row>
    <row r="5" spans="1:29" ht="15">
      <c r="A5" s="358"/>
      <c r="B5" s="359"/>
      <c r="C5" s="3720" t="s">
        <v>3533</v>
      </c>
      <c r="D5" s="3721"/>
      <c r="E5" s="3728" t="s">
        <v>3534</v>
      </c>
      <c r="F5" s="3729"/>
      <c r="G5" s="3720" t="s">
        <v>3535</v>
      </c>
      <c r="H5" s="3721"/>
      <c r="I5" s="3720" t="s">
        <v>3539</v>
      </c>
      <c r="J5" s="3721"/>
      <c r="K5" s="559"/>
      <c r="L5" s="2713"/>
      <c r="M5" s="2714"/>
      <c r="N5" s="2714"/>
      <c r="O5" s="2714"/>
      <c r="P5" s="3708"/>
      <c r="Q5" s="3709"/>
      <c r="R5" s="3714"/>
      <c r="S5" s="3715"/>
      <c r="T5" s="3714"/>
      <c r="U5" s="3715"/>
      <c r="V5" s="3697"/>
      <c r="W5" s="3697"/>
      <c r="X5" s="1354"/>
      <c r="Y5" s="3714"/>
      <c r="Z5" s="3715"/>
      <c r="AA5" s="3700"/>
      <c r="AB5" s="3697"/>
      <c r="AC5" s="3700"/>
    </row>
    <row r="6" spans="1:29" ht="15.75" thickBot="1">
      <c r="A6" s="360"/>
      <c r="B6" s="361"/>
      <c r="C6" s="3725" t="s">
        <v>1677</v>
      </c>
      <c r="D6" s="3719"/>
      <c r="E6" s="3726" t="s">
        <v>1677</v>
      </c>
      <c r="F6" s="3727"/>
      <c r="G6" s="3718"/>
      <c r="H6" s="3719"/>
      <c r="I6" s="3718" t="s">
        <v>3505</v>
      </c>
      <c r="J6" s="3719"/>
      <c r="K6" s="559" t="s">
        <v>1678</v>
      </c>
      <c r="L6" s="2713"/>
      <c r="M6" s="2714"/>
      <c r="N6" s="2714"/>
      <c r="O6" s="2714"/>
      <c r="P6" s="3710"/>
      <c r="Q6" s="3711"/>
      <c r="R6" s="3714"/>
      <c r="S6" s="3715"/>
      <c r="T6" s="3716"/>
      <c r="U6" s="3717"/>
      <c r="V6" s="3697"/>
      <c r="W6" s="3697"/>
      <c r="X6" s="1354"/>
      <c r="Y6" s="3716"/>
      <c r="Z6" s="3717"/>
      <c r="AA6" s="3701"/>
      <c r="AB6" s="3697"/>
      <c r="AC6" s="3701"/>
    </row>
    <row r="7" spans="1:29" s="108" customFormat="1" ht="15.75" thickBot="1">
      <c r="A7" s="362" t="s">
        <v>1679</v>
      </c>
      <c r="B7" s="363"/>
      <c r="C7" s="364">
        <f>'数据-取费表'!B2</f>
        <v>45821</v>
      </c>
      <c r="D7" s="365">
        <v>100</v>
      </c>
      <c r="E7" s="366">
        <f>C7</f>
        <v>45821</v>
      </c>
      <c r="F7" s="367">
        <f>SUMIF(58:58,YEAR(E7)&amp;"-"&amp;MONTH(E7),59:59)</f>
        <v>100</v>
      </c>
      <c r="G7" s="366">
        <f>C7</f>
        <v>45821</v>
      </c>
      <c r="H7" s="365">
        <f>SUMIF(58:58,YEAR(G7)&amp;"-"&amp;MONTH(G7),59:59)</f>
        <v>100</v>
      </c>
      <c r="I7" s="366">
        <f>C7</f>
        <v>45821</v>
      </c>
      <c r="J7" s="365">
        <f>SUMIF(58:58,YEAR(I7)&amp;"-"&amp;MONTH(I7),59:59)</f>
        <v>100</v>
      </c>
      <c r="K7" s="560"/>
      <c r="L7" s="2715"/>
      <c r="M7" s="2716"/>
      <c r="N7" s="2716"/>
      <c r="O7" s="2716"/>
      <c r="P7" s="3722" t="s">
        <v>1680</v>
      </c>
      <c r="Q7" s="3724"/>
      <c r="R7" s="700" t="s">
        <v>14</v>
      </c>
      <c r="S7" s="701">
        <f t="shared" ref="S7:S15" si="0">F7</f>
        <v>100</v>
      </c>
      <c r="T7" s="700" t="s">
        <v>14</v>
      </c>
      <c r="U7" s="701">
        <f t="shared" ref="U7:U15" si="1">H7</f>
        <v>100</v>
      </c>
      <c r="V7" s="700" t="s">
        <v>14</v>
      </c>
      <c r="W7" s="701">
        <f t="shared" ref="W7:W15" si="2">J7</f>
        <v>100</v>
      </c>
      <c r="X7" s="702"/>
      <c r="Y7" s="3722" t="s">
        <v>1680</v>
      </c>
      <c r="Z7" s="3723"/>
      <c r="AA7" s="703">
        <f>D7/F7</f>
        <v>1</v>
      </c>
      <c r="AB7" s="703">
        <f>D7/H7</f>
        <v>1</v>
      </c>
      <c r="AC7" s="703">
        <f>D7/J7</f>
        <v>1</v>
      </c>
    </row>
    <row r="8" spans="1:29" s="108" customFormat="1" ht="15.75" thickBot="1">
      <c r="A8" s="362" t="s">
        <v>1681</v>
      </c>
      <c r="B8" s="363"/>
      <c r="C8" s="368" t="s">
        <v>3447</v>
      </c>
      <c r="D8" s="365">
        <v>100</v>
      </c>
      <c r="E8" s="368" t="s">
        <v>3449</v>
      </c>
      <c r="F8" s="367">
        <f>SUMIF(61:61,E8,62:62)-SUMIF(61:61,C8,62:62)+100</f>
        <v>105</v>
      </c>
      <c r="G8" s="368" t="s">
        <v>3449</v>
      </c>
      <c r="H8" s="365">
        <f>SUMIF(61:61,G8,62:62)-SUMIF(61:61,C8,62:62)+100</f>
        <v>105</v>
      </c>
      <c r="I8" s="368" t="s">
        <v>3449</v>
      </c>
      <c r="J8" s="365">
        <f>SUMIF(61:61,I8,62:62)-SUMIF(61:61,C8,62:62)+100</f>
        <v>105</v>
      </c>
      <c r="K8" s="560"/>
      <c r="L8" s="2715"/>
      <c r="M8" s="2716"/>
      <c r="N8" s="2716"/>
      <c r="O8" s="2716"/>
      <c r="P8" s="3722" t="s">
        <v>1683</v>
      </c>
      <c r="Q8" s="3723"/>
      <c r="R8" s="700" t="s">
        <v>14</v>
      </c>
      <c r="S8" s="701">
        <f t="shared" si="0"/>
        <v>105</v>
      </c>
      <c r="T8" s="700" t="s">
        <v>14</v>
      </c>
      <c r="U8" s="701">
        <f t="shared" si="1"/>
        <v>105</v>
      </c>
      <c r="V8" s="700" t="s">
        <v>14</v>
      </c>
      <c r="W8" s="701">
        <f t="shared" si="2"/>
        <v>105</v>
      </c>
      <c r="X8" s="702"/>
      <c r="Y8" s="3722" t="s">
        <v>1683</v>
      </c>
      <c r="Z8" s="3723"/>
      <c r="AA8" s="703">
        <f t="shared" ref="AA8:AA46" si="3">D8/F8</f>
        <v>0.95238095238095233</v>
      </c>
      <c r="AB8" s="703">
        <f t="shared" ref="AB8:AB46" si="4">D8/H8</f>
        <v>0.95238095238095233</v>
      </c>
      <c r="AC8" s="703">
        <f t="shared" ref="AC8:AC46" si="5">D8/J8</f>
        <v>0.95238095238095233</v>
      </c>
    </row>
    <row r="9" spans="1:29" s="108" customFormat="1">
      <c r="A9" s="369" t="s">
        <v>1684</v>
      </c>
      <c r="B9" s="63" t="s">
        <v>1685</v>
      </c>
      <c r="C9" s="3465" t="s">
        <v>3448</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98" t="s">
        <v>1686</v>
      </c>
      <c r="Q9" s="1342" t="str">
        <f t="shared" ref="Q9:Q15" si="6">B9</f>
        <v>用途</v>
      </c>
      <c r="R9" s="700" t="s">
        <v>14</v>
      </c>
      <c r="S9" s="701">
        <f t="shared" si="0"/>
        <v>100</v>
      </c>
      <c r="T9" s="700" t="s">
        <v>14</v>
      </c>
      <c r="U9" s="701">
        <f t="shared" si="1"/>
        <v>100</v>
      </c>
      <c r="V9" s="700" t="s">
        <v>14</v>
      </c>
      <c r="W9" s="701">
        <f t="shared" si="2"/>
        <v>100</v>
      </c>
      <c r="X9" s="702"/>
      <c r="Y9" s="3590" t="s">
        <v>1687</v>
      </c>
      <c r="Z9" s="52" t="str">
        <f t="shared" ref="Z9:Z15" si="7">Q9</f>
        <v>用途</v>
      </c>
      <c r="AA9" s="703">
        <f t="shared" si="3"/>
        <v>1</v>
      </c>
      <c r="AB9" s="703">
        <f t="shared" si="4"/>
        <v>1</v>
      </c>
      <c r="AC9" s="703">
        <f t="shared" si="5"/>
        <v>1</v>
      </c>
    </row>
    <row r="10" spans="1:29" s="378" customFormat="1" ht="27">
      <c r="A10" s="374"/>
      <c r="B10" s="375" t="s">
        <v>1688</v>
      </c>
      <c r="C10" s="3432" t="str">
        <f>E65</f>
        <v>20（含）-10</v>
      </c>
      <c r="D10" s="127">
        <v>100</v>
      </c>
      <c r="E10" s="3433" t="str">
        <f>C10</f>
        <v>20（含）-10</v>
      </c>
      <c r="F10" s="376">
        <f>SUMIF(65:65,E10,66:66)-SUMIF(65:65,C10,66:66)+100</f>
        <v>100</v>
      </c>
      <c r="G10" s="3432" t="str">
        <f>E65</f>
        <v>20（含）-10</v>
      </c>
      <c r="H10" s="127">
        <f>SUMIF(65:65,G10,66:66)-SUMIF(65:65,C10,66:66)+100</f>
        <v>100</v>
      </c>
      <c r="I10" s="3432" t="str">
        <f>D65</f>
        <v>30（含）-20</v>
      </c>
      <c r="J10" s="127">
        <f>SUMIF(65:65,I10,66:66)-SUMIF(65:65,C10,66:66)+100</f>
        <v>103</v>
      </c>
      <c r="K10" s="560"/>
      <c r="L10" s="2717"/>
      <c r="M10" s="2718"/>
      <c r="N10" s="2718"/>
      <c r="O10" s="2718"/>
      <c r="P10" s="3698"/>
      <c r="Q10" s="1342" t="str">
        <f t="shared" si="6"/>
        <v>土地使用年限（年）</v>
      </c>
      <c r="R10" s="700" t="s">
        <v>14</v>
      </c>
      <c r="S10" s="701">
        <f t="shared" si="0"/>
        <v>100</v>
      </c>
      <c r="T10" s="700" t="s">
        <v>14</v>
      </c>
      <c r="U10" s="701">
        <f t="shared" si="1"/>
        <v>100</v>
      </c>
      <c r="V10" s="700" t="s">
        <v>14</v>
      </c>
      <c r="W10" s="701">
        <f t="shared" si="2"/>
        <v>103</v>
      </c>
      <c r="X10" s="702"/>
      <c r="Y10" s="3590"/>
      <c r="Z10" s="52" t="str">
        <f t="shared" si="7"/>
        <v>土地使用年限（年）</v>
      </c>
      <c r="AA10" s="703">
        <f t="shared" si="3"/>
        <v>1</v>
      </c>
      <c r="AB10" s="703">
        <f t="shared" si="4"/>
        <v>1</v>
      </c>
      <c r="AC10" s="703">
        <f t="shared" si="5"/>
        <v>0.970873786407767</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98"/>
      <c r="Q11" s="1342" t="str">
        <f t="shared" si="6"/>
        <v>容积率</v>
      </c>
      <c r="R11" s="700" t="s">
        <v>14</v>
      </c>
      <c r="S11" s="701">
        <f t="shared" si="0"/>
        <v>100</v>
      </c>
      <c r="T11" s="700" t="s">
        <v>14</v>
      </c>
      <c r="U11" s="701">
        <f t="shared" si="1"/>
        <v>100</v>
      </c>
      <c r="V11" s="700" t="s">
        <v>14</v>
      </c>
      <c r="W11" s="701">
        <f t="shared" si="2"/>
        <v>100</v>
      </c>
      <c r="X11" s="702"/>
      <c r="Y11" s="3590"/>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8"/>
      <c r="Q12" s="1342">
        <f t="shared" si="6"/>
        <v>111</v>
      </c>
      <c r="R12" s="700" t="s">
        <v>14</v>
      </c>
      <c r="S12" s="701">
        <f t="shared" si="0"/>
        <v>100</v>
      </c>
      <c r="T12" s="700" t="s">
        <v>14</v>
      </c>
      <c r="U12" s="701">
        <f t="shared" si="1"/>
        <v>100</v>
      </c>
      <c r="V12" s="700" t="s">
        <v>14</v>
      </c>
      <c r="W12" s="701">
        <f t="shared" si="2"/>
        <v>100</v>
      </c>
      <c r="X12" s="702"/>
      <c r="Y12" s="3590"/>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8"/>
      <c r="Q13" s="1342">
        <f t="shared" si="6"/>
        <v>111</v>
      </c>
      <c r="R13" s="700" t="s">
        <v>14</v>
      </c>
      <c r="S13" s="701">
        <f t="shared" si="0"/>
        <v>100</v>
      </c>
      <c r="T13" s="700" t="s">
        <v>14</v>
      </c>
      <c r="U13" s="701">
        <f t="shared" si="1"/>
        <v>100</v>
      </c>
      <c r="V13" s="700" t="s">
        <v>14</v>
      </c>
      <c r="W13" s="701">
        <f t="shared" si="2"/>
        <v>100</v>
      </c>
      <c r="X13" s="702"/>
      <c r="Y13" s="3590"/>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8"/>
      <c r="Q14" s="1342">
        <f t="shared" si="6"/>
        <v>111</v>
      </c>
      <c r="R14" s="700" t="s">
        <v>14</v>
      </c>
      <c r="S14" s="701">
        <f t="shared" si="0"/>
        <v>100</v>
      </c>
      <c r="T14" s="700" t="s">
        <v>14</v>
      </c>
      <c r="U14" s="701">
        <f t="shared" si="1"/>
        <v>100</v>
      </c>
      <c r="V14" s="700" t="s">
        <v>14</v>
      </c>
      <c r="W14" s="701">
        <f t="shared" si="2"/>
        <v>100</v>
      </c>
      <c r="X14" s="702"/>
      <c r="Y14" s="3590"/>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0"/>
      <c r="M15" s="2714"/>
      <c r="N15" s="2714"/>
      <c r="O15" s="2714"/>
      <c r="P15" s="3688" t="s">
        <v>1691</v>
      </c>
      <c r="Q15" s="1351" t="str">
        <f t="shared" si="6"/>
        <v>商业繁华度</v>
      </c>
      <c r="R15" s="704" t="s">
        <v>14</v>
      </c>
      <c r="S15" s="705">
        <f t="shared" si="0"/>
        <v>100</v>
      </c>
      <c r="T15" s="704" t="s">
        <v>14</v>
      </c>
      <c r="U15" s="705">
        <f t="shared" si="1"/>
        <v>100</v>
      </c>
      <c r="V15" s="704" t="s">
        <v>14</v>
      </c>
      <c r="W15" s="705">
        <f t="shared" si="2"/>
        <v>100</v>
      </c>
      <c r="X15" s="1354"/>
      <c r="Y15" s="3690" t="s">
        <v>1691</v>
      </c>
      <c r="Z15" s="1355" t="str">
        <f t="shared" si="7"/>
        <v>商业繁华度</v>
      </c>
      <c r="AA15" s="1352">
        <f t="shared" si="3"/>
        <v>1</v>
      </c>
      <c r="AB15" s="1352">
        <f t="shared" si="4"/>
        <v>1</v>
      </c>
      <c r="AC15" s="1352">
        <f t="shared" si="5"/>
        <v>1</v>
      </c>
    </row>
    <row r="16" spans="1:29" ht="15">
      <c r="A16" s="379"/>
      <c r="B16" s="397"/>
      <c r="C16" s="398" t="s">
        <v>3437</v>
      </c>
      <c r="D16" s="399"/>
      <c r="E16" s="398" t="s">
        <v>3437</v>
      </c>
      <c r="F16" s="400"/>
      <c r="G16" s="398" t="s">
        <v>3437</v>
      </c>
      <c r="H16" s="401"/>
      <c r="I16" s="398" t="s">
        <v>3437</v>
      </c>
      <c r="J16" s="399"/>
      <c r="K16" s="564"/>
      <c r="L16" s="2720"/>
      <c r="M16" s="2714"/>
      <c r="N16" s="2714"/>
      <c r="O16" s="2714"/>
      <c r="P16" s="3689"/>
      <c r="Q16" s="1351"/>
      <c r="R16" s="704"/>
      <c r="S16" s="705"/>
      <c r="T16" s="704"/>
      <c r="U16" s="705"/>
      <c r="V16" s="704"/>
      <c r="W16" s="705"/>
      <c r="X16" s="1354"/>
      <c r="Y16" s="3691"/>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689"/>
      <c r="Q17" s="1351" t="str">
        <f>B17</f>
        <v>交通便捷度</v>
      </c>
      <c r="R17" s="704" t="s">
        <v>14</v>
      </c>
      <c r="S17" s="705">
        <f>F17</f>
        <v>100</v>
      </c>
      <c r="T17" s="704" t="s">
        <v>14</v>
      </c>
      <c r="U17" s="705">
        <f>H17</f>
        <v>100</v>
      </c>
      <c r="V17" s="704" t="s">
        <v>14</v>
      </c>
      <c r="W17" s="705">
        <f>J17</f>
        <v>100</v>
      </c>
      <c r="X17" s="1354"/>
      <c r="Y17" s="3691"/>
      <c r="Z17" s="1355" t="str">
        <f>Q17</f>
        <v>交通便捷度</v>
      </c>
      <c r="AA17" s="1352">
        <f t="shared" si="3"/>
        <v>1</v>
      </c>
      <c r="AB17" s="1352">
        <f t="shared" si="4"/>
        <v>1</v>
      </c>
      <c r="AC17" s="1352">
        <f t="shared" si="5"/>
        <v>1</v>
      </c>
    </row>
    <row r="18" spans="1:29" ht="15">
      <c r="A18" s="379"/>
      <c r="B18" s="407"/>
      <c r="C18" s="1900" t="s">
        <v>3437</v>
      </c>
      <c r="D18" s="401"/>
      <c r="E18" s="1900" t="s">
        <v>3437</v>
      </c>
      <c r="F18" s="404"/>
      <c r="G18" s="1900" t="s">
        <v>3437</v>
      </c>
      <c r="H18" s="399"/>
      <c r="I18" s="1900" t="s">
        <v>3437</v>
      </c>
      <c r="J18" s="399"/>
      <c r="K18" s="564"/>
      <c r="L18" s="2720"/>
      <c r="M18" s="2714"/>
      <c r="N18" s="2714"/>
      <c r="O18" s="2714"/>
      <c r="P18" s="3689"/>
      <c r="Q18" s="1351"/>
      <c r="R18" s="704"/>
      <c r="S18" s="705"/>
      <c r="T18" s="704"/>
      <c r="U18" s="705"/>
      <c r="V18" s="704"/>
      <c r="W18" s="705"/>
      <c r="X18" s="1354"/>
      <c r="Y18" s="3691"/>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689"/>
      <c r="Q19" s="1351" t="str">
        <f>B19</f>
        <v>公共配套设施</v>
      </c>
      <c r="R19" s="704" t="s">
        <v>14</v>
      </c>
      <c r="S19" s="705">
        <f>F19</f>
        <v>100</v>
      </c>
      <c r="T19" s="704" t="s">
        <v>14</v>
      </c>
      <c r="U19" s="705">
        <f>H19</f>
        <v>100</v>
      </c>
      <c r="V19" s="704" t="s">
        <v>14</v>
      </c>
      <c r="W19" s="705">
        <f>J19</f>
        <v>100</v>
      </c>
      <c r="X19" s="1354"/>
      <c r="Y19" s="3691"/>
      <c r="Z19" s="1355" t="str">
        <f>Q19</f>
        <v>公共配套设施</v>
      </c>
      <c r="AA19" s="1352">
        <f t="shared" si="3"/>
        <v>1</v>
      </c>
      <c r="AB19" s="1352">
        <f t="shared" si="4"/>
        <v>1</v>
      </c>
      <c r="AC19" s="1352">
        <f t="shared" si="5"/>
        <v>1</v>
      </c>
    </row>
    <row r="20" spans="1:29" ht="15">
      <c r="A20" s="379"/>
      <c r="B20" s="407"/>
      <c r="C20" s="398" t="s">
        <v>3437</v>
      </c>
      <c r="D20" s="399"/>
      <c r="E20" s="398" t="s">
        <v>3437</v>
      </c>
      <c r="F20" s="400"/>
      <c r="G20" s="398" t="s">
        <v>3437</v>
      </c>
      <c r="H20" s="399"/>
      <c r="I20" s="398" t="s">
        <v>3437</v>
      </c>
      <c r="J20" s="399"/>
      <c r="K20" s="564"/>
      <c r="L20" s="2720"/>
      <c r="M20" s="2714"/>
      <c r="N20" s="2714"/>
      <c r="O20" s="2714"/>
      <c r="P20" s="3689"/>
      <c r="Q20" s="1351"/>
      <c r="R20" s="704"/>
      <c r="S20" s="705"/>
      <c r="T20" s="704"/>
      <c r="U20" s="705"/>
      <c r="V20" s="704"/>
      <c r="W20" s="705"/>
      <c r="X20" s="1354"/>
      <c r="Y20" s="3691"/>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89"/>
      <c r="Q21" s="1351" t="str">
        <f>B21</f>
        <v>基础设施水平</v>
      </c>
      <c r="R21" s="704" t="s">
        <v>14</v>
      </c>
      <c r="S21" s="705">
        <f>F21</f>
        <v>100</v>
      </c>
      <c r="T21" s="704" t="s">
        <v>14</v>
      </c>
      <c r="U21" s="705">
        <f>H21</f>
        <v>100</v>
      </c>
      <c r="V21" s="704" t="s">
        <v>14</v>
      </c>
      <c r="W21" s="705">
        <f>J21</f>
        <v>100</v>
      </c>
      <c r="X21" s="1354"/>
      <c r="Y21" s="3691"/>
      <c r="Z21" s="1355" t="str">
        <f>Q21</f>
        <v>基础设施水平</v>
      </c>
      <c r="AA21" s="1352">
        <f t="shared" ref="AA21" si="8">D21/F21</f>
        <v>1</v>
      </c>
      <c r="AB21" s="1352">
        <f t="shared" ref="AB21" si="9">D21/H21</f>
        <v>1</v>
      </c>
      <c r="AC21" s="1352">
        <f t="shared" ref="AC21" si="10">D21/J21</f>
        <v>1</v>
      </c>
    </row>
    <row r="22" spans="1:29" ht="15">
      <c r="A22" s="379"/>
      <c r="B22" s="1130"/>
      <c r="C22" s="1900" t="s">
        <v>3477</v>
      </c>
      <c r="D22" s="399"/>
      <c r="E22" s="1900" t="s">
        <v>3477</v>
      </c>
      <c r="F22" s="400"/>
      <c r="G22" s="1900" t="s">
        <v>3477</v>
      </c>
      <c r="H22" s="399"/>
      <c r="I22" s="1900" t="s">
        <v>3477</v>
      </c>
      <c r="J22" s="399"/>
      <c r="K22" s="1129"/>
      <c r="L22" s="2720"/>
      <c r="M22" s="2714"/>
      <c r="N22" s="2714"/>
      <c r="O22" s="2714"/>
      <c r="P22" s="3689"/>
      <c r="Q22" s="1351"/>
      <c r="R22" s="704"/>
      <c r="S22" s="705"/>
      <c r="T22" s="704"/>
      <c r="U22" s="705"/>
      <c r="V22" s="704"/>
      <c r="W22" s="705"/>
      <c r="X22" s="1354"/>
      <c r="Y22" s="3691"/>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3</v>
      </c>
      <c r="L23" s="2720"/>
      <c r="M23" s="2714"/>
      <c r="N23" s="2714"/>
      <c r="O23" s="2714"/>
      <c r="P23" s="3689"/>
      <c r="Q23" s="1351" t="str">
        <f>B23</f>
        <v>自然及人文环境</v>
      </c>
      <c r="R23" s="704" t="s">
        <v>14</v>
      </c>
      <c r="S23" s="705">
        <f>F23</f>
        <v>100</v>
      </c>
      <c r="T23" s="704" t="s">
        <v>14</v>
      </c>
      <c r="U23" s="705">
        <f>H23</f>
        <v>100</v>
      </c>
      <c r="V23" s="704" t="s">
        <v>14</v>
      </c>
      <c r="W23" s="705">
        <f>J23</f>
        <v>100</v>
      </c>
      <c r="X23" s="1354"/>
      <c r="Y23" s="3691"/>
      <c r="Z23" s="1355" t="str">
        <f>Q23</f>
        <v>自然及人文环境</v>
      </c>
      <c r="AA23" s="1352">
        <f t="shared" si="3"/>
        <v>1</v>
      </c>
      <c r="AB23" s="1352">
        <f t="shared" si="4"/>
        <v>1</v>
      </c>
      <c r="AC23" s="1352">
        <f t="shared" si="5"/>
        <v>1</v>
      </c>
    </row>
    <row r="24" spans="1:29" ht="15">
      <c r="A24" s="379"/>
      <c r="B24" s="407"/>
      <c r="C24" s="398" t="s">
        <v>3437</v>
      </c>
      <c r="D24" s="399"/>
      <c r="E24" s="398" t="s">
        <v>3437</v>
      </c>
      <c r="F24" s="400"/>
      <c r="G24" s="398" t="s">
        <v>3437</v>
      </c>
      <c r="H24" s="399"/>
      <c r="I24" s="398" t="s">
        <v>3437</v>
      </c>
      <c r="J24" s="399"/>
      <c r="K24" s="564"/>
      <c r="L24" s="2720"/>
      <c r="M24" s="2714"/>
      <c r="N24" s="2714"/>
      <c r="O24" s="2714"/>
      <c r="P24" s="3689"/>
      <c r="Q24" s="1351"/>
      <c r="R24" s="704"/>
      <c r="S24" s="705"/>
      <c r="T24" s="704"/>
      <c r="U24" s="705"/>
      <c r="V24" s="704"/>
      <c r="W24" s="705"/>
      <c r="X24" s="1354"/>
      <c r="Y24" s="3691"/>
      <c r="Z24" s="1355"/>
      <c r="AA24" s="1352">
        <v>1</v>
      </c>
      <c r="AB24" s="1352">
        <v>1</v>
      </c>
      <c r="AC24" s="1352">
        <v>1</v>
      </c>
    </row>
    <row r="25" spans="1:29" ht="15">
      <c r="A25" s="379"/>
      <c r="B25" s="375" t="s">
        <v>1780</v>
      </c>
      <c r="C25" s="565" t="s">
        <v>3507</v>
      </c>
      <c r="D25" s="386">
        <v>100</v>
      </c>
      <c r="E25" s="565" t="s">
        <v>3507</v>
      </c>
      <c r="F25" s="412">
        <f>SUMIF(86:86,E25,87:87)-SUMIF(86:86,C25,87:87)+100</f>
        <v>100</v>
      </c>
      <c r="G25" s="565" t="s">
        <v>3507</v>
      </c>
      <c r="H25" s="386">
        <f>SUMIF(86:86,G25,87:87)-SUMIF(86:86,C25,87:87)+100</f>
        <v>100</v>
      </c>
      <c r="I25" s="565" t="s">
        <v>3507</v>
      </c>
      <c r="J25" s="386">
        <f>SUMIF(86:86,I25,87:87)-SUMIF(86:86,C25,87:87)+100</f>
        <v>100</v>
      </c>
      <c r="K25" s="561">
        <v>2</v>
      </c>
      <c r="L25" s="2720"/>
      <c r="M25" s="2714"/>
      <c r="N25" s="2714"/>
      <c r="O25" s="2714"/>
      <c r="P25" s="3689"/>
      <c r="Q25" s="1351" t="str">
        <f t="shared" ref="Q25:Q46" si="11">B25</f>
        <v>临街状况</v>
      </c>
      <c r="R25" s="704" t="s">
        <v>14</v>
      </c>
      <c r="S25" s="705">
        <f>F25</f>
        <v>100</v>
      </c>
      <c r="T25" s="704" t="s">
        <v>14</v>
      </c>
      <c r="U25" s="705">
        <f>H25</f>
        <v>100</v>
      </c>
      <c r="V25" s="704" t="s">
        <v>14</v>
      </c>
      <c r="W25" s="705">
        <f>J25</f>
        <v>100</v>
      </c>
      <c r="X25" s="1354"/>
      <c r="Y25" s="3691"/>
      <c r="Z25" s="1355" t="str">
        <f>Q25</f>
        <v>临街状况</v>
      </c>
      <c r="AA25" s="1352">
        <f t="shared" si="3"/>
        <v>1</v>
      </c>
      <c r="AB25" s="1352">
        <f t="shared" si="4"/>
        <v>1</v>
      </c>
      <c r="AC25" s="1352">
        <f t="shared" si="5"/>
        <v>1</v>
      </c>
    </row>
    <row r="26" spans="1:29" ht="15">
      <c r="A26" s="379"/>
      <c r="B26" s="1132" t="s">
        <v>1781</v>
      </c>
      <c r="C26" s="3472" t="s">
        <v>3536</v>
      </c>
      <c r="D26" s="386">
        <v>100</v>
      </c>
      <c r="E26" s="3472" t="s">
        <v>3514</v>
      </c>
      <c r="F26" s="412">
        <f>SUMIF(88:88,E26,89:89)-SUMIF(88:88,C26,89:89)+100</f>
        <v>125</v>
      </c>
      <c r="G26" s="3472" t="s">
        <v>3514</v>
      </c>
      <c r="H26" s="386">
        <f>SUMIF(88:88,G26,89:89)-SUMIF(88:88,C26,89:89)+100</f>
        <v>125</v>
      </c>
      <c r="I26" s="3472" t="s">
        <v>3514</v>
      </c>
      <c r="J26" s="386">
        <f>SUMIF(88:88,I26,89:89)-SUMIF(88:88,C26,89:89)+100</f>
        <v>125</v>
      </c>
      <c r="K26" s="562"/>
      <c r="L26" s="2720"/>
      <c r="M26" s="2714"/>
      <c r="N26" s="2714"/>
      <c r="O26" s="2714"/>
      <c r="P26" s="3689"/>
      <c r="Q26" s="1351" t="str">
        <f t="shared" si="11"/>
        <v>平面位置/可视性</v>
      </c>
      <c r="R26" s="704" t="s">
        <v>14</v>
      </c>
      <c r="S26" s="705">
        <f>F26</f>
        <v>125</v>
      </c>
      <c r="T26" s="704" t="s">
        <v>14</v>
      </c>
      <c r="U26" s="705">
        <f>H26</f>
        <v>125</v>
      </c>
      <c r="V26" s="704" t="s">
        <v>14</v>
      </c>
      <c r="W26" s="705">
        <f>J26</f>
        <v>125</v>
      </c>
      <c r="X26" s="1354"/>
      <c r="Y26" s="3691"/>
      <c r="Z26" s="1355" t="str">
        <f>Q26</f>
        <v>平面位置/可视性</v>
      </c>
      <c r="AA26" s="1352">
        <f t="shared" si="3"/>
        <v>0.8</v>
      </c>
      <c r="AB26" s="1352">
        <f t="shared" si="4"/>
        <v>0.8</v>
      </c>
      <c r="AC26" s="1352">
        <f t="shared" si="5"/>
        <v>0.8</v>
      </c>
    </row>
    <row r="27" spans="1:29" s="108" customFormat="1" ht="15">
      <c r="A27" s="382"/>
      <c r="B27" s="402" t="s">
        <v>1782</v>
      </c>
      <c r="C27" s="1955" t="s">
        <v>3456</v>
      </c>
      <c r="D27" s="413">
        <v>100</v>
      </c>
      <c r="E27" s="1955" t="s">
        <v>3438</v>
      </c>
      <c r="F27" s="415">
        <f>SUMIF(90:90,E27,91:91)-SUMIF(90:90,C27,91:91)+100</f>
        <v>98</v>
      </c>
      <c r="G27" s="1955" t="s">
        <v>3438</v>
      </c>
      <c r="H27" s="413">
        <f>SUMIF(90:90,G27,91:91)-SUMIF(90:90,C27,91:91)+100</f>
        <v>98</v>
      </c>
      <c r="I27" s="1955" t="s">
        <v>3438</v>
      </c>
      <c r="J27" s="413">
        <f>SUMIF(90:90,I27,91:91)-SUMIF(90:90,C27,91:91)+100</f>
        <v>98</v>
      </c>
      <c r="K27" s="561">
        <v>2</v>
      </c>
      <c r="L27" s="2715"/>
      <c r="M27" s="2716"/>
      <c r="N27" s="2716"/>
      <c r="O27" s="2716"/>
      <c r="P27" s="3689"/>
      <c r="Q27" s="1342" t="str">
        <f t="shared" si="11"/>
        <v>人流量</v>
      </c>
      <c r="R27" s="700" t="s">
        <v>14</v>
      </c>
      <c r="S27" s="701">
        <f>F27</f>
        <v>98</v>
      </c>
      <c r="T27" s="700" t="s">
        <v>14</v>
      </c>
      <c r="U27" s="701">
        <f>H27</f>
        <v>98</v>
      </c>
      <c r="V27" s="700" t="s">
        <v>14</v>
      </c>
      <c r="W27" s="701">
        <f>J27</f>
        <v>98</v>
      </c>
      <c r="X27" s="702"/>
      <c r="Y27" s="3691"/>
      <c r="Z27" s="52" t="str">
        <f>Q27</f>
        <v>人流量</v>
      </c>
      <c r="AA27" s="1352">
        <f>D27/F27</f>
        <v>1.0204081632653061</v>
      </c>
      <c r="AB27" s="1352">
        <f>D27/H27</f>
        <v>1.0204081632653061</v>
      </c>
      <c r="AC27" s="1352">
        <f>D27/J27</f>
        <v>1.0204081632653061</v>
      </c>
    </row>
    <row r="28" spans="1:29" ht="15">
      <c r="A28" s="379"/>
      <c r="B28" s="375" t="s">
        <v>1783</v>
      </c>
      <c r="C28" s="565" t="s">
        <v>3481</v>
      </c>
      <c r="D28" s="386">
        <v>100</v>
      </c>
      <c r="E28" s="565" t="s">
        <v>3481</v>
      </c>
      <c r="F28" s="412">
        <f>SUMIF(92:92,E28,93:93)-SUMIF(92:92,C28,93:93)+100</f>
        <v>100</v>
      </c>
      <c r="G28" s="565" t="s">
        <v>3481</v>
      </c>
      <c r="H28" s="386">
        <f>SUMIF(92:92,G28,93:93)-SUMIF(92:92,C28,93:93)+100</f>
        <v>100</v>
      </c>
      <c r="I28" s="565" t="s">
        <v>3481</v>
      </c>
      <c r="J28" s="386">
        <f>SUMIF(92:92,I28,93:93)-SUMIF(92:92,C28,93:93)+100</f>
        <v>100</v>
      </c>
      <c r="K28" s="562"/>
      <c r="L28" s="2720"/>
      <c r="M28" s="2714"/>
      <c r="N28" s="2714"/>
      <c r="O28" s="2714"/>
      <c r="P28" s="3689"/>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1"/>
      <c r="Z28" s="1355" t="str">
        <f t="shared" ref="Z28:Z46" si="15">Q28</f>
        <v>楼层</v>
      </c>
      <c r="AA28" s="1352">
        <f t="shared" si="3"/>
        <v>1</v>
      </c>
      <c r="AB28" s="1352">
        <f t="shared" si="4"/>
        <v>1</v>
      </c>
      <c r="AC28" s="1352">
        <f t="shared" si="5"/>
        <v>1</v>
      </c>
    </row>
    <row r="29" spans="1:29" ht="15">
      <c r="A29" s="379"/>
      <c r="B29" s="3475" t="s">
        <v>3537</v>
      </c>
      <c r="C29" s="385" t="s">
        <v>3538</v>
      </c>
      <c r="D29" s="386">
        <v>100</v>
      </c>
      <c r="E29" s="385" t="s">
        <v>3540</v>
      </c>
      <c r="F29" s="412">
        <f>SUMIF(94:94,E29,95:95)-SUMIF(94:94,C29,95:95)+100</f>
        <v>98</v>
      </c>
      <c r="G29" s="385" t="s">
        <v>3540</v>
      </c>
      <c r="H29" s="386">
        <f>SUMIF(94:94,G29,95:95)-SUMIF(94:94,C29,95:95)+100</f>
        <v>98</v>
      </c>
      <c r="I29" s="385" t="s">
        <v>3538</v>
      </c>
      <c r="J29" s="386">
        <f>SUMIF(94:94,I29,95:95)-SUMIF(94:94,C29,95:95)+100</f>
        <v>100</v>
      </c>
      <c r="K29" s="562"/>
      <c r="L29" s="2720"/>
      <c r="M29" s="2714"/>
      <c r="N29" s="2714"/>
      <c r="O29" s="2714"/>
      <c r="P29" s="3689"/>
      <c r="Q29" s="1351" t="str">
        <f t="shared" si="11"/>
        <v>环线位置</v>
      </c>
      <c r="R29" s="704" t="s">
        <v>14</v>
      </c>
      <c r="S29" s="705">
        <f t="shared" si="12"/>
        <v>98</v>
      </c>
      <c r="T29" s="704" t="s">
        <v>14</v>
      </c>
      <c r="U29" s="705">
        <f t="shared" si="13"/>
        <v>98</v>
      </c>
      <c r="V29" s="704" t="s">
        <v>14</v>
      </c>
      <c r="W29" s="705">
        <f t="shared" si="14"/>
        <v>100</v>
      </c>
      <c r="X29" s="1354"/>
      <c r="Y29" s="3691"/>
      <c r="Z29" s="1355" t="str">
        <f t="shared" si="15"/>
        <v>环线位置</v>
      </c>
      <c r="AA29" s="1352">
        <f t="shared" si="3"/>
        <v>1.0204081632653061</v>
      </c>
      <c r="AB29" s="1352">
        <f t="shared" si="4"/>
        <v>1.0204081632653061</v>
      </c>
      <c r="AC29" s="1352">
        <f t="shared" si="5"/>
        <v>1</v>
      </c>
    </row>
    <row r="30" spans="1:29" ht="15">
      <c r="A30" s="379"/>
      <c r="B30" s="1132"/>
      <c r="C30" s="3472"/>
      <c r="D30" s="386">
        <v>100</v>
      </c>
      <c r="E30" s="3472"/>
      <c r="F30" s="412">
        <f>SUMIF(96:96,E30,97:97)-SUMIF(96:96,C30,97:97)+100</f>
        <v>100</v>
      </c>
      <c r="G30" s="3472"/>
      <c r="H30" s="386">
        <f>SUMIF(96:96,G30,97:97)-SUMIF(96:96,C30,97:97)+100</f>
        <v>100</v>
      </c>
      <c r="I30" s="3472"/>
      <c r="J30" s="386">
        <f>SUMIF(96:96,I30,97:97)-SUMIF(96:96,C30,97:97)+100</f>
        <v>100</v>
      </c>
      <c r="K30" s="562"/>
      <c r="L30" s="2720"/>
      <c r="M30" s="2714"/>
      <c r="N30" s="2714"/>
      <c r="O30" s="2714"/>
      <c r="P30" s="3689"/>
      <c r="Q30" s="1351">
        <f t="shared" si="11"/>
        <v>0</v>
      </c>
      <c r="R30" s="704" t="s">
        <v>14</v>
      </c>
      <c r="S30" s="705">
        <f t="shared" si="12"/>
        <v>100</v>
      </c>
      <c r="T30" s="704" t="s">
        <v>14</v>
      </c>
      <c r="U30" s="705">
        <f t="shared" si="13"/>
        <v>100</v>
      </c>
      <c r="V30" s="704" t="s">
        <v>14</v>
      </c>
      <c r="W30" s="705">
        <f t="shared" si="14"/>
        <v>100</v>
      </c>
      <c r="X30" s="1354"/>
      <c r="Y30" s="3691"/>
      <c r="Z30" s="1355">
        <f t="shared" si="15"/>
        <v>0</v>
      </c>
      <c r="AA30" s="1352">
        <f t="shared" si="3"/>
        <v>1</v>
      </c>
      <c r="AB30" s="1352">
        <f t="shared" si="4"/>
        <v>1</v>
      </c>
      <c r="AC30" s="1352">
        <f t="shared" si="5"/>
        <v>1</v>
      </c>
    </row>
    <row r="31" spans="1:29" ht="15.75" thickBot="1">
      <c r="A31" s="387"/>
      <c r="B31" s="3475"/>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9"/>
      <c r="Q31" s="1351">
        <f t="shared" si="11"/>
        <v>0</v>
      </c>
      <c r="R31" s="704" t="s">
        <v>14</v>
      </c>
      <c r="S31" s="705">
        <f t="shared" si="12"/>
        <v>100</v>
      </c>
      <c r="T31" s="704" t="s">
        <v>14</v>
      </c>
      <c r="U31" s="705">
        <f t="shared" si="13"/>
        <v>100</v>
      </c>
      <c r="V31" s="704" t="s">
        <v>14</v>
      </c>
      <c r="W31" s="705">
        <f t="shared" si="14"/>
        <v>100</v>
      </c>
      <c r="X31" s="1354"/>
      <c r="Y31" s="3691"/>
      <c r="Z31" s="1355">
        <f t="shared" si="15"/>
        <v>0</v>
      </c>
      <c r="AA31" s="1352">
        <f t="shared" si="3"/>
        <v>1</v>
      </c>
      <c r="AB31" s="1352">
        <f t="shared" si="4"/>
        <v>1</v>
      </c>
      <c r="AC31" s="1352">
        <f t="shared" si="5"/>
        <v>1</v>
      </c>
    </row>
    <row r="32" spans="1:29" ht="15">
      <c r="A32" s="391" t="s">
        <v>1694</v>
      </c>
      <c r="B32" s="63" t="s">
        <v>1784</v>
      </c>
      <c r="C32" s="1909" t="s">
        <v>3421</v>
      </c>
      <c r="D32" s="418">
        <v>100</v>
      </c>
      <c r="E32" s="1909" t="s">
        <v>3421</v>
      </c>
      <c r="F32" s="412">
        <f>SUMIF(100:100,E32,101:101)-SUMIF(100:100,C32,101:101)+100</f>
        <v>100</v>
      </c>
      <c r="G32" s="1909" t="s">
        <v>3421</v>
      </c>
      <c r="H32" s="386">
        <f>SUMIF(100:100,G32,101:101)-SUMIF(100:100,C32,101:101)+100</f>
        <v>100</v>
      </c>
      <c r="I32" s="1909" t="s">
        <v>3421</v>
      </c>
      <c r="J32" s="418">
        <f>SUMIF(100:100,I32,101:101)-SUMIF(100:100,C32,101:101)+100</f>
        <v>100</v>
      </c>
      <c r="K32" s="561">
        <v>2</v>
      </c>
      <c r="L32" s="2720"/>
      <c r="M32" s="2714"/>
      <c r="N32" s="2714"/>
      <c r="O32" s="2714"/>
      <c r="P32" s="3692" t="s">
        <v>1696</v>
      </c>
      <c r="Q32" s="1351" t="str">
        <f t="shared" si="11"/>
        <v>商业类型</v>
      </c>
      <c r="R32" s="704" t="s">
        <v>14</v>
      </c>
      <c r="S32" s="705">
        <f t="shared" si="12"/>
        <v>100</v>
      </c>
      <c r="T32" s="704" t="s">
        <v>14</v>
      </c>
      <c r="U32" s="705">
        <f t="shared" si="13"/>
        <v>100</v>
      </c>
      <c r="V32" s="704" t="s">
        <v>14</v>
      </c>
      <c r="W32" s="705">
        <f t="shared" si="14"/>
        <v>100</v>
      </c>
      <c r="X32" s="1354"/>
      <c r="Y32" s="3695"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47.88</v>
      </c>
      <c r="D33" s="127">
        <v>100</v>
      </c>
      <c r="E33" s="381">
        <v>431.35</v>
      </c>
      <c r="F33" s="376">
        <f>LOOKUP(E33,103:103,104:104)-LOOKUP(C33,103:103,104:104)+100</f>
        <v>96</v>
      </c>
      <c r="G33" s="380">
        <v>126.8</v>
      </c>
      <c r="H33" s="127">
        <f>LOOKUP(G33,103:103,104:104)-LOOKUP(C33,103:103,104:104)+100</f>
        <v>98</v>
      </c>
      <c r="I33" s="380">
        <v>115</v>
      </c>
      <c r="J33" s="127">
        <f>LOOKUP(I33,103:103,104:104)-LOOKUP(C33,103:103,104:104)+100</f>
        <v>98</v>
      </c>
      <c r="K33" s="562"/>
      <c r="L33" s="2719"/>
      <c r="M33" s="2721"/>
      <c r="N33" s="2721"/>
      <c r="O33" s="2721"/>
      <c r="P33" s="3693"/>
      <c r="Q33" s="706" t="str">
        <f t="shared" si="11"/>
        <v>项目建筑规模</v>
      </c>
      <c r="R33" s="707" t="s">
        <v>14</v>
      </c>
      <c r="S33" s="708">
        <f t="shared" si="12"/>
        <v>96</v>
      </c>
      <c r="T33" s="707" t="s">
        <v>14</v>
      </c>
      <c r="U33" s="708">
        <f t="shared" si="13"/>
        <v>98</v>
      </c>
      <c r="V33" s="707" t="s">
        <v>14</v>
      </c>
      <c r="W33" s="708">
        <f t="shared" si="14"/>
        <v>98</v>
      </c>
      <c r="X33" s="709"/>
      <c r="Y33" s="3695"/>
      <c r="Z33" s="710" t="str">
        <f t="shared" si="15"/>
        <v>项目建筑规模</v>
      </c>
      <c r="AA33" s="1352">
        <f t="shared" si="3"/>
        <v>1.0416666666666667</v>
      </c>
      <c r="AB33" s="1352">
        <f t="shared" si="4"/>
        <v>1.0204081632653061</v>
      </c>
      <c r="AC33" s="1352">
        <f t="shared" si="5"/>
        <v>1.0204081632653061</v>
      </c>
    </row>
    <row r="34" spans="1:29" ht="15">
      <c r="A34" s="423"/>
      <c r="B34" s="375" t="s">
        <v>1698</v>
      </c>
      <c r="C34" s="1911" t="s">
        <v>3423</v>
      </c>
      <c r="D34" s="386">
        <v>100</v>
      </c>
      <c r="E34" s="1911" t="s">
        <v>3423</v>
      </c>
      <c r="F34" s="412">
        <f>SUMIF(105:105,E34,106:106)-SUMIF(105:105,C34,106:106)+100</f>
        <v>100</v>
      </c>
      <c r="G34" s="1911" t="s">
        <v>3423</v>
      </c>
      <c r="H34" s="386">
        <f>SUMIF(105:105,G34,106:106)-SUMIF(105:105,C34,106:106)+100</f>
        <v>100</v>
      </c>
      <c r="I34" s="1911" t="s">
        <v>3423</v>
      </c>
      <c r="J34" s="386">
        <f>SUMIF(105:105,I34,106:106)-SUMIF(105:105,C34,106:106)+100</f>
        <v>100</v>
      </c>
      <c r="K34" s="561">
        <v>1</v>
      </c>
      <c r="L34" s="2720"/>
      <c r="M34" s="2714"/>
      <c r="N34" s="2714"/>
      <c r="O34" s="2714"/>
      <c r="P34" s="3693"/>
      <c r="Q34" s="1351" t="str">
        <f t="shared" si="11"/>
        <v>建筑结构</v>
      </c>
      <c r="R34" s="704" t="s">
        <v>14</v>
      </c>
      <c r="S34" s="705">
        <f t="shared" si="12"/>
        <v>100</v>
      </c>
      <c r="T34" s="704" t="s">
        <v>14</v>
      </c>
      <c r="U34" s="705">
        <f t="shared" si="13"/>
        <v>100</v>
      </c>
      <c r="V34" s="704" t="s">
        <v>14</v>
      </c>
      <c r="W34" s="705">
        <f t="shared" si="14"/>
        <v>100</v>
      </c>
      <c r="X34" s="1354"/>
      <c r="Y34" s="3695"/>
      <c r="Z34" s="1355" t="str">
        <f t="shared" si="15"/>
        <v>建筑结构</v>
      </c>
      <c r="AA34" s="1352">
        <f t="shared" si="3"/>
        <v>1</v>
      </c>
      <c r="AB34" s="1352">
        <f t="shared" si="4"/>
        <v>1</v>
      </c>
      <c r="AC34" s="1352">
        <f t="shared" si="5"/>
        <v>1</v>
      </c>
    </row>
    <row r="35" spans="1:29" ht="15">
      <c r="A35" s="423"/>
      <c r="B35" s="375" t="s">
        <v>1785</v>
      </c>
      <c r="C35" s="1905" t="s">
        <v>3466</v>
      </c>
      <c r="D35" s="386">
        <v>100</v>
      </c>
      <c r="E35" s="1905" t="s">
        <v>3466</v>
      </c>
      <c r="F35" s="412">
        <f>SUMIF(107:107,E35,108:108)-SUMIF(107:107,C35,108:108)+100</f>
        <v>100</v>
      </c>
      <c r="G35" s="1905" t="s">
        <v>3466</v>
      </c>
      <c r="H35" s="386">
        <f>SUMIF(107:107,G35,108:108)-SUMIF(107:107,C35,108:108)+100</f>
        <v>100</v>
      </c>
      <c r="I35" s="1905" t="s">
        <v>3466</v>
      </c>
      <c r="J35" s="386">
        <f>SUMIF(107:107,I35,108:108)-SUMIF(107:107,C35,108:108)+100</f>
        <v>100</v>
      </c>
      <c r="K35" s="561">
        <v>2</v>
      </c>
      <c r="L35" s="2720"/>
      <c r="M35" s="2714"/>
      <c r="N35" s="2714"/>
      <c r="O35" s="2714"/>
      <c r="P35" s="3693"/>
      <c r="Q35" s="1351" t="str">
        <f t="shared" si="11"/>
        <v>公共部分装修</v>
      </c>
      <c r="R35" s="704" t="s">
        <v>14</v>
      </c>
      <c r="S35" s="705">
        <f t="shared" si="12"/>
        <v>100</v>
      </c>
      <c r="T35" s="704" t="s">
        <v>14</v>
      </c>
      <c r="U35" s="705">
        <f t="shared" si="13"/>
        <v>100</v>
      </c>
      <c r="V35" s="704" t="s">
        <v>14</v>
      </c>
      <c r="W35" s="705">
        <f t="shared" si="14"/>
        <v>100</v>
      </c>
      <c r="X35" s="1354"/>
      <c r="Y35" s="3695"/>
      <c r="Z35" s="1355" t="str">
        <f t="shared" si="15"/>
        <v>公共部分装修</v>
      </c>
      <c r="AA35" s="1352">
        <f t="shared" si="3"/>
        <v>1</v>
      </c>
      <c r="AB35" s="1352">
        <f t="shared" si="4"/>
        <v>1</v>
      </c>
      <c r="AC35" s="1352">
        <f t="shared" si="5"/>
        <v>1</v>
      </c>
    </row>
    <row r="36" spans="1:29" ht="15">
      <c r="A36" s="423"/>
      <c r="B36" s="375" t="s">
        <v>1786</v>
      </c>
      <c r="C36" s="425">
        <f>'数据-取费表'!N6</f>
        <v>0.75</v>
      </c>
      <c r="D36" s="386">
        <v>100</v>
      </c>
      <c r="E36" s="425">
        <v>0.67</v>
      </c>
      <c r="F36" s="412">
        <f>LOOKUP(E36,110:110,111:111)-LOOKUP(C36,110:110,111:111)+100</f>
        <v>98</v>
      </c>
      <c r="G36" s="425">
        <v>0.67</v>
      </c>
      <c r="H36" s="412">
        <f>LOOKUP(G36,110:110,111:111)-LOOKUP(C36,110:110,111:111)+100</f>
        <v>98</v>
      </c>
      <c r="I36" s="425">
        <v>0.78</v>
      </c>
      <c r="J36" s="386">
        <f>LOOKUP(I36,110:110,111:111)-LOOKUP(C36,110:110,111:111)+100</f>
        <v>100</v>
      </c>
      <c r="K36" s="561">
        <v>2</v>
      </c>
      <c r="L36" s="2720"/>
      <c r="M36" s="2714"/>
      <c r="N36" s="2714"/>
      <c r="O36" s="2714"/>
      <c r="P36" s="3693"/>
      <c r="Q36" s="1351" t="str">
        <f t="shared" si="11"/>
        <v>成新度</v>
      </c>
      <c r="R36" s="704" t="s">
        <v>14</v>
      </c>
      <c r="S36" s="705">
        <f t="shared" si="12"/>
        <v>98</v>
      </c>
      <c r="T36" s="704" t="s">
        <v>14</v>
      </c>
      <c r="U36" s="705">
        <f t="shared" si="13"/>
        <v>98</v>
      </c>
      <c r="V36" s="704" t="s">
        <v>14</v>
      </c>
      <c r="W36" s="705">
        <f t="shared" si="14"/>
        <v>100</v>
      </c>
      <c r="X36" s="1354"/>
      <c r="Y36" s="3695"/>
      <c r="Z36" s="1355" t="str">
        <f t="shared" si="15"/>
        <v>成新度</v>
      </c>
      <c r="AA36" s="1352">
        <f t="shared" si="3"/>
        <v>1.0204081632653061</v>
      </c>
      <c r="AB36" s="1352">
        <f t="shared" si="4"/>
        <v>1.0204081632653061</v>
      </c>
      <c r="AC36" s="1352">
        <f t="shared" si="5"/>
        <v>1</v>
      </c>
    </row>
    <row r="37" spans="1:29" s="108" customFormat="1" ht="15" hidden="1">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693"/>
      <c r="Q37" s="1342" t="str">
        <f t="shared" si="11"/>
        <v>市政基础设施</v>
      </c>
      <c r="R37" s="700" t="s">
        <v>14</v>
      </c>
      <c r="S37" s="701">
        <f t="shared" si="12"/>
        <v>100</v>
      </c>
      <c r="T37" s="700" t="s">
        <v>14</v>
      </c>
      <c r="U37" s="701">
        <f t="shared" si="13"/>
        <v>100</v>
      </c>
      <c r="V37" s="700" t="s">
        <v>14</v>
      </c>
      <c r="W37" s="701">
        <f t="shared" si="14"/>
        <v>100</v>
      </c>
      <c r="X37" s="702"/>
      <c r="Y37" s="3695"/>
      <c r="Z37" s="52" t="str">
        <f t="shared" si="15"/>
        <v>市政基础设施</v>
      </c>
      <c r="AA37" s="703">
        <f t="shared" si="3"/>
        <v>1</v>
      </c>
      <c r="AB37" s="703">
        <f t="shared" si="4"/>
        <v>1</v>
      </c>
      <c r="AC37" s="703">
        <f t="shared" si="5"/>
        <v>1</v>
      </c>
    </row>
    <row r="38" spans="1:29" ht="15">
      <c r="A38" s="423"/>
      <c r="B38" s="375" t="s">
        <v>1788</v>
      </c>
      <c r="C38" s="1905" t="s">
        <v>3473</v>
      </c>
      <c r="D38" s="386">
        <v>100</v>
      </c>
      <c r="E38" s="1905" t="s">
        <v>3475</v>
      </c>
      <c r="F38" s="412">
        <f>SUMIF(114:114,E38,115:115)-SUMIF(114:114,C38,115:115)+100</f>
        <v>98</v>
      </c>
      <c r="G38" s="1905" t="s">
        <v>3475</v>
      </c>
      <c r="H38" s="386">
        <f>SUMIF(114:114,G38,115:115)-SUMIF(114:114,C38,115:115)+100</f>
        <v>98</v>
      </c>
      <c r="I38" s="1905" t="s">
        <v>3475</v>
      </c>
      <c r="J38" s="386">
        <f>SUMIF(114:114,I38,115:115)-SUMIF(114:114,C38,115:115)+100</f>
        <v>98</v>
      </c>
      <c r="K38" s="561">
        <v>2</v>
      </c>
      <c r="L38" s="2720"/>
      <c r="M38" s="2714"/>
      <c r="N38" s="2714"/>
      <c r="O38" s="2714"/>
      <c r="P38" s="3693" t="s">
        <v>1696</v>
      </c>
      <c r="Q38" s="1351" t="str">
        <f t="shared" si="11"/>
        <v>业态</v>
      </c>
      <c r="R38" s="704" t="s">
        <v>14</v>
      </c>
      <c r="S38" s="705">
        <f t="shared" si="12"/>
        <v>98</v>
      </c>
      <c r="T38" s="704" t="s">
        <v>14</v>
      </c>
      <c r="U38" s="705">
        <f t="shared" si="13"/>
        <v>98</v>
      </c>
      <c r="V38" s="704" t="s">
        <v>14</v>
      </c>
      <c r="W38" s="705">
        <f t="shared" si="14"/>
        <v>98</v>
      </c>
      <c r="X38" s="1354"/>
      <c r="Y38" s="3695" t="s">
        <v>1696</v>
      </c>
      <c r="Z38" s="1355" t="str">
        <f t="shared" si="15"/>
        <v>业态</v>
      </c>
      <c r="AA38" s="1352">
        <f t="shared" si="3"/>
        <v>1.0204081632653061</v>
      </c>
      <c r="AB38" s="1352">
        <f t="shared" si="4"/>
        <v>1.0204081632653061</v>
      </c>
      <c r="AC38" s="1352">
        <f t="shared" si="5"/>
        <v>1.0204081632653061</v>
      </c>
    </row>
    <row r="39" spans="1:29" ht="15">
      <c r="A39" s="423"/>
      <c r="B39" s="375" t="s">
        <v>1789</v>
      </c>
      <c r="C39" s="1905" t="s">
        <v>3471</v>
      </c>
      <c r="D39" s="386">
        <v>100</v>
      </c>
      <c r="E39" s="1905" t="s">
        <v>3471</v>
      </c>
      <c r="F39" s="412">
        <f>SUMIF(116:116,E39,117:117)-SUMIF(116:116,C39,117:117)+100</f>
        <v>100</v>
      </c>
      <c r="G39" s="1905" t="s">
        <v>3471</v>
      </c>
      <c r="H39" s="386">
        <f>SUMIF(116:116,G39,117:117)-SUMIF(116:116,C39,117:117)+100</f>
        <v>100</v>
      </c>
      <c r="I39" s="1905" t="s">
        <v>3471</v>
      </c>
      <c r="J39" s="386">
        <f>SUMIF(116:116,I39,117:117)-SUMIF(116:116,C39,117:117)+100</f>
        <v>100</v>
      </c>
      <c r="K39" s="561">
        <v>2</v>
      </c>
      <c r="L39" s="2720"/>
      <c r="M39" s="2714"/>
      <c r="N39" s="2714"/>
      <c r="O39" s="2714"/>
      <c r="P39" s="3693"/>
      <c r="Q39" s="1351" t="str">
        <f t="shared" si="11"/>
        <v>层高</v>
      </c>
      <c r="R39" s="704" t="s">
        <v>14</v>
      </c>
      <c r="S39" s="705">
        <f t="shared" si="12"/>
        <v>100</v>
      </c>
      <c r="T39" s="704" t="s">
        <v>14</v>
      </c>
      <c r="U39" s="705">
        <f t="shared" si="13"/>
        <v>100</v>
      </c>
      <c r="V39" s="704" t="s">
        <v>14</v>
      </c>
      <c r="W39" s="705">
        <f t="shared" si="14"/>
        <v>100</v>
      </c>
      <c r="X39" s="1354"/>
      <c r="Y39" s="3695"/>
      <c r="Z39" s="1355" t="str">
        <f t="shared" si="15"/>
        <v>层高</v>
      </c>
      <c r="AA39" s="1352">
        <f t="shared" si="3"/>
        <v>1</v>
      </c>
      <c r="AB39" s="1352">
        <f t="shared" si="4"/>
        <v>1</v>
      </c>
      <c r="AC39" s="1352">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693"/>
      <c r="Q40" s="1351" t="str">
        <f t="shared" si="11"/>
        <v>单套建筑面积</v>
      </c>
      <c r="R40" s="704" t="s">
        <v>14</v>
      </c>
      <c r="S40" s="705">
        <f t="shared" si="12"/>
        <v>100</v>
      </c>
      <c r="T40" s="704" t="s">
        <v>14</v>
      </c>
      <c r="U40" s="705">
        <f t="shared" si="13"/>
        <v>100</v>
      </c>
      <c r="V40" s="704" t="s">
        <v>14</v>
      </c>
      <c r="W40" s="705">
        <f t="shared" si="14"/>
        <v>100</v>
      </c>
      <c r="X40" s="1354"/>
      <c r="Y40" s="3695"/>
      <c r="Z40" s="1355" t="str">
        <f t="shared" si="15"/>
        <v>单套建筑面积</v>
      </c>
      <c r="AA40" s="1352">
        <f t="shared" si="3"/>
        <v>1</v>
      </c>
      <c r="AB40" s="1352">
        <f t="shared" si="4"/>
        <v>1</v>
      </c>
      <c r="AC40" s="1352">
        <f t="shared" si="5"/>
        <v>1</v>
      </c>
    </row>
    <row r="41" spans="1:29" s="422" customFormat="1" ht="15" hidden="1">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3"/>
      <c r="Q41" s="706" t="str">
        <f t="shared" si="11"/>
        <v>进深比</v>
      </c>
      <c r="R41" s="707" t="s">
        <v>14</v>
      </c>
      <c r="S41" s="708">
        <f t="shared" si="12"/>
        <v>100</v>
      </c>
      <c r="T41" s="707" t="s">
        <v>14</v>
      </c>
      <c r="U41" s="708">
        <f t="shared" si="13"/>
        <v>100</v>
      </c>
      <c r="V41" s="707" t="s">
        <v>14</v>
      </c>
      <c r="W41" s="708">
        <f t="shared" si="14"/>
        <v>100</v>
      </c>
      <c r="X41" s="709"/>
      <c r="Y41" s="3695"/>
      <c r="Z41" s="710" t="str">
        <f t="shared" si="15"/>
        <v>进深比</v>
      </c>
      <c r="AA41" s="1352">
        <f t="shared" si="3"/>
        <v>1</v>
      </c>
      <c r="AB41" s="1352">
        <f t="shared" si="4"/>
        <v>1</v>
      </c>
      <c r="AC41" s="1352">
        <f t="shared" si="5"/>
        <v>1</v>
      </c>
    </row>
    <row r="42" spans="1:29" ht="15">
      <c r="A42" s="423"/>
      <c r="B42" s="375" t="s">
        <v>1792</v>
      </c>
      <c r="C42" s="1905" t="s">
        <v>3466</v>
      </c>
      <c r="D42" s="386">
        <v>100</v>
      </c>
      <c r="E42" s="1905" t="s">
        <v>3466</v>
      </c>
      <c r="F42" s="412">
        <f>SUMIF(122:122,E42,123:123)-SUMIF(122:122,C42,123:123)+100</f>
        <v>100</v>
      </c>
      <c r="G42" s="1905" t="s">
        <v>3466</v>
      </c>
      <c r="H42" s="386">
        <f>SUMIF(122:122,G42,123:123)-SUMIF(122:122,C42,123:123)+100</f>
        <v>100</v>
      </c>
      <c r="I42" s="1905" t="s">
        <v>3466</v>
      </c>
      <c r="J42" s="386">
        <f>SUMIF(122:122,I42,123:123)-SUMIF(122:122,C42,123:123)+100</f>
        <v>100</v>
      </c>
      <c r="K42" s="561">
        <v>2</v>
      </c>
      <c r="L42" s="2720"/>
      <c r="M42" s="2714"/>
      <c r="N42" s="2714"/>
      <c r="O42" s="2714"/>
      <c r="P42" s="3693"/>
      <c r="Q42" s="1351" t="str">
        <f t="shared" si="11"/>
        <v>内部装修</v>
      </c>
      <c r="R42" s="704" t="s">
        <v>14</v>
      </c>
      <c r="S42" s="705">
        <f t="shared" si="12"/>
        <v>100</v>
      </c>
      <c r="T42" s="704" t="s">
        <v>14</v>
      </c>
      <c r="U42" s="705">
        <f t="shared" si="13"/>
        <v>100</v>
      </c>
      <c r="V42" s="704" t="s">
        <v>14</v>
      </c>
      <c r="W42" s="705">
        <f t="shared" si="14"/>
        <v>100</v>
      </c>
      <c r="X42" s="1354"/>
      <c r="Y42" s="3695"/>
      <c r="Z42" s="1355" t="str">
        <f t="shared" si="15"/>
        <v>内部装修</v>
      </c>
      <c r="AA42" s="1352">
        <f t="shared" si="3"/>
        <v>1</v>
      </c>
      <c r="AB42" s="1352">
        <f t="shared" si="4"/>
        <v>1</v>
      </c>
      <c r="AC42" s="1352">
        <f t="shared" si="5"/>
        <v>1</v>
      </c>
    </row>
    <row r="43" spans="1:29" ht="15">
      <c r="A43" s="423"/>
      <c r="B43" s="375" t="s">
        <v>1707</v>
      </c>
      <c r="C43" s="1905" t="s">
        <v>3437</v>
      </c>
      <c r="D43" s="386">
        <v>100</v>
      </c>
      <c r="E43" s="1905" t="s">
        <v>3437</v>
      </c>
      <c r="F43" s="412">
        <f>SUMIF(124:124,E43,125:125)-SUMIF(124:124,C43,125:125)+100</f>
        <v>100</v>
      </c>
      <c r="G43" s="1905" t="s">
        <v>3437</v>
      </c>
      <c r="H43" s="386">
        <f>SUMIF(124:124,G43,125:125)-SUMIF(124:124,C43,125:125)+100</f>
        <v>100</v>
      </c>
      <c r="I43" s="1905" t="s">
        <v>3437</v>
      </c>
      <c r="J43" s="386">
        <f>SUMIF(124:124,I43,125:125)-SUMIF(124:124,C43,125:125)+100</f>
        <v>100</v>
      </c>
      <c r="K43" s="561">
        <v>1</v>
      </c>
      <c r="L43" s="2720"/>
      <c r="M43" s="2714"/>
      <c r="N43" s="2714"/>
      <c r="O43" s="2714"/>
      <c r="P43" s="3693"/>
      <c r="Q43" s="1351" t="str">
        <f t="shared" si="11"/>
        <v>内部装修维护情况</v>
      </c>
      <c r="R43" s="704" t="s">
        <v>14</v>
      </c>
      <c r="S43" s="705">
        <f t="shared" si="12"/>
        <v>100</v>
      </c>
      <c r="T43" s="704" t="s">
        <v>14</v>
      </c>
      <c r="U43" s="705">
        <f t="shared" si="13"/>
        <v>100</v>
      </c>
      <c r="V43" s="704" t="s">
        <v>14</v>
      </c>
      <c r="W43" s="705">
        <f t="shared" si="14"/>
        <v>100</v>
      </c>
      <c r="X43" s="1354"/>
      <c r="Y43" s="3695"/>
      <c r="Z43" s="1355" t="str">
        <f t="shared" si="15"/>
        <v>内部装修维护情况</v>
      </c>
      <c r="AA43" s="1352">
        <f t="shared" si="3"/>
        <v>1</v>
      </c>
      <c r="AB43" s="1352">
        <f t="shared" si="4"/>
        <v>1</v>
      </c>
      <c r="AC43" s="1352">
        <f t="shared" si="5"/>
        <v>1</v>
      </c>
    </row>
    <row r="44" spans="1:29" s="108" customFormat="1" ht="15">
      <c r="A44" s="424"/>
      <c r="B44" s="3475" t="s">
        <v>3504</v>
      </c>
      <c r="C44" s="420">
        <f>'数据-取费表'!N18</f>
        <v>2010</v>
      </c>
      <c r="D44" s="127">
        <v>100</v>
      </c>
      <c r="E44" s="385" t="s">
        <v>3541</v>
      </c>
      <c r="F44" s="376">
        <f>SUMIF(126:126,E44,127:127)-SUMIF(126:126,C44,127:127)+100</f>
        <v>100</v>
      </c>
      <c r="G44" s="385">
        <v>2005</v>
      </c>
      <c r="H44" s="127">
        <f>SUMIF(126:126,G44,127:127)-SUMIF(126:126,C44,127:127)+100</f>
        <v>100</v>
      </c>
      <c r="I44" s="385" t="s">
        <v>3506</v>
      </c>
      <c r="J44" s="127">
        <f>SUMIF(126:126,I44,127:127)-SUMIF(126:126,C44,127:127)+100</f>
        <v>100</v>
      </c>
      <c r="K44" s="562"/>
      <c r="L44" s="2715"/>
      <c r="M44" s="2716"/>
      <c r="N44" s="2716"/>
      <c r="O44" s="2716"/>
      <c r="P44" s="3693"/>
      <c r="Q44" s="1342" t="str">
        <f t="shared" si="11"/>
        <v>建成年代</v>
      </c>
      <c r="R44" s="700" t="s">
        <v>14</v>
      </c>
      <c r="S44" s="701">
        <f t="shared" si="12"/>
        <v>100</v>
      </c>
      <c r="T44" s="700" t="s">
        <v>14</v>
      </c>
      <c r="U44" s="701">
        <f t="shared" si="13"/>
        <v>100</v>
      </c>
      <c r="V44" s="700" t="s">
        <v>14</v>
      </c>
      <c r="W44" s="701">
        <f t="shared" si="14"/>
        <v>100</v>
      </c>
      <c r="X44" s="702"/>
      <c r="Y44" s="3695"/>
      <c r="Z44" s="52" t="str">
        <f t="shared" si="15"/>
        <v>建成年代</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3"/>
      <c r="Q45" s="1351">
        <f t="shared" si="11"/>
        <v>111</v>
      </c>
      <c r="R45" s="704" t="s">
        <v>14</v>
      </c>
      <c r="S45" s="705">
        <f t="shared" si="12"/>
        <v>100</v>
      </c>
      <c r="T45" s="704" t="s">
        <v>14</v>
      </c>
      <c r="U45" s="705">
        <f t="shared" si="13"/>
        <v>100</v>
      </c>
      <c r="V45" s="704" t="s">
        <v>14</v>
      </c>
      <c r="W45" s="705">
        <f t="shared" si="14"/>
        <v>100</v>
      </c>
      <c r="X45" s="1354"/>
      <c r="Y45" s="369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4"/>
      <c r="Q46" s="1351">
        <f t="shared" si="11"/>
        <v>111</v>
      </c>
      <c r="R46" s="704" t="s">
        <v>14</v>
      </c>
      <c r="S46" s="705">
        <f t="shared" si="12"/>
        <v>100</v>
      </c>
      <c r="T46" s="704" t="s">
        <v>14</v>
      </c>
      <c r="U46" s="705">
        <f t="shared" si="13"/>
        <v>100</v>
      </c>
      <c r="V46" s="704" t="s">
        <v>14</v>
      </c>
      <c r="W46" s="705">
        <f t="shared" si="14"/>
        <v>100</v>
      </c>
      <c r="X46" s="1354"/>
      <c r="Y46" s="3696"/>
      <c r="Z46" s="1355">
        <f t="shared" si="15"/>
        <v>111</v>
      </c>
      <c r="AA46" s="1352">
        <f t="shared" si="3"/>
        <v>1</v>
      </c>
      <c r="AB46" s="1352">
        <f t="shared" si="4"/>
        <v>1</v>
      </c>
      <c r="AC46" s="1352">
        <f t="shared" si="5"/>
        <v>1</v>
      </c>
    </row>
    <row r="47" spans="1:29" ht="15">
      <c r="A47" s="430" t="s">
        <v>1708</v>
      </c>
      <c r="B47" s="431"/>
      <c r="C47" s="1153" t="s">
        <v>0</v>
      </c>
      <c r="D47" s="1154"/>
      <c r="E47" s="3497">
        <v>69480</v>
      </c>
      <c r="F47" s="1156"/>
      <c r="G47" s="3498">
        <v>67824</v>
      </c>
      <c r="H47" s="1158"/>
      <c r="I47" s="3498">
        <v>65218</v>
      </c>
      <c r="J47" s="1158"/>
      <c r="K47" s="713"/>
      <c r="L47" s="2722"/>
      <c r="M47" s="2723"/>
      <c r="N47" s="2714"/>
      <c r="O47" s="2723"/>
      <c r="P47" s="3683" t="str">
        <f>A47</f>
        <v>成交单价（元/平方米）</v>
      </c>
      <c r="Q47" s="3683"/>
      <c r="R47" s="3697">
        <f>E47</f>
        <v>69480</v>
      </c>
      <c r="S47" s="3697"/>
      <c r="T47" s="3697">
        <f>G47</f>
        <v>67824</v>
      </c>
      <c r="U47" s="3697"/>
      <c r="V47" s="3697">
        <f>I47</f>
        <v>65218</v>
      </c>
      <c r="W47" s="3697"/>
      <c r="X47" s="689"/>
      <c r="Y47" s="711"/>
      <c r="Z47" s="689"/>
      <c r="AA47" s="689"/>
      <c r="AB47" s="689"/>
      <c r="AC47" s="689"/>
    </row>
    <row r="48" spans="1:29" ht="15.75" thickBot="1">
      <c r="A48" s="437" t="s">
        <v>1793</v>
      </c>
      <c r="B48" s="438"/>
      <c r="C48" s="1159">
        <f>R49</f>
        <v>56070</v>
      </c>
      <c r="D48" s="2316" t="s">
        <v>2138</v>
      </c>
      <c r="E48" s="1160">
        <f>R48</f>
        <v>59784</v>
      </c>
      <c r="F48" s="2317"/>
      <c r="G48" s="1159">
        <f>T48</f>
        <v>57168</v>
      </c>
      <c r="H48" s="2317"/>
      <c r="I48" s="1160">
        <f>V48</f>
        <v>51257</v>
      </c>
      <c r="J48" s="2317"/>
      <c r="K48" s="2319">
        <f>F48+H48+J48</f>
        <v>0</v>
      </c>
      <c r="L48" s="2722"/>
      <c r="M48" s="2723"/>
      <c r="N48" s="2714"/>
      <c r="O48" s="2723"/>
      <c r="P48" s="3683" t="str">
        <f>A48</f>
        <v>比较价值（元/平方米）</v>
      </c>
      <c r="Q48" s="3683"/>
      <c r="R48" s="3684">
        <f>IF(F1="售价",ROUND(PRODUCT(R47,AA7:AA46),0),ROUND(PRODUCT(R47,AA7:AA46),1))</f>
        <v>59784</v>
      </c>
      <c r="S48" s="3684"/>
      <c r="T48" s="3684">
        <f>IF(F1="售价",ROUND(PRODUCT(T47,AB7:AB46),0),ROUND(PRODUCT(T47,AB7:AB46),1))</f>
        <v>57168</v>
      </c>
      <c r="U48" s="3684"/>
      <c r="V48" s="3684">
        <f>IF(F1="售价",ROUND(PRODUCT(V47,AC7:AC46),0),ROUND(PRODUCT(V47,AC7:AC46),1))</f>
        <v>51257</v>
      </c>
      <c r="W48" s="3684"/>
      <c r="X48" s="689"/>
      <c r="Y48" s="689"/>
      <c r="Z48" s="689"/>
      <c r="AA48" s="689"/>
      <c r="AB48" s="689"/>
      <c r="AC48" s="689"/>
    </row>
    <row r="49" spans="1:29" ht="15.75" thickBot="1">
      <c r="A49" s="441" t="s">
        <v>1794</v>
      </c>
      <c r="B49" s="442"/>
      <c r="C49" s="1162">
        <f>R49</f>
        <v>56070</v>
      </c>
      <c r="D49" s="1162"/>
      <c r="E49" s="1162"/>
      <c r="F49" s="1162"/>
      <c r="G49" s="1162"/>
      <c r="H49" s="1162"/>
      <c r="I49" s="1162"/>
      <c r="J49" s="1162"/>
      <c r="K49" s="714"/>
      <c r="L49" s="2722"/>
      <c r="M49" s="2723"/>
      <c r="N49" s="2714"/>
      <c r="O49" s="2723"/>
      <c r="P49" s="3685" t="str">
        <f>A49</f>
        <v>估价对象XX用房的比较价值（楼面单价，元/平方米）</v>
      </c>
      <c r="Q49" s="3686"/>
      <c r="R49" s="3687">
        <f>IF(F1="售价",ROUND(IF(D48="简单平均",AVERAGE(R48:V48),R48*F48+T48*H48+V48*J48),0),ROUND(IF(D48="简单平均",AVERAGE(R48:V48),R48*F48+T48*H48+V48*J48),1))</f>
        <v>56070</v>
      </c>
      <c r="S49" s="3687"/>
      <c r="T49" s="3687"/>
      <c r="U49" s="3687"/>
      <c r="V49" s="3687"/>
      <c r="W49" s="3687"/>
      <c r="X49" s="689"/>
      <c r="Y49" s="689"/>
      <c r="Z49" s="689"/>
      <c r="AA49" s="689"/>
      <c r="AB49" s="689"/>
      <c r="AC49" s="689"/>
    </row>
    <row r="50" spans="1:29">
      <c r="A50" s="2723"/>
      <c r="B50" s="2723"/>
      <c r="C50" s="3473"/>
      <c r="D50" s="2723"/>
      <c r="E50" s="2723"/>
      <c r="F50" s="2723"/>
      <c r="G50" s="3474"/>
      <c r="H50" s="3474"/>
      <c r="I50" s="3474"/>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0.16218386190285017</v>
      </c>
      <c r="F52" s="449" t="str">
        <f>IF(OR(E52&gt;=0.3,E52&lt;=-0.3),"超过30%","")</f>
        <v/>
      </c>
      <c r="G52" s="448">
        <f>IF(G47&lt;G48,G48/G47-1,G47/G48-1)</f>
        <v>0.18639798488664994</v>
      </c>
      <c r="H52" s="449" t="str">
        <f>IF(OR(G52&gt;=0.3,G52&lt;=-0.3),"超过30%","")</f>
        <v/>
      </c>
      <c r="I52" s="448">
        <f>IF(I47&lt;I48,I48/I47-1,I47/I48-1)</f>
        <v>0.27237255399262539</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4.5759865659110055E-2</v>
      </c>
      <c r="F53" s="449" t="str">
        <f>IF(OR(E53&gt;=0.2,E53&lt;=-0.2),"超过20%","")</f>
        <v/>
      </c>
      <c r="G53" s="448">
        <f>IF(G48&lt;I48,I48/G48-1,G48/I48-1)</f>
        <v>0.11532083422752004</v>
      </c>
      <c r="H53" s="449" t="str">
        <f>IF(OR(G53&gt;=0.2,G53&lt;=-0.2),"超过20%","")</f>
        <v/>
      </c>
      <c r="I53" s="448">
        <f>IF(I48&lt;E48,E48/I48-1,I48/E48-1)</f>
        <v>0.16635776576857797</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2.441613588110414E-2</v>
      </c>
      <c r="F54" s="449" t="str">
        <f>IF(OR(E54&gt;=0.3,E54&lt;=-0.3),"超过30%","")</f>
        <v/>
      </c>
      <c r="G54" s="448">
        <f>IF(G47&lt;I47,I47/G47-1,G47/I47-1)</f>
        <v>3.9958293722591964E-2</v>
      </c>
      <c r="H54" s="449" t="str">
        <f>IF(OR(G54&gt;=0.3,G54&lt;=-0.3),"超过30%","")</f>
        <v/>
      </c>
      <c r="I54" s="448">
        <f>IF(I47&lt;E47,E47/I47-1,I47/E47-1)</f>
        <v>6.5350056732803807E-2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2025-6</v>
      </c>
      <c r="D58" s="1184">
        <f>EDATE(C58,-1)</f>
        <v>45778</v>
      </c>
      <c r="E58" s="1184">
        <f t="shared" ref="E58:N58" si="16">EDATE(D58,-1)</f>
        <v>45748</v>
      </c>
      <c r="F58" s="1184">
        <f t="shared" si="16"/>
        <v>45717</v>
      </c>
      <c r="G58" s="1184">
        <f t="shared" si="16"/>
        <v>45689</v>
      </c>
      <c r="H58" s="1184">
        <f t="shared" si="16"/>
        <v>45658</v>
      </c>
      <c r="I58" s="1184">
        <f t="shared" si="16"/>
        <v>45627</v>
      </c>
      <c r="J58" s="1184">
        <f t="shared" si="16"/>
        <v>45597</v>
      </c>
      <c r="K58" s="1184">
        <f t="shared" si="16"/>
        <v>45566</v>
      </c>
      <c r="L58" s="1184">
        <f t="shared" si="16"/>
        <v>45536</v>
      </c>
      <c r="M58" s="1184">
        <f t="shared" si="16"/>
        <v>45505</v>
      </c>
      <c r="N58" s="1184">
        <f t="shared" si="16"/>
        <v>45474</v>
      </c>
      <c r="O58" s="1184">
        <f>EDATE(N58,-1)</f>
        <v>45444</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1681</v>
      </c>
      <c r="B61" s="459"/>
      <c r="C61" s="471" t="s">
        <v>1776</v>
      </c>
      <c r="D61" s="3466" t="s">
        <v>3450</v>
      </c>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t="s">
        <v>3451</v>
      </c>
      <c r="D65" s="532" t="s">
        <v>3452</v>
      </c>
      <c r="E65" s="532" t="s">
        <v>3453</v>
      </c>
      <c r="F65" s="532" t="s">
        <v>3454</v>
      </c>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v>100</v>
      </c>
      <c r="D66" s="485">
        <f>C66-$N$66</f>
        <v>97</v>
      </c>
      <c r="E66" s="485">
        <f t="shared" ref="E66:F66" si="17">D66-$N$66</f>
        <v>94</v>
      </c>
      <c r="F66" s="485">
        <f t="shared" si="17"/>
        <v>91</v>
      </c>
      <c r="G66" s="485"/>
      <c r="H66" s="485"/>
      <c r="I66" s="485"/>
      <c r="J66" s="485"/>
      <c r="K66" s="485"/>
      <c r="L66" s="485"/>
      <c r="M66" s="486"/>
      <c r="N66" s="2752">
        <v>3</v>
      </c>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0（含）-2</v>
      </c>
      <c r="D67" s="496" t="str">
        <f t="shared" ref="D67:L67" si="18">D68&amp;"（含）"&amp;"-"&amp;E68</f>
        <v>2（含）-4</v>
      </c>
      <c r="E67" s="496" t="str">
        <f t="shared" si="18"/>
        <v>4（含）-6</v>
      </c>
      <c r="F67" s="496" t="str">
        <f t="shared" si="18"/>
        <v>6（含）-8</v>
      </c>
      <c r="G67" s="496" t="str">
        <f t="shared" si="18"/>
        <v>8（含）-</v>
      </c>
      <c r="H67" s="496" t="str">
        <f t="shared" si="18"/>
        <v>（含）-</v>
      </c>
      <c r="I67" s="496" t="str">
        <f t="shared" si="18"/>
        <v>（含）-</v>
      </c>
      <c r="J67" s="496" t="str">
        <f t="shared" si="18"/>
        <v>（含）-</v>
      </c>
      <c r="K67" s="496" t="str">
        <f t="shared" si="18"/>
        <v>（含）-</v>
      </c>
      <c r="L67" s="496" t="str">
        <f t="shared" si="18"/>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2</v>
      </c>
      <c r="E68" s="498">
        <v>4</v>
      </c>
      <c r="F68" s="498">
        <v>6</v>
      </c>
      <c r="G68" s="498">
        <v>8</v>
      </c>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97</v>
      </c>
      <c r="E85" s="493">
        <f>D85-$K23</f>
        <v>94</v>
      </c>
      <c r="F85" s="493">
        <f>E85-$K23</f>
        <v>91</v>
      </c>
      <c r="G85" s="493">
        <f>F85-$K23</f>
        <v>88</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67" t="s">
        <v>3542</v>
      </c>
      <c r="D86" s="3467"/>
      <c r="E86" s="3467"/>
      <c r="F86" s="3467"/>
      <c r="G86" s="3467"/>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67" t="s">
        <v>3513</v>
      </c>
      <c r="D88" s="3467" t="s">
        <v>3512</v>
      </c>
      <c r="E88" s="503"/>
      <c r="F88" s="1926"/>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v>100</v>
      </c>
      <c r="D89" s="485">
        <v>75</v>
      </c>
      <c r="E89" s="485"/>
      <c r="F89" s="485"/>
      <c r="G89" s="485"/>
      <c r="H89" s="485"/>
      <c r="I89" s="485"/>
      <c r="J89" s="485"/>
      <c r="K89" s="485"/>
      <c r="L89" s="485"/>
      <c r="M89" s="485"/>
      <c r="N89" s="2752">
        <v>5</v>
      </c>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3467" t="s">
        <v>3455</v>
      </c>
      <c r="D90" s="3467" t="s">
        <v>3457</v>
      </c>
      <c r="E90" s="3467" t="s">
        <v>3458</v>
      </c>
      <c r="F90" s="3467" t="s">
        <v>3459</v>
      </c>
      <c r="G90" s="3467" t="s">
        <v>3460</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t="str">
        <f>B29</f>
        <v>环线位置</v>
      </c>
      <c r="C94" s="385" t="s">
        <v>3538</v>
      </c>
      <c r="D94" s="385" t="s">
        <v>3540</v>
      </c>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v>100</v>
      </c>
      <c r="D95" s="485">
        <v>98</v>
      </c>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0</v>
      </c>
      <c r="C96" s="3467"/>
      <c r="D96" s="3467"/>
      <c r="E96" s="3467"/>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v>5</v>
      </c>
      <c r="O97" s="2752"/>
      <c r="P97" s="2742"/>
      <c r="Q97" s="2737"/>
      <c r="R97" s="2723"/>
      <c r="S97" s="2723"/>
      <c r="T97" s="2723"/>
      <c r="U97" s="2723"/>
      <c r="V97" s="2723"/>
      <c r="W97" s="2723"/>
      <c r="X97" s="2723"/>
      <c r="Y97" s="2723"/>
      <c r="Z97" s="2723"/>
      <c r="AA97" s="2723"/>
      <c r="AB97" s="2723"/>
      <c r="AC97" s="2723"/>
    </row>
    <row r="98" spans="1:29" ht="15.75" thickTop="1">
      <c r="A98" s="483"/>
      <c r="B98" s="495">
        <f>B31</f>
        <v>0</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70" t="s">
        <v>3464</v>
      </c>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0(含)-50</v>
      </c>
      <c r="D102" s="527" t="str">
        <f t="shared" ref="D102:L102" si="24">D103&amp;"(含)"&amp;"-"&amp;E103</f>
        <v>50(含)-100</v>
      </c>
      <c r="E102" s="527" t="str">
        <f t="shared" si="24"/>
        <v>100(含)-150</v>
      </c>
      <c r="F102" s="527" t="str">
        <f t="shared" si="24"/>
        <v>150(含)-200</v>
      </c>
      <c r="G102" s="527" t="str">
        <f t="shared" si="24"/>
        <v>200(含)-</v>
      </c>
      <c r="H102" s="527" t="str">
        <f t="shared" si="24"/>
        <v>(含)-</v>
      </c>
      <c r="I102" s="527" t="str">
        <f t="shared" si="24"/>
        <v>(含)-</v>
      </c>
      <c r="J102" s="527" t="str">
        <f t="shared" si="24"/>
        <v>(含)-</v>
      </c>
      <c r="K102" s="527" t="str">
        <f t="shared" si="24"/>
        <v>(含)-</v>
      </c>
      <c r="L102" s="527" t="str">
        <f t="shared" si="24"/>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50</v>
      </c>
      <c r="E103" s="544">
        <v>100</v>
      </c>
      <c r="F103" s="544">
        <v>150</v>
      </c>
      <c r="G103" s="544">
        <v>200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2">
        <v>2</v>
      </c>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67" t="s">
        <v>3465</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467" t="s">
        <v>3467</v>
      </c>
      <c r="D107" s="3467" t="s">
        <v>3468</v>
      </c>
      <c r="E107" s="3467" t="s">
        <v>3469</v>
      </c>
      <c r="F107" s="3471" t="s">
        <v>3470</v>
      </c>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102</v>
      </c>
      <c r="E111" s="493">
        <f t="shared" ref="E111:M111" si="28">D111+$K36</f>
        <v>104</v>
      </c>
      <c r="F111" s="493">
        <f t="shared" si="28"/>
        <v>106</v>
      </c>
      <c r="G111" s="493">
        <f t="shared" si="28"/>
        <v>108</v>
      </c>
      <c r="H111" s="493">
        <f t="shared" si="28"/>
        <v>110</v>
      </c>
      <c r="I111" s="493">
        <f t="shared" si="28"/>
        <v>112</v>
      </c>
      <c r="J111" s="493">
        <f t="shared" si="28"/>
        <v>114</v>
      </c>
      <c r="K111" s="493">
        <f t="shared" si="28"/>
        <v>116</v>
      </c>
      <c r="L111" s="493">
        <f t="shared" si="28"/>
        <v>118</v>
      </c>
      <c r="M111" s="493">
        <f t="shared" si="28"/>
        <v>120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3467" t="s">
        <v>3478</v>
      </c>
      <c r="D112" s="3467" t="s">
        <v>3479</v>
      </c>
      <c r="E112" s="3467" t="s">
        <v>3480</v>
      </c>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67" t="s">
        <v>3474</v>
      </c>
      <c r="D114" s="3467" t="s">
        <v>3476</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4">
        <f t="shared" si="30"/>
        <v>80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67" t="s">
        <v>3472</v>
      </c>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67" t="s">
        <v>3467</v>
      </c>
      <c r="D122" s="3467" t="s">
        <v>3468</v>
      </c>
      <c r="E122" s="3467" t="s">
        <v>3469</v>
      </c>
      <c r="F122" s="3471" t="s">
        <v>3470</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t="str">
        <f>B44</f>
        <v>建成年代</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F10" zoomScale="80" zoomScaleNormal="70" zoomScaleSheetLayoutView="80" workbookViewId="0">
      <selection activeCell="G13" sqref="G1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3509</v>
      </c>
      <c r="D1" s="1361" t="s">
        <v>43</v>
      </c>
      <c r="E1" s="1362" t="s">
        <v>678</v>
      </c>
      <c r="F1" s="1061">
        <f ca="1">J53</f>
        <v>19.38</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146</v>
      </c>
      <c r="C2" s="1386" t="s">
        <v>805</v>
      </c>
      <c r="D2" s="1386"/>
      <c r="E2" s="1387"/>
      <c r="F2" s="1388"/>
      <c r="G2" s="2704"/>
      <c r="H2" s="2693"/>
      <c r="I2" s="2693"/>
      <c r="J2" s="2693"/>
      <c r="K2" s="2694"/>
      <c r="L2" s="2693"/>
      <c r="M2" s="2693"/>
    </row>
    <row r="3" spans="1:37" ht="18" customHeight="1" thickBot="1">
      <c r="A3" s="1389" t="s">
        <v>806</v>
      </c>
      <c r="B3" s="1390">
        <f ca="1">IF(ISERROR(B2*10000/F43),0,ROUND(B2*10000/F43,0))</f>
        <v>30493</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13</v>
      </c>
      <c r="D5" s="1363" t="s">
        <v>693</v>
      </c>
      <c r="E5" s="1070"/>
      <c r="F5" s="1071"/>
      <c r="G5" s="1383"/>
      <c r="H5" s="299">
        <v>1</v>
      </c>
      <c r="I5" s="300" t="s">
        <v>692</v>
      </c>
      <c r="J5" s="1069">
        <f ca="1">J6+J10+J12</f>
        <v>12</v>
      </c>
      <c r="K5" s="1363" t="s">
        <v>693</v>
      </c>
      <c r="L5" s="1070"/>
      <c r="M5" s="1071"/>
    </row>
    <row r="6" spans="1:37" ht="18" customHeight="1">
      <c r="A6" s="1068" t="s">
        <v>398</v>
      </c>
      <c r="B6" s="3732" t="s">
        <v>694</v>
      </c>
      <c r="C6" s="1073">
        <f ca="1">ROUND(F6*F8*F7*(1-F9)/10000,0)</f>
        <v>13</v>
      </c>
      <c r="D6" s="155" t="s">
        <v>2109</v>
      </c>
      <c r="E6" s="302" t="s">
        <v>696</v>
      </c>
      <c r="F6" s="303">
        <f ca="1">INDIRECT("'数据-取费表'!u"&amp;$G$1)</f>
        <v>7.2</v>
      </c>
      <c r="G6" s="1383"/>
      <c r="H6" s="1068" t="s">
        <v>398</v>
      </c>
      <c r="I6" s="3732" t="s">
        <v>694</v>
      </c>
      <c r="J6" s="301">
        <f ca="1">ROUND(M6*M8*M7*(1-M9)/10000,0)</f>
        <v>12</v>
      </c>
      <c r="K6" s="155" t="s">
        <v>2108</v>
      </c>
      <c r="L6" s="302" t="s">
        <v>696</v>
      </c>
      <c r="M6" s="303">
        <f ca="1">INDIRECT("'数据-取费表'!z"&amp;$G$1)</f>
        <v>7.8</v>
      </c>
    </row>
    <row r="7" spans="1:37" ht="18" customHeight="1">
      <c r="A7" s="1072"/>
      <c r="B7" s="3733"/>
      <c r="C7" s="1074"/>
      <c r="D7" s="307"/>
      <c r="E7" s="1075" t="s">
        <v>697</v>
      </c>
      <c r="F7" s="303">
        <f ca="1">IF(INDIRECT("'数据-取费表'!ah"&amp;$G$1)="",INDIRECT("'数据-取费表'!k"&amp;$G$1),INDIRECT("'数据-取费表'!ah"&amp;$G$1))</f>
        <v>47.88</v>
      </c>
      <c r="G7" s="1383"/>
      <c r="H7" s="304"/>
      <c r="I7" s="3733"/>
      <c r="J7" s="306"/>
      <c r="K7" s="307"/>
      <c r="L7" s="302" t="s">
        <v>697</v>
      </c>
      <c r="M7" s="303">
        <f ca="1">F7</f>
        <v>47.88</v>
      </c>
    </row>
    <row r="8" spans="1:37" ht="18" customHeight="1">
      <c r="A8" s="304"/>
      <c r="B8" s="3733"/>
      <c r="C8" s="306"/>
      <c r="D8" s="307"/>
      <c r="E8" s="302" t="s">
        <v>698</v>
      </c>
      <c r="F8" s="303">
        <f ca="1">INDIRECT("'数据-取费表'!ai"&amp;$G$1)</f>
        <v>365</v>
      </c>
      <c r="G8" s="1383"/>
      <c r="H8" s="304"/>
      <c r="I8" s="3733"/>
      <c r="J8" s="306"/>
      <c r="K8" s="307"/>
      <c r="L8" s="302" t="s">
        <v>698</v>
      </c>
      <c r="M8" s="303">
        <f ca="1">INDIRECT("'数据-取费表'!ai"&amp;$G$1)</f>
        <v>365</v>
      </c>
    </row>
    <row r="9" spans="1:37" ht="18" customHeight="1">
      <c r="A9" s="304"/>
      <c r="B9" s="3734"/>
      <c r="C9" s="306"/>
      <c r="D9" s="307"/>
      <c r="E9" s="302" t="s">
        <v>699</v>
      </c>
      <c r="F9" s="312">
        <f ca="1">INDIRECT("'数据-取费表'!w"&amp;$G$1)</f>
        <v>0</v>
      </c>
      <c r="G9" s="1383"/>
      <c r="H9" s="304"/>
      <c r="I9" s="3734"/>
      <c r="J9" s="306"/>
      <c r="K9" s="307"/>
      <c r="L9" s="313" t="s">
        <v>699</v>
      </c>
      <c r="M9" s="314">
        <f ca="1">INDIRECT("'数据-取费表'!ab"&amp;$G$1)</f>
        <v>0.1</v>
      </c>
    </row>
    <row r="10" spans="1:37" ht="18" customHeight="1">
      <c r="A10" s="1068" t="s">
        <v>402</v>
      </c>
      <c r="B10" s="1364" t="s">
        <v>700</v>
      </c>
      <c r="C10" s="316">
        <f ca="1">ROUND(IF(F10="押一",C6/12*F11,IF(F10="押二",C6/12*2*F11,IF(F10="押三",C6/12*3*F11,C11*F11))),0)</f>
        <v>0</v>
      </c>
      <c r="D10" s="1365" t="s">
        <v>2117</v>
      </c>
      <c r="E10" s="313" t="s">
        <v>701</v>
      </c>
      <c r="F10" s="1115" t="s">
        <v>3524</v>
      </c>
      <c r="G10" s="1383"/>
      <c r="H10" s="1068" t="s">
        <v>402</v>
      </c>
      <c r="I10" s="1364" t="s">
        <v>700</v>
      </c>
      <c r="J10" s="301">
        <f ca="1">ROUND(IF(M10="押一",J6/12*M11,IF(M10="押二",J6/12*2*M11,IF(M10="押三",J6/12*3*M11,J11*M11))),0)</f>
        <v>0</v>
      </c>
      <c r="K10" s="1365" t="s">
        <v>2116</v>
      </c>
      <c r="L10" s="313" t="s">
        <v>701</v>
      </c>
      <c r="M10" s="1115" t="s">
        <v>3422</v>
      </c>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26</v>
      </c>
      <c r="D13" s="1080" t="s">
        <v>705</v>
      </c>
      <c r="E13" s="1080" t="s">
        <v>706</v>
      </c>
      <c r="F13" s="1081">
        <f ca="1">INDIRECT("'数据-取费表'!y"&amp;$G$1)</f>
        <v>0.75</v>
      </c>
      <c r="G13" s="1383"/>
      <c r="H13" s="1078">
        <v>2</v>
      </c>
      <c r="I13" s="1079" t="s">
        <v>704</v>
      </c>
      <c r="J13" s="1067">
        <f ca="1">ROUND(J14*J15,0)</f>
        <v>24</v>
      </c>
      <c r="K13" s="1086" t="s">
        <v>705</v>
      </c>
      <c r="L13" s="1391"/>
      <c r="M13" s="1392"/>
    </row>
    <row r="14" spans="1:37" ht="18" customHeight="1">
      <c r="A14" s="981" t="s">
        <v>397</v>
      </c>
      <c r="B14" s="302" t="s">
        <v>707</v>
      </c>
      <c r="C14" s="318">
        <f ca="1">INDIRECT("'数据-取费表'!m"&amp;$G$1)+INDIRECT("'数据-取费表'!t"&amp;$G$1)</f>
        <v>22</v>
      </c>
      <c r="D14" s="1344" t="s">
        <v>708</v>
      </c>
      <c r="E14" s="1341"/>
      <c r="F14" s="319"/>
      <c r="G14" s="1383"/>
      <c r="H14" s="981" t="s">
        <v>398</v>
      </c>
      <c r="I14" s="302" t="s">
        <v>709</v>
      </c>
      <c r="J14" s="21">
        <f ca="1">C29</f>
        <v>34</v>
      </c>
      <c r="K14" s="12"/>
      <c r="L14" s="806"/>
      <c r="M14" s="807"/>
    </row>
    <row r="15" spans="1:37" s="1396" customFormat="1" ht="18" customHeight="1" thickBot="1">
      <c r="A15" s="981" t="s">
        <v>399</v>
      </c>
      <c r="B15" s="302" t="s">
        <v>710</v>
      </c>
      <c r="C15" s="21">
        <f ca="1">ROUND(C14*F15,0)</f>
        <v>1</v>
      </c>
      <c r="D15" s="320" t="s">
        <v>711</v>
      </c>
      <c r="E15" s="320" t="s">
        <v>712</v>
      </c>
      <c r="F15" s="321">
        <f>'数据-取费表'!B33</f>
        <v>0.05</v>
      </c>
      <c r="G15" s="1395"/>
      <c r="H15" s="1088" t="s">
        <v>402</v>
      </c>
      <c r="I15" s="1089" t="s">
        <v>706</v>
      </c>
      <c r="J15" s="1098">
        <f ca="1">INDIRECT("'数据-取费表'!ad"&amp;$G$1)</f>
        <v>0.7</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1</v>
      </c>
      <c r="K16" s="1086" t="s">
        <v>715</v>
      </c>
      <c r="L16" s="1087"/>
      <c r="M16" s="1071"/>
    </row>
    <row r="17" spans="1:37" s="1396" customFormat="1" ht="18" customHeight="1">
      <c r="A17" s="981" t="s">
        <v>681</v>
      </c>
      <c r="B17" s="302" t="s">
        <v>716</v>
      </c>
      <c r="C17" s="21">
        <f ca="1">ROUND(F17*(F43+INDIRECT("'数据-取费表'!S"&amp;$G$1))/10000,0)</f>
        <v>1</v>
      </c>
      <c r="D17" s="302" t="s">
        <v>717</v>
      </c>
      <c r="E17" s="302" t="s">
        <v>718</v>
      </c>
      <c r="F17" s="23">
        <f>'数据-取费表'!B35</f>
        <v>200</v>
      </c>
      <c r="G17" s="1395"/>
      <c r="H17" s="981" t="s">
        <v>398</v>
      </c>
      <c r="I17" s="302" t="s">
        <v>719</v>
      </c>
      <c r="J17" s="2315">
        <f ca="1">ROUND(IF(AND(项目基本情况!B11="自然人",项目基本情况!B10="北京市"),J6*M17/(1+'数据-取费表'!C42),J18+J19+J20),2)</f>
        <v>0.8</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v>
      </c>
      <c r="D18" s="302" t="s">
        <v>711</v>
      </c>
      <c r="E18" s="302" t="s">
        <v>712</v>
      </c>
      <c r="F18" s="322">
        <f>'数据-取费表'!B36</f>
        <v>2.5000000000000001E-2</v>
      </c>
      <c r="G18" s="1395"/>
      <c r="H18" s="981" t="s">
        <v>397</v>
      </c>
      <c r="I18" s="302" t="s">
        <v>723</v>
      </c>
      <c r="J18" s="21">
        <f ca="1">ROUND(J6*M18/(1+'数据-取费表'!C42),2)</f>
        <v>0.64</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25</v>
      </c>
      <c r="D19" s="131" t="s">
        <v>726</v>
      </c>
      <c r="E19" s="1359"/>
      <c r="F19" s="23"/>
      <c r="G19" s="1383"/>
      <c r="H19" s="981" t="s">
        <v>399</v>
      </c>
      <c r="I19" s="302" t="s">
        <v>727</v>
      </c>
      <c r="J19" s="21">
        <f ca="1">IF(K19="按租金收入计税",ROUND(J6*M19/(1+'数据-取费表'!C42),2),ROUND(C29*M19*0.7,2))</f>
        <v>1.37</v>
      </c>
      <c r="K19" s="1369" t="s">
        <v>3335</v>
      </c>
      <c r="L19" s="302" t="s">
        <v>712</v>
      </c>
      <c r="M19" s="322">
        <f>IF(K19="按租金收入计税",'数据-取费表'!B51,'数据-取费表'!B50)</f>
        <v>0.12</v>
      </c>
    </row>
    <row r="20" spans="1:37" s="1396" customFormat="1" ht="18" customHeight="1">
      <c r="A20" s="981" t="s">
        <v>402</v>
      </c>
      <c r="B20" s="302" t="s">
        <v>728</v>
      </c>
      <c r="C20" s="21">
        <f ca="1">ROUND(C19*F20,0)</f>
        <v>1</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0.17</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0.02</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5"/>
      <c r="H24" s="1088" t="s">
        <v>684</v>
      </c>
      <c r="I24" s="1089" t="s">
        <v>728</v>
      </c>
      <c r="J24" s="1090">
        <f ca="1">ROUND(J5*M24,2)</f>
        <v>0.12</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11</v>
      </c>
      <c r="K25" s="1094" t="s">
        <v>753</v>
      </c>
      <c r="L25" s="1095"/>
      <c r="M25" s="1096"/>
    </row>
    <row r="26" spans="1:37">
      <c r="A26" s="981" t="s">
        <v>397</v>
      </c>
      <c r="B26" s="302" t="s">
        <v>754</v>
      </c>
      <c r="C26" s="21">
        <f ca="1">ROUND((C19+C20)*F26,0)</f>
        <v>4</v>
      </c>
      <c r="D26" s="323" t="s">
        <v>755</v>
      </c>
      <c r="E26" s="313" t="s">
        <v>756</v>
      </c>
      <c r="F26" s="312">
        <f ca="1">INDIRECT("'数据-取费表'!q"&amp;$G$1)</f>
        <v>0.15</v>
      </c>
      <c r="G26" s="1383"/>
      <c r="H26" s="299" t="s">
        <v>395</v>
      </c>
      <c r="I26" s="300" t="s">
        <v>757</v>
      </c>
      <c r="J26" s="301">
        <f ca="1">IF(J5&lt;&gt;0,ROUND(J25*(1-((1+M28)/(1+M26))^M27)/(M26-M28),0),0)</f>
        <v>131</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16.68</v>
      </c>
      <c r="N27" s="3492">
        <f ca="1">J53-F41</f>
        <v>16.68</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1.4999999999999999E-2</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34</v>
      </c>
      <c r="D29" s="1091"/>
      <c r="E29" s="1089"/>
      <c r="F29" s="1092"/>
      <c r="G29" s="1395"/>
      <c r="H29" s="334" t="s">
        <v>396</v>
      </c>
      <c r="I29" s="335" t="s">
        <v>768</v>
      </c>
      <c r="J29" s="336">
        <f ca="1">ROUND(J26/(1+F40)^F41,0)</f>
        <v>113</v>
      </c>
      <c r="K29" s="337" t="s">
        <v>769</v>
      </c>
      <c r="L29" s="338"/>
      <c r="M29" s="339">
        <f ca="1">INDIRECT("'数据-取费表'!k"&amp;$G$1)</f>
        <v>47.88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v>
      </c>
      <c r="D30" s="1086" t="s">
        <v>715</v>
      </c>
      <c r="E30" s="1087"/>
      <c r="F30" s="1071"/>
      <c r="G30" s="1383"/>
      <c r="H30" s="2695"/>
      <c r="I30" s="1397"/>
      <c r="J30" s="1398"/>
      <c r="K30" s="2474"/>
      <c r="L30" s="2696"/>
      <c r="M30" s="2697"/>
    </row>
    <row r="31" spans="1:37" ht="18" customHeight="1">
      <c r="A31" s="981" t="s">
        <v>398</v>
      </c>
      <c r="B31" s="302" t="s">
        <v>719</v>
      </c>
      <c r="C31" s="2315">
        <f ca="1">ROUND(IF(AND(项目基本情况!B11="自然人",项目基本情况!B10="北京市"),C6*F31/(1+'数据-取费表'!C42),C32+C33+C34),2)</f>
        <v>0.87</v>
      </c>
      <c r="D31" s="1344" t="s">
        <v>720</v>
      </c>
      <c r="E31" s="1343" t="s">
        <v>770</v>
      </c>
      <c r="F31" s="2314">
        <f ca="1">IF(项目基本情况!B11="企业","——",IF(M47="住宅",IF(F6*F7*F8/12/(1+'数据-取费表'!F30)&gt;100000,4%,2.5%),IF(F6*F7*F8/12/(1+'数据-取费表'!F30)&gt;100000,12%,7%)))</f>
        <v>7.0000000000000007E-2</v>
      </c>
      <c r="G31" s="1383"/>
      <c r="H31" s="2806" t="s">
        <v>2306</v>
      </c>
      <c r="I31" s="1397"/>
      <c r="J31" s="1398"/>
      <c r="K31" s="2474"/>
      <c r="L31" s="2696"/>
      <c r="M31" s="2697"/>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5"/>
      <c r="I32" s="1397"/>
      <c r="J32" s="1398"/>
      <c r="K32" s="2474"/>
      <c r="L32" s="2696"/>
      <c r="M32" s="2697"/>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3335</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t="str">
        <f>IF(项目基本情况!B11="自然人","——",ROUND(F34*F35/10000,2))</f>
        <v>——</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0.17</v>
      </c>
      <c r="D36" s="1343" t="s">
        <v>771</v>
      </c>
      <c r="E36" s="302" t="s">
        <v>712</v>
      </c>
      <c r="F36" s="328">
        <f ca="1">INDIRECT("'数据-取费表'!Ak"&amp;$G$1)</f>
        <v>5.0000000000000001E-3</v>
      </c>
      <c r="G36" s="1383"/>
      <c r="H36" s="2698"/>
      <c r="I36" s="1397"/>
      <c r="J36" s="1398"/>
      <c r="K36" s="2543"/>
      <c r="L36" s="2698"/>
      <c r="M36" s="2698"/>
    </row>
    <row r="37" spans="1:18" ht="18" customHeight="1">
      <c r="A37" s="981" t="s">
        <v>437</v>
      </c>
      <c r="B37" s="302" t="s">
        <v>742</v>
      </c>
      <c r="C37" s="21">
        <f ca="1">ROUND(C13*F37,2)</f>
        <v>0.03</v>
      </c>
      <c r="D37" s="1343" t="s">
        <v>743</v>
      </c>
      <c r="E37" s="302" t="s">
        <v>744</v>
      </c>
      <c r="F37" s="330">
        <f ca="1">INDIRECT("'数据-取费表'!Al"&amp;$G$1)</f>
        <v>1E-3</v>
      </c>
      <c r="G37" s="1383"/>
      <c r="H37" s="2698"/>
      <c r="I37" s="1397"/>
      <c r="J37" s="1398"/>
      <c r="K37" s="2543"/>
      <c r="L37" s="2698"/>
      <c r="M37" s="2698"/>
    </row>
    <row r="38" spans="1:18" ht="18" customHeight="1" thickBot="1">
      <c r="A38" s="1088" t="s">
        <v>684</v>
      </c>
      <c r="B38" s="1089" t="s">
        <v>728</v>
      </c>
      <c r="C38" s="1090">
        <f ca="1">ROUND(C5*F38,2)</f>
        <v>0.13</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12</v>
      </c>
      <c r="D39" s="1094" t="s">
        <v>773</v>
      </c>
      <c r="E39" s="1095"/>
      <c r="F39" s="1096"/>
      <c r="G39" s="1383"/>
      <c r="H39" s="2698"/>
      <c r="I39" s="1397"/>
      <c r="J39" s="1398"/>
      <c r="K39" s="2702"/>
      <c r="L39" s="2698"/>
      <c r="M39" s="2698"/>
    </row>
    <row r="40" spans="1:18" ht="18" customHeight="1">
      <c r="A40" s="299" t="s">
        <v>395</v>
      </c>
      <c r="B40" s="300" t="s">
        <v>774</v>
      </c>
      <c r="C40" s="301">
        <f ca="1">ROUND(C39*(1-((1+F42)/(1+F40))^F41)/(F40-F42),0)</f>
        <v>29</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2.7</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f ca="1">ROUND(C40*10000/F43,0)</f>
        <v>6057</v>
      </c>
      <c r="D43" s="337" t="s">
        <v>777</v>
      </c>
      <c r="E43" s="338" t="s">
        <v>778</v>
      </c>
      <c r="F43" s="339">
        <f ca="1">INDIRECT("'数据-取费表'!k"&amp;$G$1)</f>
        <v>47.88</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f ca="1">C68-C40</f>
        <v>-29</v>
      </c>
      <c r="D46" s="1405" t="str">
        <f>C2</f>
        <v>万元</v>
      </c>
      <c r="E46" s="1399"/>
      <c r="F46" s="1399"/>
      <c r="I46" s="1406" t="s">
        <v>810</v>
      </c>
      <c r="J46" s="1407"/>
      <c r="K46" s="1408"/>
      <c r="L46" s="1409">
        <f ca="1">IF(M47="住宅",0,IF(L48&gt;J51,L60,J60))</f>
        <v>4</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3423</v>
      </c>
      <c r="K47" s="1415" t="s">
        <v>816</v>
      </c>
      <c r="L47" s="1416">
        <f ca="1">INDIRECT("'数据-取费表'!d"&amp;$G$1)</f>
        <v>40</v>
      </c>
      <c r="M47" s="1379" t="str">
        <f>IF(ISNUMBER(FIND("住宅",C1)),"住宅","非住宅")</f>
        <v>非住宅</v>
      </c>
      <c r="O47" s="1417" t="s">
        <v>403</v>
      </c>
      <c r="P47" s="1418" t="s">
        <v>817</v>
      </c>
      <c r="Q47" s="1419">
        <f ca="1">C40+J29</f>
        <v>142</v>
      </c>
      <c r="R47" s="1419" t="s">
        <v>818</v>
      </c>
    </row>
    <row r="48" spans="1:18" s="1383" customFormat="1" ht="28.5" thickBot="1">
      <c r="A48" s="1109" t="s">
        <v>438</v>
      </c>
      <c r="B48" s="300" t="s">
        <v>692</v>
      </c>
      <c r="C48" s="1358">
        <f ca="1">C49+C53+C55</f>
        <v>0</v>
      </c>
      <c r="D48" s="1111"/>
      <c r="E48" s="1112"/>
      <c r="F48" s="961"/>
      <c r="G48" s="721"/>
      <c r="H48" s="722"/>
      <c r="I48" s="1420" t="s">
        <v>819</v>
      </c>
      <c r="J48" s="1421" t="s">
        <v>3424</v>
      </c>
      <c r="K48" s="1422" t="s">
        <v>820</v>
      </c>
      <c r="L48" s="1423">
        <f ca="1">INDIRECT("'数据-取费表'!f"&amp;$G$1)</f>
        <v>19.38</v>
      </c>
      <c r="O48" s="1417" t="s">
        <v>404</v>
      </c>
      <c r="P48" s="1418" t="s">
        <v>821</v>
      </c>
      <c r="Q48" s="1419">
        <f ca="1">J60</f>
        <v>4</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f>'数据-取费表'!N18</f>
        <v>2010</v>
      </c>
      <c r="K49" s="1422" t="s">
        <v>824</v>
      </c>
      <c r="L49" s="1426"/>
      <c r="O49" s="1427" t="s">
        <v>405</v>
      </c>
      <c r="P49" s="1418" t="s">
        <v>825</v>
      </c>
      <c r="Q49" s="1419">
        <f ca="1">C29</f>
        <v>34</v>
      </c>
      <c r="R49" s="1419" t="s">
        <v>818</v>
      </c>
    </row>
    <row r="50" spans="1:18" s="1383" customFormat="1" ht="13.5" thickBot="1">
      <c r="A50" s="975"/>
      <c r="B50" s="978"/>
      <c r="C50" s="1117"/>
      <c r="D50" s="952"/>
      <c r="E50" s="1055" t="s">
        <v>697</v>
      </c>
      <c r="F50" s="1056">
        <f ca="1">F7</f>
        <v>47.88</v>
      </c>
      <c r="H50" s="722"/>
      <c r="I50" s="1420" t="s">
        <v>826</v>
      </c>
      <c r="J50" s="1428">
        <f>SUMPRODUCT((I63:I65=J47)*(J62:L62=J48)*(J63:L65))</f>
        <v>60</v>
      </c>
      <c r="K50" s="1422" t="s">
        <v>827</v>
      </c>
      <c r="L50" s="1426"/>
      <c r="M50" s="1429"/>
      <c r="O50" s="1427" t="s">
        <v>406</v>
      </c>
      <c r="P50" s="1418" t="s">
        <v>828</v>
      </c>
      <c r="Q50" s="1430">
        <f ca="1">J58</f>
        <v>0.42699999999999999</v>
      </c>
      <c r="R50" s="1419"/>
    </row>
    <row r="51" spans="1:18" s="1383" customFormat="1" ht="13.5" thickBot="1">
      <c r="A51" s="976"/>
      <c r="B51" s="978"/>
      <c r="C51" s="979"/>
      <c r="D51" s="952"/>
      <c r="E51" s="980" t="s">
        <v>698</v>
      </c>
      <c r="F51" s="303">
        <f ca="1">F8</f>
        <v>365</v>
      </c>
      <c r="I51" s="1431" t="s">
        <v>829</v>
      </c>
      <c r="J51" s="1432">
        <f>IF(J49="",J50,J49+J50-YEAR('数据-取费表'!B2))</f>
        <v>45</v>
      </c>
      <c r="K51" s="1433" t="s">
        <v>830</v>
      </c>
      <c r="L51" s="1434">
        <f ca="1">ROUND(-PV(INDIRECT("'数据-取费表'!h"&amp;$G$1),J51,(C39-C13*C76),0),0)</f>
        <v>181</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3491">
        <v>7.4999999999999997E-2</v>
      </c>
      <c r="K52" s="1436" t="s">
        <v>833</v>
      </c>
      <c r="L52" s="1437"/>
      <c r="O52" s="1427" t="s">
        <v>408</v>
      </c>
      <c r="P52" s="1418" t="s">
        <v>834</v>
      </c>
      <c r="Q52" s="1419">
        <f ca="1">J53</f>
        <v>19.38</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19.38</v>
      </c>
      <c r="K53" s="3730" t="s">
        <v>837</v>
      </c>
      <c r="L53" s="3731"/>
      <c r="O53" s="1417" t="s">
        <v>409</v>
      </c>
      <c r="P53" s="1418" t="s">
        <v>838</v>
      </c>
      <c r="Q53" s="1419">
        <f ca="1">Q47+Q48</f>
        <v>146</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0.42699999999999999</v>
      </c>
      <c r="K55" s="1444" t="s">
        <v>841</v>
      </c>
      <c r="L55" s="1445"/>
      <c r="O55" s="1410" t="s">
        <v>811</v>
      </c>
      <c r="P55" s="1411" t="s">
        <v>812</v>
      </c>
      <c r="Q55" s="1412" t="s">
        <v>813</v>
      </c>
      <c r="R55" s="1412" t="s">
        <v>814</v>
      </c>
    </row>
    <row r="56" spans="1:18" s="1383" customFormat="1" ht="25.5" thickTop="1" thickBot="1">
      <c r="A56" s="956">
        <v>2</v>
      </c>
      <c r="B56" s="957" t="s">
        <v>704</v>
      </c>
      <c r="C56" s="232">
        <f ca="1">C13</f>
        <v>26</v>
      </c>
      <c r="D56" s="1446"/>
      <c r="E56" s="1447"/>
      <c r="F56" s="1439"/>
      <c r="I56" s="1448" t="s">
        <v>842</v>
      </c>
      <c r="J56" s="1449" t="s">
        <v>3417</v>
      </c>
      <c r="K56" s="1420" t="s">
        <v>843</v>
      </c>
      <c r="L56" s="1423" t="str">
        <f ca="1">IF(L48&lt;J51,"——",L48-J53)</f>
        <v>——</v>
      </c>
      <c r="O56" s="1417" t="s">
        <v>403</v>
      </c>
      <c r="P56" s="1418" t="s">
        <v>817</v>
      </c>
      <c r="Q56" s="1419">
        <f ca="1">C40+J29</f>
        <v>142</v>
      </c>
      <c r="R56" s="1419" t="s">
        <v>818</v>
      </c>
    </row>
    <row r="57" spans="1:18" s="1383" customFormat="1" ht="24.75" thickBot="1">
      <c r="A57" s="1450"/>
      <c r="B57" s="949" t="s">
        <v>767</v>
      </c>
      <c r="C57" s="238">
        <f ca="1">C29</f>
        <v>34</v>
      </c>
      <c r="D57" s="1451"/>
      <c r="E57" s="1452"/>
      <c r="F57" s="1453"/>
      <c r="I57" s="1454" t="s">
        <v>844</v>
      </c>
      <c r="J57" s="1455">
        <f ca="1">IF(OR(M47="住宅",J51&lt;L48,J56="是"),"——",J51-L48)</f>
        <v>25.62</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0</v>
      </c>
      <c r="D58" s="959" t="s">
        <v>715</v>
      </c>
      <c r="E58" s="960"/>
      <c r="F58" s="961"/>
      <c r="I58" s="1454" t="s">
        <v>848</v>
      </c>
      <c r="J58" s="1456">
        <f ca="1">IF(J55&lt;0.4,0.4,J55)</f>
        <v>0.42699999999999999</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15</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f ca="1">IF(OR(M47="住宅",J51&lt;L48,J56="是"),"0",ROUND(J59/(1+J52)^J53,0))</f>
        <v>4</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3335</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0</v>
      </c>
      <c r="I62" s="1461" t="s">
        <v>858</v>
      </c>
      <c r="J62" s="1462" t="s">
        <v>859</v>
      </c>
      <c r="K62" s="1462" t="s">
        <v>860</v>
      </c>
      <c r="L62" s="1462" t="s">
        <v>861</v>
      </c>
      <c r="M62" s="1463" t="s">
        <v>862</v>
      </c>
      <c r="O62" s="1417" t="s">
        <v>409</v>
      </c>
      <c r="P62" s="1418" t="s">
        <v>863</v>
      </c>
      <c r="Q62" s="1419">
        <f ca="1">Q56+Q57</f>
        <v>142</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0.17</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0.03</v>
      </c>
      <c r="D65" s="963" t="s">
        <v>743</v>
      </c>
      <c r="E65" s="949" t="s">
        <v>744</v>
      </c>
      <c r="F65" s="330">
        <f t="shared" ca="1" si="0"/>
        <v>1E-3</v>
      </c>
      <c r="I65" s="1461" t="s">
        <v>867</v>
      </c>
      <c r="J65" s="1462">
        <v>40</v>
      </c>
      <c r="K65" s="1462">
        <v>30</v>
      </c>
      <c r="L65" s="1462">
        <v>50</v>
      </c>
      <c r="M65" s="1464">
        <v>0.02</v>
      </c>
      <c r="O65" s="1417" t="s">
        <v>403</v>
      </c>
      <c r="P65" s="1418" t="s">
        <v>868</v>
      </c>
      <c r="Q65" s="1419">
        <f ca="1">C40+J29</f>
        <v>142</v>
      </c>
      <c r="R65" s="1419" t="s">
        <v>818</v>
      </c>
    </row>
    <row r="66" spans="1:18" s="1383" customFormat="1" ht="16.5" thickBot="1">
      <c r="A66" s="981" t="s">
        <v>793</v>
      </c>
      <c r="B66" s="949" t="s">
        <v>728</v>
      </c>
      <c r="C66" s="21">
        <f ca="1">ROUND(C48*F66,2)</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181</v>
      </c>
      <c r="R67" s="1419" t="s">
        <v>870</v>
      </c>
    </row>
    <row r="68" spans="1:18" s="1383" customFormat="1" ht="16.5" thickBot="1">
      <c r="A68" s="946" t="s">
        <v>395</v>
      </c>
      <c r="B68" s="947" t="s">
        <v>774</v>
      </c>
      <c r="C68" s="301">
        <f ca="1">ROUND(C67*(1-((1+F70)/(1+F68))^F69)/(F68-F70),0)</f>
        <v>0</v>
      </c>
      <c r="D68" s="964" t="s">
        <v>758</v>
      </c>
      <c r="E68" s="949" t="s">
        <v>759</v>
      </c>
      <c r="F68" s="312">
        <f ca="1">F40</f>
        <v>5.5E-2</v>
      </c>
      <c r="O68" s="1427" t="s">
        <v>406</v>
      </c>
      <c r="P68" s="1466" t="s">
        <v>871</v>
      </c>
      <c r="Q68" s="1419">
        <f ca="1">ROUND(Q69-Q70*Q71,0)</f>
        <v>10</v>
      </c>
      <c r="R68" s="1419" t="s">
        <v>414</v>
      </c>
    </row>
    <row r="69" spans="1:18" s="1383" customFormat="1" ht="13.5" thickBot="1">
      <c r="A69" s="950"/>
      <c r="B69" s="951"/>
      <c r="C69" s="306"/>
      <c r="D69" s="969" t="s">
        <v>762</v>
      </c>
      <c r="E69" s="949" t="s">
        <v>763</v>
      </c>
      <c r="F69" s="333">
        <f ca="1">F41</f>
        <v>2.7</v>
      </c>
      <c r="O69" s="1427" t="s">
        <v>411</v>
      </c>
      <c r="P69" s="1466" t="s">
        <v>872</v>
      </c>
      <c r="Q69" s="1419">
        <f ca="1">C39</f>
        <v>12</v>
      </c>
      <c r="R69" s="1419" t="s">
        <v>818</v>
      </c>
    </row>
    <row r="70" spans="1:18" s="1383" customFormat="1" ht="13.5" thickBot="1">
      <c r="A70" s="953"/>
      <c r="B70" s="954"/>
      <c r="C70" s="310"/>
      <c r="D70" s="965"/>
      <c r="E70" s="949" t="s">
        <v>766</v>
      </c>
      <c r="F70" s="1053"/>
      <c r="O70" s="1427" t="s">
        <v>412</v>
      </c>
      <c r="P70" s="1466" t="s">
        <v>873</v>
      </c>
      <c r="Q70" s="1419">
        <f ca="1">C13</f>
        <v>26</v>
      </c>
      <c r="R70" s="1419" t="s">
        <v>818</v>
      </c>
    </row>
    <row r="71" spans="1:18" s="1383" customFormat="1" ht="13.5" thickBot="1">
      <c r="A71" s="970" t="s">
        <v>396</v>
      </c>
      <c r="B71" s="971" t="s">
        <v>776</v>
      </c>
      <c r="C71" s="336">
        <f ca="1">ROUND(C68*10000/F71,0)</f>
        <v>0</v>
      </c>
      <c r="D71" s="972" t="s">
        <v>777</v>
      </c>
      <c r="E71" s="973" t="s">
        <v>778</v>
      </c>
      <c r="F71" s="339">
        <f ca="1">F43</f>
        <v>47.88</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v>
      </c>
      <c r="D75" s="1383"/>
      <c r="E75" s="1383"/>
      <c r="F75" s="1383"/>
      <c r="K75" s="1401"/>
      <c r="L75" s="1383"/>
      <c r="O75" s="1417" t="s">
        <v>409</v>
      </c>
      <c r="P75" s="1418" t="s">
        <v>838</v>
      </c>
      <c r="Q75" s="1419">
        <f ca="1">Q65+Q66</f>
        <v>142</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0.83299999999999996</v>
      </c>
    </row>
    <row r="80" spans="1:18">
      <c r="B80" s="340" t="s">
        <v>800</v>
      </c>
      <c r="C80" s="274">
        <f ca="1">ROUND(C75/C39,3)</f>
        <v>0.16700000000000001</v>
      </c>
    </row>
    <row r="81" spans="2:3">
      <c r="B81" s="270" t="s">
        <v>801</v>
      </c>
      <c r="C81" s="238"/>
    </row>
    <row r="82" spans="2:3">
      <c r="B82" s="273" t="s">
        <v>802</v>
      </c>
      <c r="C82" s="275">
        <f ca="1">1-C83</f>
        <v>0.10299999999999998</v>
      </c>
    </row>
    <row r="83" spans="2:3">
      <c r="B83" s="273" t="s">
        <v>803</v>
      </c>
      <c r="C83" s="274">
        <f ca="1">ROUND(C13/C40,3)</f>
        <v>0.89700000000000002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146</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30493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89</v>
      </c>
      <c r="D5" s="211" t="s">
        <v>1469</v>
      </c>
      <c r="E5" s="212" t="s">
        <v>1470</v>
      </c>
      <c r="F5" s="212" t="s">
        <v>1471</v>
      </c>
      <c r="G5" s="213"/>
    </row>
    <row r="6" spans="1:9" s="214" customFormat="1" ht="13.5" customHeight="1">
      <c r="A6" s="777" t="s">
        <v>1472</v>
      </c>
      <c r="B6" s="215" t="s">
        <v>1473</v>
      </c>
      <c r="C6" s="216">
        <f>基准地价修正!V4</f>
        <v>86</v>
      </c>
      <c r="D6" s="217"/>
      <c r="E6" s="218"/>
      <c r="F6" s="218"/>
      <c r="G6" s="219"/>
    </row>
    <row r="7" spans="1:9" s="214" customFormat="1" ht="13.5" customHeight="1">
      <c r="A7" s="777" t="s">
        <v>1474</v>
      </c>
      <c r="B7" s="215" t="s">
        <v>1475</v>
      </c>
      <c r="C7" s="220">
        <f>ROUND(C6*F7,0)</f>
        <v>3</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t="s">
        <v>3440</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t="s">
        <v>3441</v>
      </c>
      <c r="H9" s="1136"/>
      <c r="I9" s="1857" t="s">
        <v>1479</v>
      </c>
    </row>
    <row r="10" spans="1:9" s="214" customFormat="1" ht="13.5" customHeight="1">
      <c r="A10" s="778" t="s">
        <v>356</v>
      </c>
      <c r="B10" s="224" t="s">
        <v>1480</v>
      </c>
      <c r="C10" s="225">
        <f ca="1">ROUND(D10*E10/10000,0)</f>
        <v>1</v>
      </c>
      <c r="D10" s="844">
        <f ca="1">IF(B1="",'数据-汇总表'!E6,IF(INDIRECT("'数据-取费表'!c"&amp;$G$1)="住宅",INDIRECT("'数据-取费表'!s"&amp;$G$1),INDIRECT("'数据-取费表'!k"&amp;$G$1)+INDIRECT("'数据-取费表'!s"&amp;$G$1)))</f>
        <v>47.88</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47.88</v>
      </c>
      <c r="E19" s="211">
        <f>'数据-取费表'!B31</f>
        <v>200</v>
      </c>
      <c r="F19" s="231"/>
      <c r="G19" s="1855" t="s">
        <v>3442</v>
      </c>
    </row>
    <row r="20" spans="1:7" s="214" customFormat="1" ht="13.5" customHeight="1">
      <c r="A20" s="255" t="s">
        <v>1493</v>
      </c>
      <c r="B20" s="210" t="s">
        <v>1494</v>
      </c>
      <c r="C20" s="232">
        <f>ROUND((C5+C19)*F20,0)</f>
        <v>3</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5</v>
      </c>
      <c r="D22" s="235">
        <f ca="1">C26</f>
        <v>5.9999999999999995E-4</v>
      </c>
      <c r="E22" s="236" t="s">
        <v>1498</v>
      </c>
      <c r="F22" s="237">
        <f ca="1">'数据-取费表'!B40</f>
        <v>0.03</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5</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14</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14</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25</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22</v>
      </c>
      <c r="D34" s="217"/>
      <c r="E34" s="220"/>
      <c r="F34" s="257">
        <f ca="1">IF('数据-取费表'!B24=0,1,IF(B1="",'数据-取费表'!N16,INDIRECT("'数据-取费表'!n"&amp;$G$1)))</f>
        <v>1</v>
      </c>
      <c r="G34" s="219" t="s">
        <v>1526</v>
      </c>
    </row>
    <row r="35" spans="1:7" ht="13.5" customHeight="1">
      <c r="A35" s="779" t="s">
        <v>351</v>
      </c>
      <c r="B35" s="215" t="s">
        <v>1527</v>
      </c>
      <c r="C35" s="220">
        <f ca="1">ROUND(C34*F35,0)</f>
        <v>1</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v>
      </c>
      <c r="D37" s="217">
        <f ca="1">D19</f>
        <v>47.88</v>
      </c>
      <c r="E37" s="249">
        <f>'数据-取费表'!B35</f>
        <v>200</v>
      </c>
      <c r="F37" s="259"/>
      <c r="G37" s="261" t="s">
        <v>1532</v>
      </c>
    </row>
    <row r="38" spans="1:7" ht="13.5" customHeight="1">
      <c r="A38" s="779" t="s">
        <v>354</v>
      </c>
      <c r="B38" s="215" t="s">
        <v>1533</v>
      </c>
      <c r="C38" s="220">
        <f ca="1">ROUND(C34*F38,0)</f>
        <v>1</v>
      </c>
      <c r="D38" s="220"/>
      <c r="E38" s="220"/>
      <c r="F38" s="259">
        <f>'数据-取费表'!B36</f>
        <v>2.5000000000000001E-2</v>
      </c>
      <c r="G38" s="219" t="s">
        <v>1528</v>
      </c>
    </row>
    <row r="39" spans="1:7" s="214" customFormat="1" ht="13.5" customHeight="1">
      <c r="A39" s="255" t="s">
        <v>1534</v>
      </c>
      <c r="B39" s="210" t="s">
        <v>1535</v>
      </c>
      <c r="C39" s="232">
        <f ca="1">ROUND(C33*F20,0)</f>
        <v>1</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5.9999999999999995E-4</v>
      </c>
      <c r="E41" s="236" t="s">
        <v>1539</v>
      </c>
      <c r="F41" s="237">
        <f ca="1">F22</f>
        <v>0.03</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v>
      </c>
      <c r="D42" s="238"/>
      <c r="E42" s="238"/>
      <c r="F42" s="239"/>
      <c r="G42" s="3735" t="s">
        <v>1544</v>
      </c>
    </row>
    <row r="43" spans="1:7" ht="13.5" customHeight="1">
      <c r="A43" s="779" t="s">
        <v>347</v>
      </c>
      <c r="B43" s="215" t="s">
        <v>1545</v>
      </c>
      <c r="C43" s="238">
        <f ca="1">ROUND(IF('数据-取费表'!B22&lt;=1,C39*F22*'数据-取费表'!B21/2,C39*(POWER((1+F22),'数据-取费表'!B21/2)-1)),0)</f>
        <v>0</v>
      </c>
      <c r="D43" s="238"/>
      <c r="E43" s="238"/>
      <c r="F43" s="239"/>
      <c r="G43" s="3736"/>
    </row>
    <row r="44" spans="1:7" ht="13.5" customHeight="1">
      <c r="A44" s="779" t="s">
        <v>348</v>
      </c>
      <c r="B44" s="215" t="s">
        <v>1546</v>
      </c>
      <c r="C44" s="238">
        <f ca="1">ROUND(IF('数据-取费表'!B22&lt;=1,C40*F22*'数据-取费表'!B21/2,C40*(POWER((1+F22),'数据-取费表'!B21/2)-1)),4)</f>
        <v>5.9999999999999995E-4</v>
      </c>
      <c r="D44" s="238"/>
      <c r="E44" s="238"/>
      <c r="F44" s="239"/>
      <c r="G44" s="3737"/>
    </row>
    <row r="45" spans="1:7" s="214" customFormat="1" ht="13.5" customHeight="1">
      <c r="A45" s="255" t="s">
        <v>1547</v>
      </c>
      <c r="B45" s="244" t="s">
        <v>1513</v>
      </c>
      <c r="C45" s="245">
        <f ca="1">C46</f>
        <v>4</v>
      </c>
      <c r="D45" s="235">
        <f ca="1">C47</f>
        <v>3.0000000000000001E-3</v>
      </c>
      <c r="E45" s="236" t="s">
        <v>1539</v>
      </c>
      <c r="F45" s="246">
        <f ca="1">F27</f>
        <v>0.15</v>
      </c>
      <c r="G45" s="247" t="s">
        <v>1548</v>
      </c>
    </row>
    <row r="46" spans="1:7" s="214" customFormat="1" ht="13.5" customHeight="1">
      <c r="A46" s="779" t="s">
        <v>346</v>
      </c>
      <c r="B46" s="248" t="s">
        <v>1549</v>
      </c>
      <c r="C46" s="249">
        <f ca="1">ROUND((C33+C39)*F27,0)</f>
        <v>4</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34</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v>
      </c>
      <c r="D52" s="266"/>
      <c r="E52" s="266"/>
      <c r="F52" s="266"/>
      <c r="G52" s="268"/>
    </row>
    <row r="55" spans="1:7" ht="15">
      <c r="B55" s="270" t="s">
        <v>1562</v>
      </c>
      <c r="C55" s="271"/>
    </row>
    <row r="56" spans="1:7">
      <c r="B56" s="273" t="s">
        <v>802</v>
      </c>
      <c r="C56" s="275">
        <f ca="1">1-C57</f>
        <v>0.82200000000000006</v>
      </c>
    </row>
    <row r="57" spans="1:7">
      <c r="B57" s="273" t="s">
        <v>803</v>
      </c>
      <c r="C57" s="274">
        <f ca="1">ROUND(C51/C52,3)</f>
        <v>0.17799999999999999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26.403500000000001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5515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9576</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9576</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9576</v>
      </c>
      <c r="D10" s="844">
        <f ca="1">IF(B1="",'数据-汇总表'!E6,IF(INDIRECT("'数据-取费表'!c"&amp;$G$1)="住宅",INDIRECT("'数据-取费表'!s"&amp;$G$1),INDIRECT("'数据-取费表'!k"&amp;$G$1)+INDIRECT("'数据-取费表'!s"&amp;$G$1)))</f>
        <v>47.88</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9576</v>
      </c>
      <c r="D19" s="848">
        <f ca="1">D9+D10</f>
        <v>47.88</v>
      </c>
      <c r="E19" s="211">
        <f>'数据-取费表'!B31</f>
        <v>200</v>
      </c>
      <c r="F19" s="231"/>
      <c r="G19" s="1855"/>
    </row>
    <row r="20" spans="1:7" s="214" customFormat="1" ht="13.5" customHeight="1">
      <c r="A20" s="255" t="s">
        <v>1574</v>
      </c>
      <c r="B20" s="210" t="s">
        <v>1575</v>
      </c>
      <c r="C20" s="232">
        <f ca="1">ROUND((C5+C19)*F20,0)</f>
        <v>575</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1183</v>
      </c>
      <c r="D22" s="235">
        <f ca="1">C26</f>
        <v>5.9999999999999995E-4</v>
      </c>
      <c r="E22" s="236" t="s">
        <v>1579</v>
      </c>
      <c r="F22" s="237">
        <f ca="1">'数据-取费表'!B40</f>
        <v>0.03</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583</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583</v>
      </c>
      <c r="D24" s="238"/>
      <c r="E24" s="238"/>
      <c r="F24" s="239"/>
      <c r="G24" s="240" t="s">
        <v>1586</v>
      </c>
    </row>
    <row r="25" spans="1:7" s="214" customFormat="1" ht="24">
      <c r="A25" s="779" t="s">
        <v>1476</v>
      </c>
      <c r="B25" s="215" t="s">
        <v>1587</v>
      </c>
      <c r="C25" s="1127">
        <f ca="1">ROUND(IF('数据-取费表'!B22&lt;=1,C20*F22*'数据-取费表'!B22/2,C20*(POWER((1+F22),'数据-取费表'!B22/2)-1)),0)</f>
        <v>17</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2959</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2959</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25857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241196</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215460</v>
      </c>
      <c r="D34" s="217"/>
      <c r="E34" s="220"/>
      <c r="F34" s="257"/>
      <c r="G34" s="219"/>
    </row>
    <row r="35" spans="1:7" ht="13.5" customHeight="1">
      <c r="A35" s="779" t="s">
        <v>351</v>
      </c>
      <c r="B35" s="215" t="s">
        <v>1527</v>
      </c>
      <c r="C35" s="220">
        <f ca="1">ROUND(C34*F35,0)</f>
        <v>10773</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9576</v>
      </c>
      <c r="D37" s="217">
        <f ca="1">D19</f>
        <v>47.88</v>
      </c>
      <c r="E37" s="249">
        <f>'数据-取费表'!B35</f>
        <v>200</v>
      </c>
      <c r="F37" s="259"/>
      <c r="G37" s="261"/>
    </row>
    <row r="38" spans="1:7" ht="13.5" customHeight="1">
      <c r="A38" s="779" t="s">
        <v>354</v>
      </c>
      <c r="B38" s="215" t="s">
        <v>1533</v>
      </c>
      <c r="C38" s="220">
        <f ca="1">ROUND(C34*F38,0)</f>
        <v>5387</v>
      </c>
      <c r="D38" s="220"/>
      <c r="E38" s="220"/>
      <c r="F38" s="259">
        <f>'数据-取费表'!B36</f>
        <v>2.5000000000000001E-2</v>
      </c>
      <c r="G38" s="219" t="s">
        <v>1528</v>
      </c>
    </row>
    <row r="39" spans="1:7" s="214" customFormat="1" ht="13.5" customHeight="1">
      <c r="A39" s="255" t="s">
        <v>1534</v>
      </c>
      <c r="B39" s="210" t="s">
        <v>1535</v>
      </c>
      <c r="C39" s="232">
        <f ca="1">ROUND(C33*F20,0)</f>
        <v>7236</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7453</v>
      </c>
      <c r="D41" s="235">
        <f ca="1">C44</f>
        <v>5.9999999999999995E-4</v>
      </c>
      <c r="E41" s="236" t="s">
        <v>1539</v>
      </c>
      <c r="F41" s="237">
        <f ca="1">F22</f>
        <v>0.03</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7236</v>
      </c>
      <c r="D42" s="238"/>
      <c r="E42" s="238"/>
      <c r="F42" s="239"/>
      <c r="G42" s="3735" t="s">
        <v>1591</v>
      </c>
    </row>
    <row r="43" spans="1:7" ht="13.5" customHeight="1">
      <c r="A43" s="779" t="s">
        <v>347</v>
      </c>
      <c r="B43" s="215" t="s">
        <v>1545</v>
      </c>
      <c r="C43" s="238">
        <f ca="1">ROUND(IF('数据-取费表'!B22&lt;=1,C39*F22*'数据-取费表'!B20/2,C39*(POWER((1+F22),'数据-取费表'!B20/2)-1)),0)</f>
        <v>217</v>
      </c>
      <c r="D43" s="238"/>
      <c r="E43" s="238"/>
      <c r="F43" s="239"/>
      <c r="G43" s="3736"/>
    </row>
    <row r="44" spans="1:7" ht="13.5" customHeight="1">
      <c r="A44" s="779" t="s">
        <v>348</v>
      </c>
      <c r="B44" s="215" t="s">
        <v>1546</v>
      </c>
      <c r="C44" s="238">
        <f ca="1">ROUND(IF('数据-取费表'!B22&lt;=1,C40*F22*'数据-取费表'!B20/2,C40*(POWER((1+F22),'数据-取费表'!B20/2)-1)),4)</f>
        <v>5.9999999999999995E-4</v>
      </c>
      <c r="D44" s="238"/>
      <c r="E44" s="238"/>
      <c r="F44" s="239"/>
      <c r="G44" s="3737"/>
    </row>
    <row r="45" spans="1:7" s="214" customFormat="1" ht="13.5" customHeight="1">
      <c r="A45" s="255" t="s">
        <v>1547</v>
      </c>
      <c r="B45" s="244" t="s">
        <v>1513</v>
      </c>
      <c r="C45" s="245">
        <f ca="1">C46</f>
        <v>37265</v>
      </c>
      <c r="D45" s="235">
        <f ca="1">C47</f>
        <v>3.0000000000000001E-3</v>
      </c>
      <c r="E45" s="236" t="s">
        <v>1539</v>
      </c>
      <c r="F45" s="246">
        <f ca="1">F27</f>
        <v>0.15</v>
      </c>
      <c r="G45" s="247" t="s">
        <v>1548</v>
      </c>
    </row>
    <row r="46" spans="1:7" s="214" customFormat="1" ht="13.5" customHeight="1">
      <c r="A46" s="779" t="s">
        <v>346</v>
      </c>
      <c r="B46" s="248" t="s">
        <v>1549</v>
      </c>
      <c r="C46" s="249">
        <f ca="1">ROUND((C33+C39)*F27,0)</f>
        <v>37265</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317571</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238178</v>
      </c>
      <c r="D51" s="232"/>
      <c r="E51" s="232"/>
      <c r="F51" s="264"/>
      <c r="G51" s="234" t="s">
        <v>1560</v>
      </c>
    </row>
    <row r="52" spans="1:7" s="208" customFormat="1" ht="16.5" thickBot="1">
      <c r="A52" s="265" t="s">
        <v>1561</v>
      </c>
      <c r="B52" s="266"/>
      <c r="C52" s="267">
        <f ca="1">C31+C51</f>
        <v>264035</v>
      </c>
      <c r="D52" s="266"/>
      <c r="E52" s="266"/>
      <c r="F52" s="266"/>
      <c r="G52" s="268"/>
    </row>
    <row r="55" spans="1:7" ht="15">
      <c r="B55" s="270" t="s">
        <v>1562</v>
      </c>
      <c r="C55" s="271"/>
    </row>
    <row r="56" spans="1:7">
      <c r="B56" s="273" t="s">
        <v>802</v>
      </c>
      <c r="C56" s="275">
        <f ca="1">1-C57</f>
        <v>9.7999999999999976E-2</v>
      </c>
    </row>
    <row r="57" spans="1:7">
      <c r="B57" s="273" t="s">
        <v>803</v>
      </c>
      <c r="C57" s="274">
        <f ca="1">ROUND(C51/C52,3)</f>
        <v>0.90200000000000002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-1</v>
      </c>
      <c r="C2" s="276" t="s">
        <v>1595</v>
      </c>
      <c r="D2" s="276"/>
      <c r="E2" s="2804"/>
      <c r="F2" s="2804"/>
      <c r="G2" s="2804"/>
      <c r="H2" s="2804"/>
      <c r="I2" s="2804"/>
      <c r="J2" s="2804"/>
      <c r="K2" s="2804"/>
    </row>
    <row r="3" spans="1:33" ht="18" customHeight="1" thickBot="1">
      <c r="A3" s="203" t="s">
        <v>1464</v>
      </c>
      <c r="B3" s="204">
        <f ca="1">ROUND(B2*10000/IF(C1="",'数据-汇总表'!E3,INDIRECT("'数据-取费表'!K"&amp;$K$1)),0)</f>
        <v>-209</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47.88</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2.5000000000000001E-2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47.88</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v>
      </c>
      <c r="D20" s="845">
        <f ca="1">IF(C1="",'数据-汇总表'!E6,IF(INDIRECT("'数据-取费表'!c"&amp;$K$1)="住宅",INDIRECT("'数据-取费表'!s"&amp;$K$1),INDIRECT("'数据-取费表'!k"&amp;$K$1)+INDIRECT("'数据-取费表'!s"&amp;$K$1)))</f>
        <v>47.88</v>
      </c>
      <c r="E20" s="21">
        <f>'数据-取费表'!B28</f>
        <v>200</v>
      </c>
      <c r="F20" s="803"/>
      <c r="G20" s="12"/>
      <c r="H20" s="808"/>
      <c r="I20" s="808"/>
      <c r="J20" s="808"/>
      <c r="K20" s="809"/>
    </row>
    <row r="21" spans="1:33" s="802" customFormat="1" ht="13.5" customHeight="1">
      <c r="A21" s="789" t="s">
        <v>357</v>
      </c>
      <c r="B21" s="812" t="s">
        <v>1628</v>
      </c>
      <c r="C21" s="813">
        <f ca="1">C16+C17+C18</f>
        <v>1</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-1</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Q5" sqref="Q5"/>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86</v>
      </c>
      <c r="C2" s="1998" t="s">
        <v>1935</v>
      </c>
      <c r="D2" s="1999" t="s">
        <v>1936</v>
      </c>
      <c r="E2" s="3420" t="s">
        <v>673</v>
      </c>
      <c r="F2" s="1999" t="s">
        <v>1937</v>
      </c>
      <c r="G2" s="2000" t="str">
        <f>IF(E2="商业",项目基本情况!B37,IF(E2="办公",项目基本情况!C37,IF(E2="住宅",项目基本情况!D37,IF(E2="工业",项目基本情况!E37,项目基本情况!F37))))</f>
        <v>三级</v>
      </c>
      <c r="H2" s="1999" t="s">
        <v>1938</v>
      </c>
      <c r="I2" s="2000" t="str">
        <f>IF(E2="商业",项目基本情况!B38,IF(E2="办公",项目基本情况!C38,IF(E2="住宅",项目基本情况!D38,IF(E2="工业",项目基本情况!E38,项目基本情况!F38))))</f>
        <v>Ⅲ—25</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1.5019</v>
      </c>
      <c r="T2" s="3359">
        <f t="shared" ref="T2:T16" si="0">ROUND($C$5*$C$22*$C$23*$C$24*S2*$C$28,0)</f>
        <v>26832</v>
      </c>
      <c r="U2" s="1212"/>
      <c r="V2" s="3359">
        <f>ROUND(T2*U2/10000,0)</f>
        <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8" t="s">
        <v>2439</v>
      </c>
      <c r="F3" s="2003" t="s">
        <v>3425</v>
      </c>
      <c r="G3" s="751">
        <f>IF(F3="宗地容积率",'数据-汇总表'!I4,IF(F3="估价对象容积率",'数据-汇总表'!I6,'数据-汇总表'!I7))</f>
        <v>2.5</v>
      </c>
      <c r="H3" s="170" t="s">
        <v>1943</v>
      </c>
      <c r="I3" s="774"/>
      <c r="J3" s="2001" t="s">
        <v>1944</v>
      </c>
      <c r="K3" s="1118"/>
      <c r="L3" s="2002" t="s">
        <v>1945</v>
      </c>
      <c r="M3" s="863">
        <f>SUMPRODUCT((区片价!B30:B54=I2)*(区片价!C3:G3=E2)*(区片价!C30:G54))</f>
        <v>22460</v>
      </c>
      <c r="N3" s="865">
        <f>SUMPRODUCT((因素修正幅度!B30:B54=I2)*(因素修正幅度!C3:G3=E2)*(因素修正幅度!C30:G54))</f>
        <v>9.6000000000000002E-2</v>
      </c>
      <c r="O3" s="1118"/>
      <c r="P3" s="1118"/>
      <c r="Q3" s="1118">
        <f>S3/S2</f>
        <v>0.78820161129236299</v>
      </c>
      <c r="R3" s="1211">
        <v>2</v>
      </c>
      <c r="S3" s="3359">
        <f>ROUND(SUMPRODUCT((B106:B110=R3)*(C105:N105=G2)*(C106:N110)),4)</f>
        <v>1.1838</v>
      </c>
      <c r="T3" s="3359">
        <f t="shared" si="0"/>
        <v>21149</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745"/>
      <c r="B4" s="3746"/>
      <c r="C4" s="3746"/>
      <c r="D4" s="3747"/>
      <c r="E4" s="3747"/>
      <c r="F4" s="3747"/>
      <c r="G4" s="3747"/>
      <c r="H4" s="3747"/>
      <c r="I4" s="3747"/>
      <c r="J4" s="3748"/>
      <c r="K4" s="1118"/>
      <c r="L4" s="2002" t="s">
        <v>1946</v>
      </c>
      <c r="M4" s="863">
        <f>SUMPRODUCT((区片价!B55:B86=I2)*(区片价!C3:G3=E2)*(区片价!C55:G86))</f>
        <v>0</v>
      </c>
      <c r="N4" s="865">
        <f>SUMPRODUCT((因素修正幅度!B55:B86=I2)*(因素修正幅度!C3:G3=E2)*(因素修正幅度!C55:G86))</f>
        <v>0</v>
      </c>
      <c r="O4" s="1118"/>
      <c r="P4" s="1118"/>
      <c r="Q4" s="1118">
        <f>S4/S2</f>
        <v>0.66615620214395099</v>
      </c>
      <c r="R4" s="1211">
        <v>3</v>
      </c>
      <c r="S4" s="3359">
        <f>ROUND(SUMPRODUCT((B106:B110=R4)*(C105:N105=G2)*(C106:N110)),4)</f>
        <v>1.0004999999999999</v>
      </c>
      <c r="T4" s="3359">
        <f t="shared" si="0"/>
        <v>17874</v>
      </c>
      <c r="U4" s="1212">
        <f>'数据-汇总表'!F19</f>
        <v>47.88</v>
      </c>
      <c r="V4" s="3359">
        <f t="shared" si="1"/>
        <v>86</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22460</v>
      </c>
      <c r="D5" s="1338">
        <f>ROUND(C6*C17+C20,0)</f>
        <v>22460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0.88239999999999996</v>
      </c>
      <c r="T5" s="3359">
        <f t="shared" si="0"/>
        <v>15764</v>
      </c>
      <c r="U5" s="1212"/>
      <c r="V5" s="3359">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22460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0.84799999999999998</v>
      </c>
      <c r="T6" s="3359">
        <f t="shared" si="0"/>
        <v>15150</v>
      </c>
      <c r="U6" s="1212"/>
      <c r="V6" s="3359">
        <f t="shared" si="1"/>
        <v>0</v>
      </c>
      <c r="W6" s="1215"/>
      <c r="X6" s="1215"/>
      <c r="Y6" s="1215"/>
      <c r="Z6" s="1215"/>
      <c r="AA6" s="1215"/>
      <c r="AB6" s="1215"/>
      <c r="AC6" s="2010"/>
      <c r="AD6" s="2011"/>
      <c r="AE6" s="2011"/>
      <c r="AF6" s="2011"/>
      <c r="AG6" s="2011"/>
      <c r="AH6" s="2011"/>
      <c r="AI6" s="2011"/>
      <c r="AJ6" s="2012"/>
    </row>
    <row r="7" spans="1:36" ht="24.75" thickBot="1">
      <c r="A7" s="3302" t="s">
        <v>3237</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7"/>
      <c r="T7" s="3359">
        <f t="shared" si="0"/>
        <v>0</v>
      </c>
      <c r="U7" s="1212"/>
      <c r="V7" s="3359">
        <f t="shared" si="1"/>
        <v>0</v>
      </c>
      <c r="W7" s="1357" t="s">
        <v>1955</v>
      </c>
      <c r="X7" s="1213" t="str">
        <f>G2</f>
        <v>三级</v>
      </c>
      <c r="Y7" s="1213" t="s">
        <v>1956</v>
      </c>
      <c r="Z7" s="1214">
        <f>G3</f>
        <v>2.5</v>
      </c>
      <c r="AA7" s="1215"/>
      <c r="AB7" s="1215"/>
      <c r="AC7" s="1216"/>
      <c r="AD7" s="1217"/>
      <c r="AE7" s="1217"/>
      <c r="AF7" s="1217"/>
      <c r="AG7" s="1217"/>
      <c r="AH7" s="1217"/>
      <c r="AI7" s="1217"/>
      <c r="AJ7" s="1218"/>
    </row>
    <row r="8" spans="1:36" ht="25.5">
      <c r="A8" s="3297"/>
      <c r="B8" s="170" t="s">
        <v>1957</v>
      </c>
      <c r="C8" s="2025" t="s">
        <v>3426</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9">
        <f t="shared" si="0"/>
        <v>0</v>
      </c>
      <c r="U8" s="1212"/>
      <c r="V8" s="3359">
        <f t="shared" si="1"/>
        <v>0</v>
      </c>
      <c r="W8" s="3742" t="s">
        <v>1960</v>
      </c>
      <c r="X8" s="3743"/>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9">
        <f t="shared" si="0"/>
        <v>0</v>
      </c>
      <c r="U9" s="1212"/>
      <c r="V9" s="3359">
        <f t="shared" si="1"/>
        <v>0</v>
      </c>
      <c r="W9" s="3744"/>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9">
        <f t="shared" si="0"/>
        <v>0</v>
      </c>
      <c r="U10" s="1212"/>
      <c r="V10" s="3359">
        <f t="shared" si="1"/>
        <v>0</v>
      </c>
      <c r="W10" s="374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3238</v>
      </c>
      <c r="B12" s="3303" t="s">
        <v>3239</v>
      </c>
      <c r="C12" s="3304">
        <v>1</v>
      </c>
      <c r="D12" s="3305" t="s">
        <v>3240</v>
      </c>
      <c r="E12" s="3306" t="s">
        <v>3241</v>
      </c>
      <c r="F12" s="3307"/>
      <c r="G12" s="3308"/>
      <c r="H12" s="3308"/>
      <c r="I12" s="3308"/>
      <c r="J12" s="3309"/>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3242</v>
      </c>
      <c r="B13" s="2033" t="s">
        <v>1982</v>
      </c>
      <c r="C13" s="754">
        <f>ROUND(C16*D16*E16*F16*G16*H16*I16*J16,4)</f>
        <v>0</v>
      </c>
      <c r="D13" s="2034" t="s">
        <v>1983</v>
      </c>
      <c r="E13" s="2035"/>
      <c r="F13" s="2035"/>
      <c r="G13" s="2036"/>
      <c r="H13" s="2036"/>
      <c r="I13" s="2036"/>
      <c r="J13" s="2037"/>
      <c r="K13" s="1118"/>
      <c r="L13" s="3298"/>
      <c r="M13" s="3299"/>
      <c r="N13" s="3300"/>
      <c r="O13" s="1118"/>
      <c r="P13" s="1118"/>
      <c r="Q13" s="1118"/>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9" t="s">
        <v>1985</v>
      </c>
      <c r="C14" s="2040" t="s">
        <v>1986</v>
      </c>
      <c r="D14" s="1349" t="s">
        <v>1987</v>
      </c>
      <c r="E14" s="27" t="s">
        <v>1988</v>
      </c>
      <c r="F14" s="3310" t="s">
        <v>3243</v>
      </c>
      <c r="G14" s="3310" t="s">
        <v>3243</v>
      </c>
      <c r="H14" s="3310" t="s">
        <v>3243</v>
      </c>
      <c r="I14" s="3310" t="s">
        <v>3243</v>
      </c>
      <c r="J14" s="3310" t="s">
        <v>3243</v>
      </c>
      <c r="K14" s="1118"/>
      <c r="L14" s="1118"/>
      <c r="M14" s="1118"/>
      <c r="N14" s="1118"/>
      <c r="O14" s="1118"/>
      <c r="P14" s="1118"/>
      <c r="Q14" s="1118"/>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3244</v>
      </c>
      <c r="G15" s="3312"/>
      <c r="H15" s="3313"/>
      <c r="I15" s="3314"/>
      <c r="J15" s="3315"/>
      <c r="K15" s="1118"/>
      <c r="L15" s="1118"/>
      <c r="M15" s="1118"/>
      <c r="N15" s="1118"/>
      <c r="O15" s="1118"/>
      <c r="P15" s="1118"/>
      <c r="Q15" s="1118"/>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6"/>
      <c r="M16" s="1996"/>
      <c r="N16" s="1996"/>
      <c r="O16" s="1996"/>
      <c r="P16" s="1996"/>
      <c r="Q16" s="1118"/>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3245</v>
      </c>
      <c r="B17" s="3319" t="s">
        <v>3246</v>
      </c>
      <c r="C17" s="3329">
        <f>ROUND(IF(OR(E2="工业",E2="公共服务"),1,IF(AND(E18=0,E19=0),1,IF(AND(E18=J24,E19=G19),0.8,IF(E19=0,1+E17*(-0.2),1+E17*G17*(-0.2))))),4)</f>
        <v>1</v>
      </c>
      <c r="D17" s="3320" t="s">
        <v>3247</v>
      </c>
      <c r="E17" s="3329">
        <f>ROUND(G18/I18,2)</f>
        <v>0</v>
      </c>
      <c r="F17" s="3320" t="s">
        <v>3250</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8"/>
      <c r="C18" s="3326"/>
      <c r="D18" s="3321" t="s">
        <v>3248</v>
      </c>
      <c r="E18" s="3327"/>
      <c r="F18" s="3322" t="s">
        <v>3251</v>
      </c>
      <c r="G18" s="3326">
        <f>ROUND(1-(1/(POWER(1+G24,E18))),4)</f>
        <v>0</v>
      </c>
      <c r="H18" s="3322" t="s">
        <v>3253</v>
      </c>
      <c r="I18" s="3326">
        <f>ROUND(1-(1/(POWER(1+G24,J24))),4)</f>
        <v>0.88249999999999995</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6"/>
    </row>
    <row r="19" spans="1:37" s="2013" customFormat="1" ht="15" thickBot="1">
      <c r="A19" s="3333"/>
      <c r="B19" s="3334"/>
      <c r="C19" s="3335"/>
      <c r="D19" s="3335" t="s">
        <v>3249</v>
      </c>
      <c r="E19" s="3336"/>
      <c r="F19" s="3337" t="s">
        <v>3252</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9"/>
      <c r="AH19" s="2140"/>
      <c r="AI19" s="2790"/>
      <c r="AJ19" s="2790"/>
      <c r="AK19" s="2056"/>
    </row>
    <row r="20" spans="1:37" s="2013" customFormat="1" ht="14.25">
      <c r="A20" s="3749" t="s">
        <v>3254</v>
      </c>
      <c r="B20" s="167" t="s">
        <v>1994</v>
      </c>
      <c r="C20" s="3323">
        <f>ROUND(IF(F21="与级别开发程度一致",0,(G21-E21)/C21),0)</f>
        <v>0</v>
      </c>
      <c r="D20" s="3339" t="s">
        <v>1998</v>
      </c>
      <c r="E20" s="3340"/>
      <c r="F20" s="3755" t="s">
        <v>1995</v>
      </c>
      <c r="G20" s="3756"/>
      <c r="H20" s="3324" t="s">
        <v>3428</v>
      </c>
      <c r="I20" s="3324" t="s">
        <v>3429</v>
      </c>
      <c r="J20" s="3325" t="s">
        <v>3430</v>
      </c>
      <c r="K20" s="2046" t="s">
        <v>3431</v>
      </c>
      <c r="L20" s="2046" t="s">
        <v>3433</v>
      </c>
      <c r="M20" s="2046" t="s">
        <v>3432</v>
      </c>
      <c r="N20" s="2046" t="s">
        <v>3434</v>
      </c>
      <c r="O20" s="2047" t="s">
        <v>3435</v>
      </c>
      <c r="P20" s="1996"/>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3" customFormat="1" ht="26.25" thickBot="1">
      <c r="A21" s="3750"/>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3427</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40</v>
      </c>
      <c r="O21" s="2166">
        <f>SUMPRODUCT((七通一平=O20)*(修正!B1:M1=G2)*(修正!B8:M16))</f>
        <v>15</v>
      </c>
      <c r="P21" s="1996"/>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3" customFormat="1" ht="15.75" thickBot="1">
      <c r="A22" s="2157" t="s">
        <v>363</v>
      </c>
      <c r="B22" s="2158" t="s">
        <v>2000</v>
      </c>
      <c r="C22" s="2159">
        <f>SUMIF(修正!C20:C51,E3,修正!E20:E51)</f>
        <v>1</v>
      </c>
      <c r="D22" s="2160"/>
      <c r="E22" s="2161"/>
      <c r="F22" s="2161"/>
      <c r="G22" s="2161"/>
      <c r="H22" s="2161"/>
      <c r="I22" s="2161"/>
      <c r="J22" s="2162"/>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2053" t="s">
        <v>2002</v>
      </c>
      <c r="E23" s="760">
        <v>44197</v>
      </c>
      <c r="F23" s="2053" t="s">
        <v>2003</v>
      </c>
      <c r="G23" s="761">
        <f>'数据-取费表'!B2</f>
        <v>45821</v>
      </c>
      <c r="H23" s="3341" t="s">
        <v>3256</v>
      </c>
      <c r="I23" s="3342" t="str">
        <f>IF(H23="季度增幅（自定义）",SUMIF(N25:N28,E2,O25:O28),"")</f>
        <v/>
      </c>
      <c r="J23" s="3444" t="s">
        <v>3255</v>
      </c>
      <c r="K23" s="1124"/>
      <c r="L23" s="2054" t="s">
        <v>2004</v>
      </c>
      <c r="M23" s="1327">
        <f>ROUND(SUMIF(地价!B2:G2,E2,地价!B16:G16),0)</f>
        <v>350</v>
      </c>
      <c r="N23" s="2055" t="s">
        <v>2005</v>
      </c>
      <c r="O23" s="762">
        <f>ROUNDDOWN(DATEDIF(E23,G23,"M")/3,0)</f>
        <v>17</v>
      </c>
      <c r="P23" s="1121"/>
      <c r="Q23" s="2786"/>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0.73160000000000003</v>
      </c>
      <c r="D24" s="2059" t="s">
        <v>2007</v>
      </c>
      <c r="E24" s="1334">
        <f>存贷款利率!E28/100</f>
        <v>4.3499999999999997E-2</v>
      </c>
      <c r="F24" s="2059" t="s">
        <v>1999</v>
      </c>
      <c r="G24" s="767">
        <f>SUMIF(M30:Q30,E2,M33:Q33)</f>
        <v>5.5E-2</v>
      </c>
      <c r="H24" s="2059" t="s">
        <v>2008</v>
      </c>
      <c r="I24" s="768">
        <f>SUMIF('数据-取费表'!C6:C15,E2,'数据-取费表'!F6:F15)/COUNTIF('数据-取费表'!C6:C15,E2)</f>
        <v>19.38</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4" t="s">
        <v>366</v>
      </c>
      <c r="B25" s="2065" t="s">
        <v>3436</v>
      </c>
      <c r="C25" s="770">
        <f>IF(B25="容积率修正",IF(G3&lt;10,D26,J26),C27)</f>
        <v>0</v>
      </c>
      <c r="D25" s="2066"/>
      <c r="E25" s="2066"/>
      <c r="F25" s="2066"/>
      <c r="G25" s="2066"/>
      <c r="H25" s="2066"/>
      <c r="I25" s="2066"/>
      <c r="J25" s="2067"/>
      <c r="K25" s="1124"/>
      <c r="L25" s="2786"/>
      <c r="M25" s="2786"/>
      <c r="N25" s="2068"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3" t="s">
        <v>3257</v>
      </c>
      <c r="D26" s="1351">
        <f>IF(E26=G26,F26,IF(G3&lt;10,ROUND(F26+(H26-F26)*(G3-E26)/(G26-E26),4),"——"))</f>
        <v>1</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3258</v>
      </c>
      <c r="J26" s="771" t="str">
        <f>IF(G3&gt;=10,D115,"——")</f>
        <v>——</v>
      </c>
      <c r="K26" s="1124"/>
      <c r="L26" s="2786"/>
      <c r="M26" s="2786"/>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1.0516000000000001</v>
      </c>
      <c r="D28" s="2051"/>
      <c r="E28" s="2076"/>
      <c r="F28" s="2076"/>
      <c r="G28" s="2076"/>
      <c r="H28" s="2076"/>
      <c r="I28" s="2076"/>
      <c r="J28" s="2077"/>
      <c r="K28" s="1124"/>
      <c r="L28" s="2786"/>
      <c r="M28" s="2786"/>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86</v>
      </c>
      <c r="D30" s="2082"/>
      <c r="E30" s="2045"/>
      <c r="F30" s="2083"/>
      <c r="G30" s="2045"/>
      <c r="H30" s="2045"/>
      <c r="I30" s="2045"/>
      <c r="J30" s="2084"/>
      <c r="K30" s="1118"/>
      <c r="L30" s="3349" t="s">
        <v>1936</v>
      </c>
      <c r="M30" s="3350" t="s">
        <v>1990</v>
      </c>
      <c r="N30" s="3350" t="s">
        <v>1991</v>
      </c>
      <c r="O30" s="3350" t="s">
        <v>1992</v>
      </c>
      <c r="P30" s="3350" t="s">
        <v>1993</v>
      </c>
      <c r="Q30" s="3353"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1" t="s">
        <v>1996</v>
      </c>
      <c r="M31" s="1999">
        <v>0.25</v>
      </c>
      <c r="N31" s="1999">
        <v>0.2</v>
      </c>
      <c r="O31" s="1999">
        <v>0.15</v>
      </c>
      <c r="P31" s="1999">
        <v>0.1</v>
      </c>
      <c r="Q31" s="3346">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2" t="s">
        <v>1999</v>
      </c>
      <c r="M32" s="2569">
        <f>ROUND($E$24*(1+M31),3)</f>
        <v>5.3999999999999999E-2</v>
      </c>
      <c r="N32" s="2569">
        <f>ROUND($E$24*(1+N31),3)</f>
        <v>5.1999999999999998E-2</v>
      </c>
      <c r="O32" s="2569">
        <f>ROUND($E$24*(1+O31),3)</f>
        <v>0.05</v>
      </c>
      <c r="P32" s="2569">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0</v>
      </c>
      <c r="D33" s="2097"/>
      <c r="E33" s="772">
        <f>ROUND(C33*D33/10000,0)</f>
        <v>0</v>
      </c>
      <c r="F33" s="3344" t="s">
        <v>3260</v>
      </c>
      <c r="G33" s="2098"/>
      <c r="H33" s="2098"/>
      <c r="I33" s="2098"/>
      <c r="J33" s="2099"/>
      <c r="K33" s="1118"/>
      <c r="L33" s="3347" t="s">
        <v>3263</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7" t="s">
        <v>3264</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5" t="s">
        <v>3261</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5" t="s">
        <v>3265</v>
      </c>
      <c r="L36" s="3445">
        <f ca="1">'数据-取费表'!B40</f>
        <v>0.03</v>
      </c>
      <c r="M36" s="3356">
        <f ca="1">ROUND($L$36*(1+M31),3)</f>
        <v>3.7999999999999999E-2</v>
      </c>
      <c r="N36" s="3356">
        <f ca="1">ROUND($L$36*(1+N31),3)</f>
        <v>3.5999999999999997E-2</v>
      </c>
      <c r="O36" s="3356">
        <f ca="1">ROUND($L$36*(1+O31),3)</f>
        <v>3.5000000000000003E-2</v>
      </c>
      <c r="P36" s="3356">
        <f ca="1">ROUND($L$36*(1+P31),3)</f>
        <v>3.3000000000000002E-2</v>
      </c>
      <c r="Q36" s="3356">
        <f ca="1">ROUND($L$36*(1+Q31),3)</f>
        <v>3.5000000000000003E-2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3"/>
      <c r="B37" s="2112" t="s">
        <v>2036</v>
      </c>
      <c r="C37" s="175">
        <f>ROUND(D5*C22*C23*C24*C28*F37,0)</f>
        <v>10719</v>
      </c>
      <c r="D37" s="2097"/>
      <c r="E37" s="171">
        <f>ROUND(C37*D37/10000,0)</f>
        <v>0</v>
      </c>
      <c r="F37" s="171">
        <f>SUMIF(修正!A57:A68,G2,修正!B57:B68)</f>
        <v>0.6</v>
      </c>
      <c r="G37" s="171">
        <f>ROUND(IF(E2="工业",C37*$M$42,C37*$M$41),0)</f>
        <v>2680</v>
      </c>
      <c r="H37" s="171">
        <f>D37</f>
        <v>0</v>
      </c>
      <c r="I37" s="171">
        <f>ROUND(G37*H37/10000,0)</f>
        <v>0</v>
      </c>
      <c r="J37" s="3010"/>
      <c r="K37" s="3357" t="s">
        <v>3266</v>
      </c>
      <c r="L37" s="3355">
        <f ca="1">L36+K38</f>
        <v>3.4999999999999996E-2</v>
      </c>
      <c r="M37" s="3356">
        <f ca="1">ROUND($L$37*(1+M31),3)</f>
        <v>4.3999999999999997E-2</v>
      </c>
      <c r="N37" s="3356">
        <f t="shared" ref="N37:Q37" ca="1" si="3">ROUND($L$37*(1+N31),3)</f>
        <v>4.2000000000000003E-2</v>
      </c>
      <c r="O37" s="3356">
        <f t="shared" ca="1" si="3"/>
        <v>0.04</v>
      </c>
      <c r="P37" s="3356">
        <f t="shared" ca="1" si="3"/>
        <v>3.9E-2</v>
      </c>
      <c r="Q37" s="3356">
        <f t="shared" ca="1" si="3"/>
        <v>0.04</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4"/>
      <c r="B38" s="2040" t="s">
        <v>2037</v>
      </c>
      <c r="C38" s="175">
        <f>ROUND(D5*C22*C23*C24*C28*F38,0)</f>
        <v>5360</v>
      </c>
      <c r="D38" s="2097"/>
      <c r="E38" s="171">
        <f t="shared" ref="E38:E42" si="4">ROUND(C38*D38/10000,0)</f>
        <v>0</v>
      </c>
      <c r="F38" s="171">
        <f>SUMIF(修正!A57:A68,G2,修正!C57:C68)</f>
        <v>0.3</v>
      </c>
      <c r="G38" s="171">
        <f>ROUND(IF(E2="工业",C38*$M$42,C38*$M$41),0)</f>
        <v>1340</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54"/>
      <c r="B39" s="2040" t="s">
        <v>3259</v>
      </c>
      <c r="C39" s="175">
        <f>ROUND(D5*C22*C23*C24*C28*F39,0)</f>
        <v>4466</v>
      </c>
      <c r="D39" s="2097"/>
      <c r="E39" s="171">
        <f t="shared" si="4"/>
        <v>0</v>
      </c>
      <c r="F39" s="171">
        <f>SUMIF(修正!A57:A68,G2,修正!D57:D68)</f>
        <v>0.25</v>
      </c>
      <c r="G39" s="171">
        <f>ROUND(IF(E2="工业",C39*$M$42,C39*$M$41),0)</f>
        <v>1117</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4466</v>
      </c>
      <c r="D40" s="2097"/>
      <c r="E40" s="171">
        <f t="shared" si="4"/>
        <v>0</v>
      </c>
      <c r="F40" s="175">
        <f>SUMIF(修正!A57:A68,G2,修正!E57:E68)</f>
        <v>0.25</v>
      </c>
      <c r="G40" s="171">
        <f>ROUND(IF(E2="工业",C40*$M$42,C40*$M$41),0)</f>
        <v>1117</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4233</v>
      </c>
      <c r="D41" s="2097"/>
      <c r="E41" s="171">
        <f t="shared" si="4"/>
        <v>0</v>
      </c>
      <c r="F41" s="175">
        <f>SUMIF(修正!A57:A68,G2,修正!F57:F68)</f>
        <v>0.25</v>
      </c>
      <c r="G41" s="171">
        <f>ROUND(IF(E2="工业",C41*$M$42,C41*$M$41),0)</f>
        <v>1058</v>
      </c>
      <c r="H41" s="171">
        <f t="shared" si="5"/>
        <v>0</v>
      </c>
      <c r="I41" s="171">
        <f t="shared" si="6"/>
        <v>0</v>
      </c>
      <c r="J41" s="2113"/>
      <c r="L41" s="3358" t="s">
        <v>3267</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2540</v>
      </c>
      <c r="D42" s="2102"/>
      <c r="E42" s="187">
        <f t="shared" si="4"/>
        <v>0</v>
      </c>
      <c r="F42" s="766">
        <f>SUMIF(修正!A57:A68,G2,修正!G57:G68)</f>
        <v>0.15</v>
      </c>
      <c r="G42" s="187">
        <f>ROUND(IF(E2="工业",C42*$M$42,C42*$M$41),0)</f>
        <v>635</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0.69340000000000002</v>
      </c>
      <c r="D44" s="171" t="s">
        <v>1999</v>
      </c>
      <c r="E44" s="2152">
        <f>G24</f>
        <v>5.5E-2</v>
      </c>
      <c r="F44" s="171" t="s">
        <v>2008</v>
      </c>
      <c r="G44" s="183">
        <f>项目基本情况!D15</f>
        <v>19.38</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1.0516000000000001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3437</v>
      </c>
      <c r="D50" s="1064">
        <f t="shared" ref="D50:D58" si="7">SUMIF($J$49:$N$49,C50,J50:N50)</f>
        <v>1.44E-2</v>
      </c>
      <c r="E50" s="743">
        <f>ROUND(SUM(D50:D58),4)</f>
        <v>5.16E-2</v>
      </c>
      <c r="F50" s="1813">
        <f>IF(E2="商业",SUMIF(L1:L12,G2,N1:N12),"——")</f>
        <v>9.6000000000000002E-2</v>
      </c>
      <c r="G50" s="1062">
        <f>H50</f>
        <v>1.44E-2</v>
      </c>
      <c r="H50" s="1065">
        <f t="shared" ref="H50:H58" si="8">IFERROR(ROUNDDOWN($F$50*I50/2,4),"——")</f>
        <v>1.44E-2</v>
      </c>
      <c r="I50" s="3365">
        <v>0.3</v>
      </c>
      <c r="J50" s="1063">
        <f t="shared" ref="J50:J58" si="9">K50+$G50</f>
        <v>2.8799999999999999E-2</v>
      </c>
      <c r="K50" s="1063">
        <f t="shared" ref="K50:K58" si="10">$L50+$G50</f>
        <v>1.44E-2</v>
      </c>
      <c r="L50" s="1063">
        <v>0</v>
      </c>
      <c r="M50" s="1063">
        <f t="shared" ref="M50:N58" si="11">L50-$G50</f>
        <v>-1.44E-2</v>
      </c>
      <c r="N50" s="1063">
        <f t="shared" si="11"/>
        <v>-2.8799999999999999E-2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3437</v>
      </c>
      <c r="D51" s="1064">
        <f t="shared" si="7"/>
        <v>1.0500000000000001E-2</v>
      </c>
      <c r="E51" s="744"/>
      <c r="F51" s="1813"/>
      <c r="G51" s="1062">
        <f t="shared" ref="G51:G58" si="12">H51</f>
        <v>1.0500000000000001E-2</v>
      </c>
      <c r="H51" s="1065">
        <f t="shared" si="8"/>
        <v>1.0500000000000001E-2</v>
      </c>
      <c r="I51" s="3365">
        <v>0.22</v>
      </c>
      <c r="J51" s="1063">
        <f t="shared" si="9"/>
        <v>2.1000000000000001E-2</v>
      </c>
      <c r="K51" s="1063">
        <f t="shared" si="10"/>
        <v>1.0500000000000001E-2</v>
      </c>
      <c r="L51" s="1063">
        <v>0</v>
      </c>
      <c r="M51" s="1063">
        <f t="shared" si="11"/>
        <v>-1.0500000000000001E-2</v>
      </c>
      <c r="N51" s="1063">
        <f t="shared" si="11"/>
        <v>-2.1000000000000001E-2</v>
      </c>
      <c r="AA51" s="1119"/>
      <c r="AB51" s="1119"/>
      <c r="AC51" s="1119"/>
      <c r="AD51" s="1119"/>
      <c r="AE51" s="1119"/>
      <c r="AF51" s="1119"/>
      <c r="AG51" s="1119"/>
      <c r="AH51" s="1119"/>
      <c r="AI51" s="1119"/>
      <c r="AJ51" s="1119"/>
      <c r="AK51" s="1119"/>
    </row>
    <row r="52" spans="1:37" s="1118" customFormat="1" ht="36">
      <c r="A52" s="3367" t="s">
        <v>3269</v>
      </c>
      <c r="B52" s="2133">
        <f>估价对象房地状况!C19</f>
        <v>0</v>
      </c>
      <c r="C52" s="2043" t="s">
        <v>3437</v>
      </c>
      <c r="D52" s="1064">
        <f t="shared" si="7"/>
        <v>5.7000000000000002E-3</v>
      </c>
      <c r="E52" s="744"/>
      <c r="F52" s="1813"/>
      <c r="G52" s="1062">
        <f t="shared" si="12"/>
        <v>5.7000000000000002E-3</v>
      </c>
      <c r="H52" s="1065">
        <f t="shared" si="8"/>
        <v>5.7000000000000002E-3</v>
      </c>
      <c r="I52" s="3365">
        <v>0.12</v>
      </c>
      <c r="J52" s="1063">
        <f t="shared" si="9"/>
        <v>1.14E-2</v>
      </c>
      <c r="K52" s="1063">
        <f t="shared" si="10"/>
        <v>5.7000000000000002E-3</v>
      </c>
      <c r="L52" s="1063">
        <v>0</v>
      </c>
      <c r="M52" s="1063">
        <f t="shared" si="11"/>
        <v>-5.7000000000000002E-3</v>
      </c>
      <c r="N52" s="1063">
        <f t="shared" si="11"/>
        <v>-1.14E-2</v>
      </c>
      <c r="AA52" s="1119"/>
      <c r="AB52" s="1119"/>
      <c r="AC52" s="1119"/>
      <c r="AD52" s="1119"/>
      <c r="AE52" s="1119"/>
      <c r="AF52" s="1119"/>
      <c r="AG52" s="1119"/>
      <c r="AH52" s="1119"/>
      <c r="AI52" s="1119"/>
      <c r="AJ52" s="1119"/>
      <c r="AK52" s="1119"/>
    </row>
    <row r="53" spans="1:37" s="1118" customFormat="1" ht="36.75">
      <c r="A53" s="2129" t="s">
        <v>2054</v>
      </c>
      <c r="B53" s="2134" t="s">
        <v>2055</v>
      </c>
      <c r="C53" s="2043" t="s">
        <v>3437</v>
      </c>
      <c r="D53" s="1064">
        <f t="shared" si="7"/>
        <v>2.3999999999999998E-3</v>
      </c>
      <c r="E53" s="744"/>
      <c r="F53" s="1813"/>
      <c r="G53" s="1062">
        <f t="shared" si="12"/>
        <v>2.3999999999999998E-3</v>
      </c>
      <c r="H53" s="1065">
        <f t="shared" si="8"/>
        <v>2.3999999999999998E-3</v>
      </c>
      <c r="I53" s="3365">
        <v>0.05</v>
      </c>
      <c r="J53" s="1063">
        <f t="shared" si="9"/>
        <v>4.7999999999999996E-3</v>
      </c>
      <c r="K53" s="1063">
        <f t="shared" si="10"/>
        <v>2.3999999999999998E-3</v>
      </c>
      <c r="L53" s="1063">
        <v>0</v>
      </c>
      <c r="M53" s="1063">
        <f t="shared" si="11"/>
        <v>-2.3999999999999998E-3</v>
      </c>
      <c r="N53" s="1063">
        <f t="shared" si="11"/>
        <v>-4.7999999999999996E-3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3437</v>
      </c>
      <c r="D54" s="1064">
        <f t="shared" si="7"/>
        <v>3.8E-3</v>
      </c>
      <c r="E54" s="744"/>
      <c r="F54" s="1813"/>
      <c r="G54" s="1062">
        <f t="shared" si="12"/>
        <v>3.8E-3</v>
      </c>
      <c r="H54" s="1065">
        <f t="shared" si="8"/>
        <v>3.8E-3</v>
      </c>
      <c r="I54" s="3365">
        <v>0.08</v>
      </c>
      <c r="J54" s="1063">
        <f t="shared" si="9"/>
        <v>7.6E-3</v>
      </c>
      <c r="K54" s="1063">
        <f t="shared" si="10"/>
        <v>3.8E-3</v>
      </c>
      <c r="L54" s="1063">
        <v>0</v>
      </c>
      <c r="M54" s="1063">
        <f t="shared" si="11"/>
        <v>-3.8E-3</v>
      </c>
      <c r="N54" s="1063">
        <f t="shared" si="11"/>
        <v>-7.6E-3</v>
      </c>
      <c r="AA54" s="1119"/>
      <c r="AB54" s="1119"/>
      <c r="AC54" s="1119"/>
      <c r="AD54" s="1119"/>
      <c r="AE54" s="1119"/>
      <c r="AF54" s="1119"/>
      <c r="AG54" s="1119"/>
      <c r="AH54" s="1119"/>
      <c r="AI54" s="1119"/>
      <c r="AJ54" s="1119"/>
      <c r="AK54" s="1119"/>
    </row>
    <row r="55" spans="1:37" s="1118" customFormat="1" ht="24">
      <c r="A55" s="2129" t="s">
        <v>2057</v>
      </c>
      <c r="B55" s="2135" t="s">
        <v>2058</v>
      </c>
      <c r="C55" s="2043" t="s">
        <v>3437</v>
      </c>
      <c r="D55" s="1064">
        <f t="shared" si="7"/>
        <v>2.3999999999999998E-3</v>
      </c>
      <c r="E55" s="744"/>
      <c r="F55" s="1813"/>
      <c r="G55" s="1062">
        <f t="shared" si="12"/>
        <v>2.3999999999999998E-3</v>
      </c>
      <c r="H55" s="1065">
        <f t="shared" si="8"/>
        <v>2.3999999999999998E-3</v>
      </c>
      <c r="I55" s="3365">
        <v>0.05</v>
      </c>
      <c r="J55" s="1063">
        <f t="shared" si="9"/>
        <v>4.7999999999999996E-3</v>
      </c>
      <c r="K55" s="1063">
        <f t="shared" si="10"/>
        <v>2.3999999999999998E-3</v>
      </c>
      <c r="L55" s="1063">
        <v>0</v>
      </c>
      <c r="M55" s="1063">
        <f t="shared" si="11"/>
        <v>-2.3999999999999998E-3</v>
      </c>
      <c r="N55" s="1063">
        <f t="shared" si="11"/>
        <v>-4.7999999999999996E-3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3437</v>
      </c>
      <c r="D56" s="1064">
        <f t="shared" si="7"/>
        <v>2.3999999999999998E-3</v>
      </c>
      <c r="E56" s="744"/>
      <c r="F56" s="1813"/>
      <c r="G56" s="1062">
        <f t="shared" si="12"/>
        <v>2.3999999999999998E-3</v>
      </c>
      <c r="H56" s="1065">
        <f t="shared" si="8"/>
        <v>2.3999999999999998E-3</v>
      </c>
      <c r="I56" s="3365">
        <v>0.05</v>
      </c>
      <c r="J56" s="1063">
        <f t="shared" si="9"/>
        <v>4.7999999999999996E-3</v>
      </c>
      <c r="K56" s="1063">
        <f t="shared" si="10"/>
        <v>2.3999999999999998E-3</v>
      </c>
      <c r="L56" s="1063">
        <v>0</v>
      </c>
      <c r="M56" s="1063">
        <f t="shared" si="11"/>
        <v>-2.3999999999999998E-3</v>
      </c>
      <c r="N56" s="1063">
        <f t="shared" si="11"/>
        <v>-4.7999999999999996E-3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3439</v>
      </c>
      <c r="D57" s="1064">
        <f t="shared" si="7"/>
        <v>7.6E-3</v>
      </c>
      <c r="E57" s="744"/>
      <c r="F57" s="1813"/>
      <c r="G57" s="1062">
        <f t="shared" si="12"/>
        <v>3.8E-3</v>
      </c>
      <c r="H57" s="1065">
        <f t="shared" si="8"/>
        <v>3.8E-3</v>
      </c>
      <c r="I57" s="3365">
        <v>0.08</v>
      </c>
      <c r="J57" s="1063">
        <f t="shared" si="9"/>
        <v>7.6E-3</v>
      </c>
      <c r="K57" s="1063">
        <f t="shared" si="10"/>
        <v>3.8E-3</v>
      </c>
      <c r="L57" s="1063">
        <v>0</v>
      </c>
      <c r="M57" s="1063">
        <f t="shared" si="11"/>
        <v>-3.8E-3</v>
      </c>
      <c r="N57" s="1063">
        <f t="shared" si="11"/>
        <v>-7.6E-3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3437</v>
      </c>
      <c r="D58" s="1064">
        <f t="shared" si="7"/>
        <v>2.3999999999999998E-3</v>
      </c>
      <c r="E58" s="745"/>
      <c r="F58" s="1813"/>
      <c r="G58" s="1062">
        <f t="shared" si="12"/>
        <v>2.3999999999999998E-3</v>
      </c>
      <c r="H58" s="1065">
        <f t="shared" si="8"/>
        <v>2.3999999999999998E-3</v>
      </c>
      <c r="I58" s="3366">
        <v>0.05</v>
      </c>
      <c r="J58" s="1063">
        <f t="shared" si="9"/>
        <v>4.7999999999999996E-3</v>
      </c>
      <c r="K58" s="1063">
        <f t="shared" si="10"/>
        <v>2.3999999999999998E-3</v>
      </c>
      <c r="L58" s="1063">
        <v>0</v>
      </c>
      <c r="M58" s="1063">
        <f t="shared" si="11"/>
        <v>-2.3999999999999998E-3</v>
      </c>
      <c r="N58" s="1063">
        <f t="shared" si="11"/>
        <v>-4.7999999999999996E-3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3">SUMIF($J$60:$N$60,C61,J61:N61)</f>
        <v>0</v>
      </c>
      <c r="E61" s="743">
        <f>ROUND(SUM(D61:D69),4)</f>
        <v>0</v>
      </c>
      <c r="F61" s="1813" t="str">
        <f>IF(E2="办公",SUMIF(L1:L12,G2,N1:N12),"——")</f>
        <v>——</v>
      </c>
      <c r="G61" s="1062"/>
      <c r="H61" s="1065" t="str">
        <f t="shared" ref="H61:H69" si="14">IFERROR(ROUNDDOWN($F$61*I61/2,4),"——")</f>
        <v>——</v>
      </c>
      <c r="I61" s="3365">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3"/>
        <v>0</v>
      </c>
      <c r="E62" s="744"/>
      <c r="F62" s="1813"/>
      <c r="G62" s="1062"/>
      <c r="H62" s="1065" t="str">
        <f t="shared" si="14"/>
        <v>——</v>
      </c>
      <c r="I62" s="3365">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7" t="s">
        <v>3269</v>
      </c>
      <c r="B63" s="2133">
        <f>估价对象房地状况!C19</f>
        <v>0</v>
      </c>
      <c r="C63" s="2043"/>
      <c r="D63" s="1064">
        <f t="shared" si="13"/>
        <v>0</v>
      </c>
      <c r="E63" s="744"/>
      <c r="F63" s="1813"/>
      <c r="G63" s="1062"/>
      <c r="H63" s="1065" t="str">
        <f t="shared" si="14"/>
        <v>——</v>
      </c>
      <c r="I63" s="3365">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5">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5">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5">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3"/>
        <v>0</v>
      </c>
      <c r="E67" s="744"/>
      <c r="F67" s="1813"/>
      <c r="G67" s="1062"/>
      <c r="H67" s="1065" t="str">
        <f t="shared" si="14"/>
        <v>——</v>
      </c>
      <c r="I67" s="3365">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3"/>
        <v>0</v>
      </c>
      <c r="E68" s="744"/>
      <c r="F68" s="1813"/>
      <c r="G68" s="1062"/>
      <c r="H68" s="1065" t="str">
        <f t="shared" si="14"/>
        <v>——</v>
      </c>
      <c r="I68" s="3365">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3"/>
        <v>0</v>
      </c>
      <c r="E69" s="745"/>
      <c r="F69" s="1813"/>
      <c r="G69" s="1062"/>
      <c r="H69" s="1065" t="str">
        <f t="shared" si="14"/>
        <v>——</v>
      </c>
      <c r="I69" s="3366">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5">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5">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7" t="s">
        <v>3269</v>
      </c>
      <c r="B74" s="2133">
        <f>估价对象房地状况!C19</f>
        <v>0</v>
      </c>
      <c r="C74" s="2043"/>
      <c r="D74" s="1064">
        <f t="shared" si="18"/>
        <v>0</v>
      </c>
      <c r="E74" s="746"/>
      <c r="F74" s="1813"/>
      <c r="G74" s="1062"/>
      <c r="H74" s="1065" t="str">
        <f t="shared" si="19"/>
        <v>——</v>
      </c>
      <c r="I74" s="3365">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5">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5">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5">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5">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5">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6">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5">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5">
        <v>0.3</v>
      </c>
      <c r="J84" s="1063">
        <f t="shared" si="25"/>
        <v>0</v>
      </c>
      <c r="K84" s="1063">
        <f t="shared" si="26"/>
        <v>0</v>
      </c>
      <c r="L84" s="1063">
        <v>0</v>
      </c>
      <c r="M84" s="1063">
        <f t="shared" si="27"/>
        <v>0</v>
      </c>
      <c r="N84" s="1063">
        <f t="shared" si="27"/>
        <v>0</v>
      </c>
      <c r="Z84" s="1997"/>
      <c r="AA84" s="2052"/>
      <c r="AG84" s="1120"/>
      <c r="AK84" s="2052"/>
    </row>
    <row r="85" spans="1:37" ht="36">
      <c r="A85" s="3367" t="s">
        <v>3270</v>
      </c>
      <c r="B85" s="2133">
        <f>估价对象房地状况!G17</f>
        <v>0</v>
      </c>
      <c r="C85" s="2043"/>
      <c r="D85" s="1064">
        <f t="shared" si="23"/>
        <v>0</v>
      </c>
      <c r="E85" s="746"/>
      <c r="F85" s="1813"/>
      <c r="G85" s="1062"/>
      <c r="H85" s="1065" t="str">
        <f t="shared" si="24"/>
        <v>——</v>
      </c>
      <c r="I85" s="3365">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5">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5">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5">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5">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6">
        <v>0.05</v>
      </c>
      <c r="J90" s="1063">
        <f t="shared" si="25"/>
        <v>0</v>
      </c>
      <c r="K90" s="1063">
        <f t="shared" si="26"/>
        <v>0</v>
      </c>
      <c r="L90" s="1063">
        <v>0</v>
      </c>
      <c r="M90" s="1063">
        <f t="shared" si="27"/>
        <v>0</v>
      </c>
      <c r="N90" s="1063">
        <f t="shared" si="27"/>
        <v>0</v>
      </c>
    </row>
    <row r="91" spans="1:37" ht="15">
      <c r="A91" s="3375" t="s">
        <v>2612</v>
      </c>
      <c r="B91" s="3376">
        <f>1+E93</f>
        <v>1</v>
      </c>
      <c r="C91" s="3369"/>
      <c r="D91" s="3370"/>
      <c r="E91" s="1813"/>
      <c r="F91" s="1813"/>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3273</v>
      </c>
      <c r="B94" s="3368" t="str">
        <f>估价对象房地状况!C18</f>
        <v>估价对象周边道路状况、公共交通通达情况、停车便捷程度，综合评价交通便捷度较好</v>
      </c>
      <c r="C94" s="2043"/>
      <c r="D94" s="3364">
        <f t="shared" ref="D94:D101" si="31">SUMIF($J$60:$N$60,C94,J94:N94)</f>
        <v>0</v>
      </c>
      <c r="E94" s="3381"/>
      <c r="F94" s="1813"/>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3269</v>
      </c>
      <c r="B95" s="3368">
        <f>估价对象房地状况!C19</f>
        <v>0</v>
      </c>
      <c r="C95" s="2043"/>
      <c r="D95" s="3364">
        <f t="shared" si="31"/>
        <v>0</v>
      </c>
      <c r="E95" s="3381"/>
      <c r="F95" s="1813"/>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3274</v>
      </c>
      <c r="B96" s="3383" t="s">
        <v>3285</v>
      </c>
      <c r="C96" s="2043"/>
      <c r="D96" s="3364">
        <f t="shared" si="31"/>
        <v>0</v>
      </c>
      <c r="E96" s="3381"/>
      <c r="F96" s="1813"/>
      <c r="G96" s="3371"/>
      <c r="H96" s="3419" t="str">
        <f t="shared" si="32"/>
        <v>——</v>
      </c>
      <c r="I96" s="3365">
        <v>0.05</v>
      </c>
      <c r="J96" s="3343">
        <f t="shared" si="28"/>
        <v>0</v>
      </c>
      <c r="K96" s="3343">
        <f t="shared" si="29"/>
        <v>0</v>
      </c>
      <c r="L96" s="3343">
        <v>0</v>
      </c>
      <c r="M96" s="3343">
        <f t="shared" si="30"/>
        <v>0</v>
      </c>
      <c r="N96" s="3343">
        <f t="shared" si="30"/>
        <v>0</v>
      </c>
    </row>
    <row r="97" spans="1:14" ht="24">
      <c r="A97" s="3377" t="s">
        <v>3275</v>
      </c>
      <c r="B97" s="3368">
        <f>估价对象房地状况!C24</f>
        <v>0</v>
      </c>
      <c r="C97" s="2043"/>
      <c r="D97" s="3364">
        <f t="shared" si="31"/>
        <v>0</v>
      </c>
      <c r="E97" s="3381"/>
      <c r="F97" s="1813"/>
      <c r="G97" s="3371"/>
      <c r="H97" s="3419" t="str">
        <f t="shared" si="32"/>
        <v>——</v>
      </c>
      <c r="I97" s="3365">
        <v>0.05</v>
      </c>
      <c r="J97" s="3343">
        <f t="shared" si="28"/>
        <v>0</v>
      </c>
      <c r="K97" s="3343">
        <f t="shared" si="29"/>
        <v>0</v>
      </c>
      <c r="L97" s="3343">
        <v>0</v>
      </c>
      <c r="M97" s="3343">
        <f t="shared" si="30"/>
        <v>0</v>
      </c>
      <c r="N97" s="3343">
        <f t="shared" si="30"/>
        <v>0</v>
      </c>
    </row>
    <row r="98" spans="1:14" ht="24">
      <c r="A98" s="3377" t="s">
        <v>3276</v>
      </c>
      <c r="B98" s="3384" t="s">
        <v>3286</v>
      </c>
      <c r="C98" s="2043"/>
      <c r="D98" s="3364">
        <f t="shared" si="31"/>
        <v>0</v>
      </c>
      <c r="E98" s="3381"/>
      <c r="F98" s="1813"/>
      <c r="G98" s="3371"/>
      <c r="H98" s="3419" t="str">
        <f t="shared" si="32"/>
        <v>——</v>
      </c>
      <c r="I98" s="3365">
        <v>0.06</v>
      </c>
      <c r="J98" s="3343">
        <f t="shared" si="28"/>
        <v>0</v>
      </c>
      <c r="K98" s="3343">
        <f t="shared" si="29"/>
        <v>0</v>
      </c>
      <c r="L98" s="3343">
        <v>0</v>
      </c>
      <c r="M98" s="3343">
        <f t="shared" si="30"/>
        <v>0</v>
      </c>
      <c r="N98" s="3343">
        <f t="shared" si="30"/>
        <v>0</v>
      </c>
    </row>
    <row r="99" spans="1:14" ht="25.5">
      <c r="A99" s="3377" t="s">
        <v>3277</v>
      </c>
      <c r="B99" s="3368" t="str">
        <f>估价对象房地状况!C21</f>
        <v>估价对象所在区域公共配套设施齐备情况</v>
      </c>
      <c r="C99" s="2043"/>
      <c r="D99" s="3364">
        <f t="shared" si="31"/>
        <v>0</v>
      </c>
      <c r="E99" s="3381"/>
      <c r="F99" s="1813"/>
      <c r="G99" s="3371"/>
      <c r="H99" s="3419" t="str">
        <f t="shared" si="32"/>
        <v>——</v>
      </c>
      <c r="I99" s="3365">
        <v>0.06</v>
      </c>
      <c r="J99" s="3343">
        <f t="shared" si="28"/>
        <v>0</v>
      </c>
      <c r="K99" s="3343">
        <f t="shared" si="29"/>
        <v>0</v>
      </c>
      <c r="L99" s="3343">
        <v>0</v>
      </c>
      <c r="M99" s="3343">
        <f t="shared" si="30"/>
        <v>0</v>
      </c>
      <c r="N99" s="3343">
        <f t="shared" si="30"/>
        <v>0</v>
      </c>
    </row>
    <row r="100" spans="1:14" ht="25.5">
      <c r="A100" s="3377" t="s">
        <v>3278</v>
      </c>
      <c r="B100" s="3368" t="str">
        <f>估价对象房地状况!C22</f>
        <v>估价对象所在区域基础设施水平</v>
      </c>
      <c r="C100" s="2043"/>
      <c r="D100" s="3364">
        <f t="shared" si="31"/>
        <v>0</v>
      </c>
      <c r="E100" s="3381"/>
      <c r="F100" s="1813"/>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3279</v>
      </c>
      <c r="B101" s="3385" t="str">
        <f>估价对象房地状况!C20</f>
        <v>区域自然环境：；人文环境；综合评价环境状况一般</v>
      </c>
      <c r="C101" s="2043"/>
      <c r="D101" s="3364">
        <f t="shared" si="31"/>
        <v>0</v>
      </c>
      <c r="E101" s="3382"/>
      <c r="F101" s="1813"/>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51" t="s">
        <v>3294</v>
      </c>
      <c r="B103" s="3751"/>
      <c r="C103" s="3751"/>
      <c r="D103" s="3751"/>
      <c r="E103" s="3751"/>
      <c r="F103" s="3751"/>
      <c r="G103" s="3751"/>
      <c r="H103" s="3751"/>
      <c r="I103" s="3751"/>
      <c r="J103" s="3751"/>
      <c r="K103" s="3388"/>
      <c r="L103" s="3388"/>
      <c r="M103" s="3388"/>
      <c r="N103" s="3388"/>
    </row>
    <row r="104" spans="1:14">
      <c r="A104" s="3752" t="s">
        <v>3295</v>
      </c>
      <c r="B104" s="3752" t="s">
        <v>3296</v>
      </c>
      <c r="C104" s="3389" t="s">
        <v>3297</v>
      </c>
      <c r="D104" s="3390"/>
      <c r="E104" s="3390"/>
      <c r="F104" s="3390"/>
      <c r="G104" s="3390"/>
      <c r="H104" s="3390"/>
      <c r="I104" s="3390"/>
      <c r="J104" s="3391"/>
      <c r="K104" s="3392"/>
      <c r="L104" s="3392"/>
      <c r="M104" s="3392"/>
      <c r="N104" s="3392"/>
    </row>
    <row r="105" spans="1:14">
      <c r="A105" s="3752"/>
      <c r="B105" s="3752"/>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738"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3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3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3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3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39"/>
      <c r="B111" s="3393" t="s">
        <v>3268</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40"/>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41" t="s">
        <v>3311</v>
      </c>
      <c r="B113" s="3741"/>
      <c r="C113" s="3741"/>
      <c r="D113" s="3741"/>
      <c r="E113" s="3741"/>
      <c r="F113" s="3741"/>
      <c r="G113" s="3741"/>
      <c r="H113" s="3741"/>
      <c r="I113" s="3741"/>
      <c r="J113" s="374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2.5</v>
      </c>
      <c r="C116" s="3398" t="s">
        <v>3313</v>
      </c>
      <c r="D116" s="3399">
        <f>SUMPRODUCT((A118:A122=F116)*(B117:M117=H116)*B118:M122)</f>
        <v>0.91400000000000003</v>
      </c>
      <c r="E116" s="1999" t="s">
        <v>3314</v>
      </c>
      <c r="F116" s="3400" t="str">
        <f>E2</f>
        <v>商业</v>
      </c>
      <c r="G116" s="1999" t="s">
        <v>3315</v>
      </c>
      <c r="H116" s="3400" t="str">
        <f>G2</f>
        <v>三级</v>
      </c>
      <c r="I116" s="1999"/>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6">I118</f>
        <v>0.80359999999999998</v>
      </c>
      <c r="K118" s="3386">
        <f t="shared" si="36"/>
        <v>0.80359999999999998</v>
      </c>
      <c r="L118" s="3386">
        <f t="shared" si="36"/>
        <v>0.80359999999999998</v>
      </c>
      <c r="M118" s="3409">
        <f t="shared" si="36"/>
        <v>0.80359999999999998</v>
      </c>
      <c r="N118" s="3396"/>
    </row>
    <row r="119" spans="1:14">
      <c r="A119" s="3408" t="s">
        <v>3329</v>
      </c>
      <c r="B119" s="3386">
        <f>ROUND(0.993-0.0112*B116,4)</f>
        <v>0.96499999999999997</v>
      </c>
      <c r="C119" s="3386">
        <f>B119</f>
        <v>0.96499999999999997</v>
      </c>
      <c r="D119" s="3386">
        <f>ROUND(0.9415-0.0142*B116,4)</f>
        <v>0.90600000000000003</v>
      </c>
      <c r="E119" s="3386">
        <f t="shared" ref="E119:H120" si="37">D119</f>
        <v>0.90600000000000003</v>
      </c>
      <c r="F119" s="3386">
        <f t="shared" si="37"/>
        <v>0.90600000000000003</v>
      </c>
      <c r="G119" s="3386">
        <f t="shared" si="37"/>
        <v>0.90600000000000003</v>
      </c>
      <c r="H119" s="3386">
        <f t="shared" si="37"/>
        <v>0.90600000000000003</v>
      </c>
      <c r="I119" s="3386">
        <f>ROUND(0.838-0.0182*B116,4)</f>
        <v>0.79249999999999998</v>
      </c>
      <c r="J119" s="3386">
        <f t="shared" si="36"/>
        <v>0.79249999999999998</v>
      </c>
      <c r="K119" s="3386">
        <f t="shared" si="36"/>
        <v>0.79249999999999998</v>
      </c>
      <c r="L119" s="3386">
        <f t="shared" si="36"/>
        <v>0.79249999999999998</v>
      </c>
      <c r="M119" s="3409">
        <f t="shared" si="36"/>
        <v>0.79249999999999998</v>
      </c>
      <c r="N119" s="3396"/>
    </row>
    <row r="120" spans="1:14">
      <c r="A120" s="3408" t="s">
        <v>3330</v>
      </c>
      <c r="B120" s="3386">
        <f>ROUND(0.9448-0.0115*B116,4)</f>
        <v>0.91610000000000003</v>
      </c>
      <c r="C120" s="3386">
        <f>B120</f>
        <v>0.91610000000000003</v>
      </c>
      <c r="D120" s="3386">
        <f>ROUND(0.937-0.0145*B116,4)</f>
        <v>0.90080000000000005</v>
      </c>
      <c r="E120" s="3386">
        <f t="shared" si="37"/>
        <v>0.90080000000000005</v>
      </c>
      <c r="F120" s="3386">
        <f t="shared" si="37"/>
        <v>0.90080000000000005</v>
      </c>
      <c r="G120" s="3386">
        <f t="shared" si="37"/>
        <v>0.90080000000000005</v>
      </c>
      <c r="H120" s="3386">
        <f t="shared" si="37"/>
        <v>0.90080000000000005</v>
      </c>
      <c r="I120" s="3386">
        <f>ROUND(0.7965-0.0185*B116,4)</f>
        <v>0.75029999999999997</v>
      </c>
      <c r="J120" s="3386">
        <f t="shared" si="36"/>
        <v>0.75029999999999997</v>
      </c>
      <c r="K120" s="3386">
        <f t="shared" si="36"/>
        <v>0.75029999999999997</v>
      </c>
      <c r="L120" s="3386">
        <f t="shared" si="36"/>
        <v>0.75029999999999997</v>
      </c>
      <c r="M120" s="3409">
        <f t="shared" si="36"/>
        <v>0.75029999999999997</v>
      </c>
      <c r="N120" s="3396"/>
    </row>
    <row r="121" spans="1:14" ht="13.5" thickBot="1">
      <c r="A121" s="3410" t="s">
        <v>3331</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6"/>
        <v>0.54300000000000004</v>
      </c>
      <c r="K121" s="3411">
        <f t="shared" si="36"/>
        <v>0.54300000000000004</v>
      </c>
      <c r="L121" s="3411">
        <f t="shared" si="36"/>
        <v>0.54300000000000004</v>
      </c>
      <c r="M121" s="3412">
        <f t="shared" si="36"/>
        <v>0.54300000000000004</v>
      </c>
      <c r="N121" s="3396"/>
    </row>
    <row r="122" spans="1:14">
      <c r="A122" s="3413" t="s">
        <v>2612</v>
      </c>
      <c r="B122" s="3386">
        <f>ROUND(0.9404-0.0106*B116,4)</f>
        <v>0.91390000000000005</v>
      </c>
      <c r="C122" s="3386">
        <f>B122</f>
        <v>0.91390000000000005</v>
      </c>
      <c r="D122" s="3386">
        <f>ROUND(0.8955-0.0135*B116,4)</f>
        <v>0.86180000000000001</v>
      </c>
      <c r="E122" s="3386">
        <f t="shared" ref="E122:H122" si="38">D122</f>
        <v>0.86180000000000001</v>
      </c>
      <c r="F122" s="3386">
        <f t="shared" si="38"/>
        <v>0.86180000000000001</v>
      </c>
      <c r="G122" s="3386">
        <f t="shared" si="38"/>
        <v>0.86180000000000001</v>
      </c>
      <c r="H122" s="3386">
        <f t="shared" si="38"/>
        <v>0.86180000000000001</v>
      </c>
      <c r="I122" s="3386">
        <f>ROUND(0.7632-0.0166*B116,4)</f>
        <v>0.72170000000000001</v>
      </c>
      <c r="J122" s="3386">
        <f t="shared" si="36"/>
        <v>0.72170000000000001</v>
      </c>
      <c r="K122" s="3386">
        <f t="shared" si="36"/>
        <v>0.72170000000000001</v>
      </c>
      <c r="L122" s="3386">
        <f t="shared" si="36"/>
        <v>0.72170000000000001</v>
      </c>
      <c r="M122" s="3409">
        <f t="shared" si="36"/>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80" zoomScaleNormal="70" zoomScaleSheetLayoutView="80" workbookViewId="0">
      <selection activeCell="C38" sqref="C3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3509</v>
      </c>
      <c r="D1" s="1361" t="s">
        <v>43</v>
      </c>
      <c r="E1" s="1362" t="s">
        <v>678</v>
      </c>
      <c r="F1" s="1061">
        <f ca="1">J53</f>
        <v>19.38</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f ca="1">ROUND(D2/10000,4)</f>
        <v>146.1533</v>
      </c>
      <c r="C2" s="1386" t="s">
        <v>879</v>
      </c>
      <c r="D2" s="1470">
        <f ca="1">C40+J29+L46</f>
        <v>1461533</v>
      </c>
      <c r="E2" s="1387" t="s">
        <v>880</v>
      </c>
      <c r="F2" s="1388"/>
      <c r="G2" s="2704"/>
      <c r="H2" s="2693"/>
      <c r="I2" s="2693"/>
      <c r="J2" s="2693"/>
      <c r="K2" s="2694"/>
      <c r="L2" s="2693"/>
      <c r="M2" s="2693"/>
    </row>
    <row r="3" spans="1:37" ht="18" customHeight="1" thickBot="1">
      <c r="A3" s="1389" t="s">
        <v>881</v>
      </c>
      <c r="B3" s="1390">
        <f ca="1">IF(ISERROR(D2/F43),0,ROUND(D2/F43,0))</f>
        <v>30525</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126144</v>
      </c>
      <c r="D5" s="1363" t="s">
        <v>889</v>
      </c>
      <c r="E5" s="1070"/>
      <c r="F5" s="1071"/>
      <c r="G5" s="1383"/>
      <c r="H5" s="299">
        <v>1</v>
      </c>
      <c r="I5" s="300" t="s">
        <v>888</v>
      </c>
      <c r="J5" s="1069">
        <f ca="1">J6+J10+J12</f>
        <v>122836</v>
      </c>
      <c r="K5" s="1363" t="s">
        <v>889</v>
      </c>
      <c r="L5" s="1070"/>
      <c r="M5" s="1071"/>
    </row>
    <row r="6" spans="1:37" ht="18" customHeight="1">
      <c r="A6" s="1068" t="s">
        <v>398</v>
      </c>
      <c r="B6" s="3732" t="s">
        <v>694</v>
      </c>
      <c r="C6" s="1073">
        <f ca="1">ROUND(F6*F8*F7*(1-F9),0)</f>
        <v>125829</v>
      </c>
      <c r="D6" s="155" t="s">
        <v>2106</v>
      </c>
      <c r="E6" s="302" t="s">
        <v>696</v>
      </c>
      <c r="F6" s="303">
        <f ca="1">INDIRECT("'数据-取费表'!u"&amp;$G$1)</f>
        <v>7.2</v>
      </c>
      <c r="G6" s="1383"/>
      <c r="H6" s="1068" t="s">
        <v>398</v>
      </c>
      <c r="I6" s="3732" t="s">
        <v>694</v>
      </c>
      <c r="J6" s="301">
        <f ca="1">ROUND(M6*M8*M7*(1-M9),0)</f>
        <v>122683</v>
      </c>
      <c r="K6" s="1375" t="s">
        <v>2107</v>
      </c>
      <c r="L6" s="302" t="s">
        <v>696</v>
      </c>
      <c r="M6" s="303">
        <f ca="1">INDIRECT("'数据-取费表'!z"&amp;$G$1)</f>
        <v>7.8</v>
      </c>
    </row>
    <row r="7" spans="1:37" ht="18" customHeight="1">
      <c r="A7" s="1072"/>
      <c r="B7" s="3733"/>
      <c r="C7" s="1074"/>
      <c r="D7" s="307"/>
      <c r="E7" s="1075" t="s">
        <v>697</v>
      </c>
      <c r="F7" s="303">
        <f ca="1">IF(INDIRECT("'数据-取费表'!ah"&amp;$G$1)="",INDIRECT("'数据-取费表'!k"&amp;$G$1),INDIRECT("'数据-取费表'!ah"&amp;$G$1))</f>
        <v>47.88</v>
      </c>
      <c r="G7" s="1383"/>
      <c r="H7" s="304"/>
      <c r="I7" s="3733"/>
      <c r="J7" s="306"/>
      <c r="K7" s="307"/>
      <c r="L7" s="302" t="s">
        <v>697</v>
      </c>
      <c r="M7" s="303">
        <f ca="1">F7</f>
        <v>47.88</v>
      </c>
    </row>
    <row r="8" spans="1:37" ht="18" customHeight="1">
      <c r="A8" s="304"/>
      <c r="B8" s="3733"/>
      <c r="C8" s="306"/>
      <c r="D8" s="307"/>
      <c r="E8" s="302" t="s">
        <v>698</v>
      </c>
      <c r="F8" s="303">
        <f ca="1">INDIRECT("'数据-取费表'!ai"&amp;$G$1)</f>
        <v>365</v>
      </c>
      <c r="G8" s="1383"/>
      <c r="H8" s="304"/>
      <c r="I8" s="3733"/>
      <c r="J8" s="306"/>
      <c r="K8" s="307"/>
      <c r="L8" s="302" t="s">
        <v>698</v>
      </c>
      <c r="M8" s="303">
        <f ca="1">INDIRECT("'数据-取费表'!ai"&amp;$G$1)</f>
        <v>365</v>
      </c>
    </row>
    <row r="9" spans="1:37" ht="18" customHeight="1">
      <c r="A9" s="304"/>
      <c r="B9" s="3734"/>
      <c r="C9" s="306"/>
      <c r="D9" s="307"/>
      <c r="E9" s="302" t="s">
        <v>699</v>
      </c>
      <c r="F9" s="312">
        <f ca="1">INDIRECT("'数据-取费表'!w"&amp;$G$1)</f>
        <v>0</v>
      </c>
      <c r="G9" s="1383"/>
      <c r="H9" s="304"/>
      <c r="I9" s="3734"/>
      <c r="J9" s="306"/>
      <c r="K9" s="307"/>
      <c r="L9" s="313" t="s">
        <v>699</v>
      </c>
      <c r="M9" s="314">
        <f ca="1">INDIRECT("'数据-取费表'!ab"&amp;$G$1)</f>
        <v>0.1</v>
      </c>
    </row>
    <row r="10" spans="1:37" ht="18" customHeight="1">
      <c r="A10" s="1068" t="s">
        <v>402</v>
      </c>
      <c r="B10" s="1364" t="s">
        <v>700</v>
      </c>
      <c r="C10" s="316">
        <f ca="1">ROUND(IF(F10="押一",C6/12*F11,IF(F10="押二",C6/12*2*F11,IF(F10="押三",C6/12*3*F11,C11*F11))),0)</f>
        <v>315</v>
      </c>
      <c r="D10" s="1365" t="s">
        <v>2116</v>
      </c>
      <c r="E10" s="313" t="s">
        <v>701</v>
      </c>
      <c r="F10" s="1115" t="s">
        <v>3524</v>
      </c>
      <c r="G10" s="1383"/>
      <c r="H10" s="1068" t="s">
        <v>402</v>
      </c>
      <c r="I10" s="1364" t="s">
        <v>700</v>
      </c>
      <c r="J10" s="301">
        <f ca="1">ROUND(IF(M10="押一",J6/12*M11,IF(M10="押二",J6/12*2*M11,IF(M10="押三",J6/12*3*M11,J11*M11))),0)</f>
        <v>153</v>
      </c>
      <c r="K10" s="1376" t="s">
        <v>2118</v>
      </c>
      <c r="L10" s="313" t="s">
        <v>701</v>
      </c>
      <c r="M10" s="1115" t="s">
        <v>3422</v>
      </c>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238178</v>
      </c>
      <c r="D13" s="1080" t="s">
        <v>705</v>
      </c>
      <c r="E13" s="1080" t="s">
        <v>706</v>
      </c>
      <c r="F13" s="1081">
        <f ca="1">INDIRECT("'数据-取费表'!y"&amp;$G$1)</f>
        <v>0.75</v>
      </c>
      <c r="G13" s="1383"/>
      <c r="H13" s="1078">
        <v>2</v>
      </c>
      <c r="I13" s="1079" t="s">
        <v>704</v>
      </c>
      <c r="J13" s="1067">
        <f ca="1">ROUND(J14*J15,0)</f>
        <v>222300</v>
      </c>
      <c r="K13" s="1086" t="s">
        <v>705</v>
      </c>
      <c r="L13" s="1391"/>
      <c r="M13" s="1392"/>
    </row>
    <row r="14" spans="1:37" ht="18" customHeight="1">
      <c r="A14" s="981" t="s">
        <v>397</v>
      </c>
      <c r="B14" s="302" t="s">
        <v>707</v>
      </c>
      <c r="C14" s="318">
        <f ca="1">ROUND(INDIRECT("'数据-取费表'!l"&amp;$G$1)*F43+'数据-取费表'!L14*INDIRECT("'数据-取费表'!S"&amp;$G$1),0)</f>
        <v>215460</v>
      </c>
      <c r="D14" s="1344" t="s">
        <v>708</v>
      </c>
      <c r="E14" s="1341"/>
      <c r="F14" s="319"/>
      <c r="G14" s="1383"/>
      <c r="H14" s="981" t="s">
        <v>398</v>
      </c>
      <c r="I14" s="302" t="s">
        <v>709</v>
      </c>
      <c r="J14" s="21">
        <f ca="1">C29</f>
        <v>317571</v>
      </c>
      <c r="K14" s="12"/>
      <c r="L14" s="806"/>
      <c r="M14" s="807"/>
    </row>
    <row r="15" spans="1:37" s="1396" customFormat="1" ht="18" customHeight="1" thickBot="1">
      <c r="A15" s="981" t="s">
        <v>399</v>
      </c>
      <c r="B15" s="302" t="s">
        <v>710</v>
      </c>
      <c r="C15" s="21">
        <f ca="1">ROUND(C14*F15,0)</f>
        <v>10773</v>
      </c>
      <c r="D15" s="320" t="s">
        <v>711</v>
      </c>
      <c r="E15" s="320" t="s">
        <v>712</v>
      </c>
      <c r="F15" s="321">
        <f>'数据-取费表'!B33</f>
        <v>0.05</v>
      </c>
      <c r="G15" s="1395"/>
      <c r="H15" s="1088" t="s">
        <v>402</v>
      </c>
      <c r="I15" s="1089" t="s">
        <v>706</v>
      </c>
      <c r="J15" s="1098">
        <f ca="1">INDIRECT("'数据-取费表'!ad"&amp;$G$1)</f>
        <v>0.7</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11217</v>
      </c>
      <c r="K16" s="1086" t="s">
        <v>715</v>
      </c>
      <c r="L16" s="1087"/>
      <c r="M16" s="1071"/>
    </row>
    <row r="17" spans="1:37" s="1396" customFormat="1" ht="18" customHeight="1">
      <c r="A17" s="981" t="s">
        <v>681</v>
      </c>
      <c r="B17" s="302" t="s">
        <v>716</v>
      </c>
      <c r="C17" s="21">
        <f ca="1">ROUND(F17*(F43+INDIRECT("'数据-取费表'!S"&amp;$G$1)),0)</f>
        <v>9576</v>
      </c>
      <c r="D17" s="302" t="s">
        <v>717</v>
      </c>
      <c r="E17" s="302" t="s">
        <v>718</v>
      </c>
      <c r="F17" s="23">
        <f>'数据-取费表'!B35</f>
        <v>200</v>
      </c>
      <c r="G17" s="1395"/>
      <c r="H17" s="981" t="s">
        <v>398</v>
      </c>
      <c r="I17" s="302" t="s">
        <v>719</v>
      </c>
      <c r="J17" s="2315">
        <f ca="1">ROUND(IF(AND(项目基本情况!B11="自然人",项目基本情况!B10="北京市"),J6*M17/(1+'数据-取费表'!C42),J18+J19+J20),0)</f>
        <v>8179</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5387</v>
      </c>
      <c r="D18" s="302" t="s">
        <v>711</v>
      </c>
      <c r="E18" s="302" t="s">
        <v>712</v>
      </c>
      <c r="F18" s="322">
        <f>'数据-取费表'!B36</f>
        <v>2.5000000000000001E-2</v>
      </c>
      <c r="G18" s="1395"/>
      <c r="H18" s="981" t="s">
        <v>397</v>
      </c>
      <c r="I18" s="302" t="s">
        <v>723</v>
      </c>
      <c r="J18" s="21">
        <f ca="1">ROUND(J6*M18/(1+'数据-取费表'!C42),0)</f>
        <v>6543</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241196</v>
      </c>
      <c r="D19" s="131" t="s">
        <v>726</v>
      </c>
      <c r="E19" s="1359"/>
      <c r="F19" s="23"/>
      <c r="G19" s="1383"/>
      <c r="H19" s="981" t="s">
        <v>399</v>
      </c>
      <c r="I19" s="302" t="s">
        <v>727</v>
      </c>
      <c r="J19" s="21">
        <f ca="1">IF(K19="按租金收入计税",ROUND(J6*M19/(1+'数据-取费表'!C42),0),ROUND(C29*M19*0.7,0))</f>
        <v>14021</v>
      </c>
      <c r="K19" s="1369" t="s">
        <v>3335</v>
      </c>
      <c r="L19" s="302" t="s">
        <v>712</v>
      </c>
      <c r="M19" s="322">
        <f>IF(K19="按租金收入计税",'数据-取费表'!B51,'数据-取费表'!B50)</f>
        <v>0.12</v>
      </c>
    </row>
    <row r="20" spans="1:37" s="1396" customFormat="1" ht="18" customHeight="1">
      <c r="A20" s="981" t="s">
        <v>402</v>
      </c>
      <c r="B20" s="302" t="s">
        <v>728</v>
      </c>
      <c r="C20" s="21">
        <f ca="1">ROUND(C19*F20,0)</f>
        <v>7236</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1588</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7453</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222</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5"/>
      <c r="H24" s="1088" t="s">
        <v>684</v>
      </c>
      <c r="I24" s="1089" t="s">
        <v>728</v>
      </c>
      <c r="J24" s="1090">
        <f ca="1">ROUND(J5*M24,0)</f>
        <v>1228</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111619</v>
      </c>
      <c r="K25" s="1094" t="s">
        <v>753</v>
      </c>
      <c r="L25" s="1095"/>
      <c r="M25" s="1096"/>
    </row>
    <row r="26" spans="1:37" ht="18" customHeight="1">
      <c r="A26" s="981" t="s">
        <v>397</v>
      </c>
      <c r="B26" s="302" t="s">
        <v>754</v>
      </c>
      <c r="C26" s="21">
        <f ca="1">ROUND((C19+C20)*F26,0)</f>
        <v>37265</v>
      </c>
      <c r="D26" s="323" t="s">
        <v>755</v>
      </c>
      <c r="E26" s="313" t="s">
        <v>756</v>
      </c>
      <c r="F26" s="312">
        <f ca="1">INDIRECT("'数据-取费表'!q"&amp;$G$1)</f>
        <v>0.15</v>
      </c>
      <c r="G26" s="1383"/>
      <c r="H26" s="299" t="s">
        <v>395</v>
      </c>
      <c r="I26" s="300" t="s">
        <v>757</v>
      </c>
      <c r="J26" s="301">
        <f ca="1">IF(J5&lt;&gt;0,ROUND(J25*(1-((1+M28)/(1+M26))^M27)/(M26-M28),0),0)</f>
        <v>1326004</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16.68</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1.4999999999999999E-2</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317571</v>
      </c>
      <c r="D29" s="1091"/>
      <c r="E29" s="1089"/>
      <c r="F29" s="1092"/>
      <c r="G29" s="1395"/>
      <c r="H29" s="334" t="s">
        <v>396</v>
      </c>
      <c r="I29" s="335" t="s">
        <v>768</v>
      </c>
      <c r="J29" s="336">
        <f ca="1">ROUND(J26/(1+F40)^F41,0)</f>
        <v>1147528</v>
      </c>
      <c r="K29" s="337" t="s">
        <v>769</v>
      </c>
      <c r="L29" s="338"/>
      <c r="M29" s="339">
        <f ca="1">INDIRECT("'数据-取费表'!k"&amp;$G$1)</f>
        <v>47.88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11476</v>
      </c>
      <c r="D30" s="1086" t="s">
        <v>715</v>
      </c>
      <c r="E30" s="1087"/>
      <c r="F30" s="1071"/>
      <c r="G30" s="1383"/>
      <c r="H30" s="2695"/>
      <c r="I30" s="1397"/>
      <c r="J30" s="1398"/>
      <c r="K30" s="2474"/>
      <c r="L30" s="2696"/>
      <c r="M30" s="2697"/>
    </row>
    <row r="31" spans="1:37" ht="18" customHeight="1">
      <c r="A31" s="981" t="s">
        <v>398</v>
      </c>
      <c r="B31" s="302" t="s">
        <v>719</v>
      </c>
      <c r="C31" s="2315">
        <f ca="1">ROUND(IF(AND(项目基本情况!B11="自然人",项目基本情况!B10="北京市"),C6*F31/(1+'数据-取费表'!C42),C32+C33+C34),0)</f>
        <v>8389</v>
      </c>
      <c r="D31" s="1344" t="s">
        <v>720</v>
      </c>
      <c r="E31" s="1343" t="s">
        <v>770</v>
      </c>
      <c r="F31" s="2314">
        <f ca="1">IF(项目基本情况!B11="企业","——",IF(M47="住宅",IF(F6*F7*F8/12/(1+'数据-取费表'!F30)&gt;100000,4%,2.5%),IF(F6*F7*F8/12/(1+'数据-取费表'!F30)&gt;100000,12%,7%)))</f>
        <v>7.0000000000000007E-2</v>
      </c>
      <c r="G31" s="1383"/>
      <c r="H31" s="2806" t="s">
        <v>2306</v>
      </c>
      <c r="I31" s="1397"/>
      <c r="J31" s="1398"/>
      <c r="K31" s="2474"/>
      <c r="L31" s="2696"/>
      <c r="M31" s="2697"/>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5"/>
      <c r="I32" s="1397"/>
      <c r="J32" s="1398"/>
      <c r="K32" s="2474"/>
      <c r="L32" s="2696"/>
      <c r="M32" s="2697"/>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3335</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t="str">
        <f>IF(项目基本情况!B11="自然人","——",ROUND(F34*F35,0))</f>
        <v>——</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1588</v>
      </c>
      <c r="D36" s="1343" t="s">
        <v>771</v>
      </c>
      <c r="E36" s="302" t="s">
        <v>712</v>
      </c>
      <c r="F36" s="328">
        <f ca="1">INDIRECT("'数据-取费表'!Ak"&amp;$G$1)</f>
        <v>5.0000000000000001E-3</v>
      </c>
      <c r="G36" s="1383"/>
      <c r="H36" s="2698"/>
      <c r="I36" s="1397"/>
      <c r="J36" s="1398"/>
      <c r="K36" s="2543"/>
      <c r="L36" s="2698"/>
      <c r="M36" s="2698"/>
    </row>
    <row r="37" spans="1:18" ht="18" customHeight="1">
      <c r="A37" s="981" t="s">
        <v>437</v>
      </c>
      <c r="B37" s="302" t="s">
        <v>742</v>
      </c>
      <c r="C37" s="21">
        <f ca="1">ROUND(C13*F37,0)</f>
        <v>238</v>
      </c>
      <c r="D37" s="1343" t="s">
        <v>743</v>
      </c>
      <c r="E37" s="302" t="s">
        <v>744</v>
      </c>
      <c r="F37" s="330">
        <f ca="1">INDIRECT("'数据-取费表'!Al"&amp;$G$1)</f>
        <v>1E-3</v>
      </c>
      <c r="G37" s="1383"/>
      <c r="H37" s="2698"/>
      <c r="I37" s="1397"/>
      <c r="J37" s="1398"/>
      <c r="K37" s="2543"/>
      <c r="L37" s="2698"/>
      <c r="M37" s="2698"/>
    </row>
    <row r="38" spans="1:18" ht="18" customHeight="1" thickBot="1">
      <c r="A38" s="1088" t="s">
        <v>684</v>
      </c>
      <c r="B38" s="1089" t="s">
        <v>728</v>
      </c>
      <c r="C38" s="1090">
        <f ca="1">ROUND(C5*F38,0)</f>
        <v>1261</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114668</v>
      </c>
      <c r="D39" s="1094" t="s">
        <v>773</v>
      </c>
      <c r="E39" s="1095"/>
      <c r="F39" s="1096"/>
      <c r="G39" s="1383"/>
      <c r="H39" s="2698"/>
      <c r="I39" s="1397"/>
      <c r="J39" s="1398"/>
      <c r="K39" s="2702"/>
      <c r="L39" s="2698"/>
      <c r="M39" s="2698"/>
    </row>
    <row r="40" spans="1:18" ht="18" customHeight="1">
      <c r="A40" s="299" t="s">
        <v>395</v>
      </c>
      <c r="B40" s="300" t="s">
        <v>774</v>
      </c>
      <c r="C40" s="301">
        <f ca="1">ROUND(C39*(1-((1+F42)/(1+F40))^F41)/(F40-F42),0)</f>
        <v>280618</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2.7</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f ca="1">ROUND(C40/F43,0)</f>
        <v>5861</v>
      </c>
      <c r="D43" s="337" t="s">
        <v>777</v>
      </c>
      <c r="E43" s="338" t="s">
        <v>778</v>
      </c>
      <c r="F43" s="339">
        <f ca="1">INDIRECT("'数据-取费表'!k"&amp;$G$1)</f>
        <v>47.88</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29" t="s">
        <v>3351</v>
      </c>
      <c r="B45" s="1399"/>
      <c r="C45" s="1471">
        <f ca="1">ROUND((C68-C40)/10000,4)</f>
        <v>-28.508700000000001</v>
      </c>
      <c r="D45" s="3430" t="s">
        <v>3352</v>
      </c>
      <c r="E45" s="1399"/>
      <c r="F45" s="1399"/>
      <c r="O45" s="1402" t="s">
        <v>808</v>
      </c>
      <c r="P45" s="1460"/>
      <c r="Q45" s="1460"/>
      <c r="R45" s="1460"/>
    </row>
    <row r="46" spans="1:18" s="1383" customFormat="1" ht="13.5" thickBot="1">
      <c r="A46" s="1403" t="s">
        <v>809</v>
      </c>
      <c r="C46" s="1404">
        <f ca="1">ROUND(C45,0)</f>
        <v>-29</v>
      </c>
      <c r="D46" s="1405" t="str">
        <f>C2</f>
        <v>万元</v>
      </c>
      <c r="I46" s="1406" t="s">
        <v>810</v>
      </c>
      <c r="J46" s="1407"/>
      <c r="K46" s="1408"/>
      <c r="L46" s="1409">
        <f ca="1">IF(M47="住宅",0,IF(L48&gt;J51,L60,J60))</f>
        <v>33387</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3423</v>
      </c>
      <c r="K47" s="1415" t="s">
        <v>816</v>
      </c>
      <c r="L47" s="1416">
        <f ca="1">INDIRECT("'数据-取费表'!d"&amp;$G$1)</f>
        <v>40</v>
      </c>
      <c r="M47" s="1379" t="str">
        <f>IF(ISNUMBER(FIND("住宅",C1)),"住宅","非住宅")</f>
        <v>非住宅</v>
      </c>
      <c r="O47" s="1417" t="s">
        <v>403</v>
      </c>
      <c r="P47" s="1418" t="s">
        <v>817</v>
      </c>
      <c r="Q47" s="1419">
        <f ca="1">C40+J29</f>
        <v>1428146</v>
      </c>
      <c r="R47" s="1419" t="s">
        <v>818</v>
      </c>
    </row>
    <row r="48" spans="1:18" s="1383" customFormat="1" ht="28.5" thickBot="1">
      <c r="A48" s="1109" t="s">
        <v>438</v>
      </c>
      <c r="B48" s="300" t="s">
        <v>692</v>
      </c>
      <c r="C48" s="1358">
        <f ca="1">C49+C53+C55</f>
        <v>0</v>
      </c>
      <c r="D48" s="1111"/>
      <c r="E48" s="1112"/>
      <c r="F48" s="961"/>
      <c r="G48" s="721"/>
      <c r="H48" s="722"/>
      <c r="I48" s="1420" t="s">
        <v>819</v>
      </c>
      <c r="J48" s="1421" t="s">
        <v>3424</v>
      </c>
      <c r="K48" s="1422" t="s">
        <v>820</v>
      </c>
      <c r="L48" s="1423">
        <f ca="1">INDIRECT("'数据-取费表'!f"&amp;$G$1)</f>
        <v>19.38</v>
      </c>
      <c r="O48" s="1417" t="s">
        <v>404</v>
      </c>
      <c r="P48" s="1418" t="s">
        <v>821</v>
      </c>
      <c r="Q48" s="1419">
        <f ca="1">J60</f>
        <v>33387</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2010</v>
      </c>
      <c r="K49" s="1422" t="s">
        <v>824</v>
      </c>
      <c r="L49" s="1426"/>
      <c r="O49" s="1427" t="s">
        <v>405</v>
      </c>
      <c r="P49" s="1418" t="s">
        <v>825</v>
      </c>
      <c r="Q49" s="1419">
        <f ca="1">C29</f>
        <v>317571</v>
      </c>
      <c r="R49" s="1419" t="s">
        <v>818</v>
      </c>
    </row>
    <row r="50" spans="1:18" s="1383" customFormat="1" ht="13.5" thickBot="1">
      <c r="A50" s="975"/>
      <c r="B50" s="978"/>
      <c r="C50" s="979"/>
      <c r="D50" s="952"/>
      <c r="E50" s="1055" t="s">
        <v>697</v>
      </c>
      <c r="F50" s="1056">
        <f ca="1">F7</f>
        <v>47.88</v>
      </c>
      <c r="H50" s="722"/>
      <c r="I50" s="1420" t="s">
        <v>826</v>
      </c>
      <c r="J50" s="1428">
        <f>SUMPRODUCT((I63:I65=J47)*(J62:L62=J48)*(J63:L65))</f>
        <v>60</v>
      </c>
      <c r="K50" s="1422" t="s">
        <v>827</v>
      </c>
      <c r="L50" s="1426"/>
      <c r="M50" s="1429"/>
      <c r="O50" s="1427" t="s">
        <v>406</v>
      </c>
      <c r="P50" s="1418" t="s">
        <v>828</v>
      </c>
      <c r="Q50" s="1430">
        <f ca="1">J58</f>
        <v>0.42699999999999999</v>
      </c>
      <c r="R50" s="1419"/>
    </row>
    <row r="51" spans="1:18" s="1383" customFormat="1" ht="13.5" thickBot="1">
      <c r="A51" s="976"/>
      <c r="B51" s="978"/>
      <c r="C51" s="979"/>
      <c r="D51" s="952"/>
      <c r="E51" s="980" t="s">
        <v>698</v>
      </c>
      <c r="F51" s="303">
        <f ca="1">F8</f>
        <v>365</v>
      </c>
      <c r="I51" s="1431" t="s">
        <v>829</v>
      </c>
      <c r="J51" s="1432">
        <f>IF(J49="",J50,J49+J50-YEAR('数据-取费表'!B2))</f>
        <v>45</v>
      </c>
      <c r="K51" s="1433" t="s">
        <v>830</v>
      </c>
      <c r="L51" s="1434">
        <f ca="1">ROUND(-PV(INDIRECT("'数据-取费表'!h"&amp;$G$1),J51,(C39-C13*C76),0),0)</f>
        <v>1741780</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19.38</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19.38</v>
      </c>
      <c r="K53" s="3730" t="s">
        <v>837</v>
      </c>
      <c r="L53" s="3731"/>
      <c r="O53" s="1417" t="s">
        <v>409</v>
      </c>
      <c r="P53" s="1418" t="s">
        <v>838</v>
      </c>
      <c r="Q53" s="1419">
        <f ca="1">Q47+Q48</f>
        <v>1461533</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0.42699999999999999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238178</v>
      </c>
      <c r="D56" s="1446"/>
      <c r="E56" s="1447"/>
      <c r="F56" s="1439"/>
      <c r="I56" s="1448" t="s">
        <v>842</v>
      </c>
      <c r="J56" s="1449" t="s">
        <v>3417</v>
      </c>
      <c r="K56" s="1420" t="s">
        <v>843</v>
      </c>
      <c r="L56" s="1423" t="str">
        <f ca="1">IF(L48&lt;J51,"——",L48-J51)</f>
        <v>——</v>
      </c>
      <c r="O56" s="1417" t="s">
        <v>403</v>
      </c>
      <c r="P56" s="1418" t="s">
        <v>817</v>
      </c>
      <c r="Q56" s="1419">
        <f ca="1">C40+J29</f>
        <v>1428146</v>
      </c>
      <c r="R56" s="1419" t="s">
        <v>818</v>
      </c>
    </row>
    <row r="57" spans="1:18" s="1383" customFormat="1" ht="24.75" thickBot="1">
      <c r="A57" s="1450"/>
      <c r="B57" s="949" t="s">
        <v>767</v>
      </c>
      <c r="C57" s="238">
        <f ca="1">C29</f>
        <v>317571</v>
      </c>
      <c r="D57" s="1451"/>
      <c r="E57" s="1452"/>
      <c r="F57" s="1453"/>
      <c r="I57" s="1454" t="s">
        <v>844</v>
      </c>
      <c r="J57" s="1455">
        <f ca="1">IF(OR(M47="住宅",J51&lt;L48,J56="是"),"——",J51-L48)</f>
        <v>25.62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1826</v>
      </c>
      <c r="D58" s="959" t="s">
        <v>715</v>
      </c>
      <c r="E58" s="960"/>
      <c r="F58" s="961"/>
      <c r="I58" s="1454" t="s">
        <v>848</v>
      </c>
      <c r="J58" s="1456">
        <f ca="1">IF(J55&lt;0.4,0.4,J55)</f>
        <v>0.42699999999999999</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135603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f ca="1">IF(OR(M47="住宅",J51&lt;L48,J56="是"),"0",ROUND(J59/(1+J52)^J53,0))</f>
        <v>33387</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3335</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0</v>
      </c>
      <c r="I62" s="1461" t="s">
        <v>858</v>
      </c>
      <c r="J62" s="1462" t="s">
        <v>859</v>
      </c>
      <c r="K62" s="1462" t="s">
        <v>860</v>
      </c>
      <c r="L62" s="1462" t="s">
        <v>861</v>
      </c>
      <c r="M62" s="1463" t="s">
        <v>862</v>
      </c>
      <c r="O62" s="1417" t="s">
        <v>409</v>
      </c>
      <c r="P62" s="1418" t="s">
        <v>863</v>
      </c>
      <c r="Q62" s="1419">
        <f ca="1">Q56+Q57</f>
        <v>1428146</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1588</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238</v>
      </c>
      <c r="D65" s="963" t="s">
        <v>743</v>
      </c>
      <c r="E65" s="949" t="s">
        <v>744</v>
      </c>
      <c r="F65" s="330">
        <f t="shared" ca="1" si="0"/>
        <v>1E-3</v>
      </c>
      <c r="I65" s="1461" t="s">
        <v>867</v>
      </c>
      <c r="J65" s="1462">
        <v>40</v>
      </c>
      <c r="K65" s="1462">
        <v>30</v>
      </c>
      <c r="L65" s="1462">
        <v>50</v>
      </c>
      <c r="M65" s="1464">
        <v>0.02</v>
      </c>
      <c r="O65" s="1417" t="s">
        <v>403</v>
      </c>
      <c r="P65" s="1418" t="s">
        <v>868</v>
      </c>
      <c r="Q65" s="1419">
        <f ca="1">C40+J29</f>
        <v>1428146</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-1826</v>
      </c>
      <c r="D67" s="962" t="s">
        <v>753</v>
      </c>
      <c r="E67" s="967"/>
      <c r="F67" s="968"/>
      <c r="O67" s="1427" t="s">
        <v>405</v>
      </c>
      <c r="P67" s="1418" t="s">
        <v>850</v>
      </c>
      <c r="Q67" s="1465">
        <f ca="1">L51</f>
        <v>1741780</v>
      </c>
      <c r="R67" s="1419" t="s">
        <v>870</v>
      </c>
    </row>
    <row r="68" spans="1:18" s="1383" customFormat="1" ht="16.5" thickBot="1">
      <c r="A68" s="946" t="s">
        <v>395</v>
      </c>
      <c r="B68" s="947" t="s">
        <v>774</v>
      </c>
      <c r="C68" s="301">
        <f ca="1">ROUND(C67*(1-((1+F70)/(1+F68))^F69)/(F68-F70),0)</f>
        <v>-4469</v>
      </c>
      <c r="D68" s="964" t="s">
        <v>758</v>
      </c>
      <c r="E68" s="949" t="s">
        <v>759</v>
      </c>
      <c r="F68" s="312">
        <f ca="1">F40</f>
        <v>5.5E-2</v>
      </c>
      <c r="O68" s="1427" t="s">
        <v>406</v>
      </c>
      <c r="P68" s="1466" t="s">
        <v>871</v>
      </c>
      <c r="Q68" s="1419">
        <f ca="1">ROUND(Q69-Q70*Q71,0)</f>
        <v>97996</v>
      </c>
      <c r="R68" s="1419" t="s">
        <v>414</v>
      </c>
    </row>
    <row r="69" spans="1:18" s="1383" customFormat="1" ht="13.5" thickBot="1">
      <c r="A69" s="950"/>
      <c r="B69" s="951"/>
      <c r="C69" s="306"/>
      <c r="D69" s="969" t="s">
        <v>762</v>
      </c>
      <c r="E69" s="949" t="s">
        <v>763</v>
      </c>
      <c r="F69" s="333">
        <f ca="1">F41</f>
        <v>2.7</v>
      </c>
      <c r="O69" s="1427" t="s">
        <v>411</v>
      </c>
      <c r="P69" s="1466" t="s">
        <v>872</v>
      </c>
      <c r="Q69" s="1419">
        <f ca="1">C39</f>
        <v>114668</v>
      </c>
      <c r="R69" s="1419" t="s">
        <v>818</v>
      </c>
    </row>
    <row r="70" spans="1:18" s="1383" customFormat="1" ht="13.5" thickBot="1">
      <c r="A70" s="953"/>
      <c r="B70" s="954"/>
      <c r="C70" s="310"/>
      <c r="D70" s="965"/>
      <c r="E70" s="949" t="s">
        <v>766</v>
      </c>
      <c r="F70" s="1053"/>
      <c r="O70" s="1427" t="s">
        <v>412</v>
      </c>
      <c r="P70" s="1466" t="s">
        <v>873</v>
      </c>
      <c r="Q70" s="1419">
        <f ca="1">C13</f>
        <v>238178</v>
      </c>
      <c r="R70" s="1419" t="s">
        <v>818</v>
      </c>
    </row>
    <row r="71" spans="1:18" s="1383" customFormat="1" ht="13.5" thickBot="1">
      <c r="A71" s="970" t="s">
        <v>396</v>
      </c>
      <c r="B71" s="971" t="s">
        <v>776</v>
      </c>
      <c r="C71" s="336">
        <f ca="1">ROUND(C68/F71,0)</f>
        <v>-93</v>
      </c>
      <c r="D71" s="972" t="s">
        <v>777</v>
      </c>
      <c r="E71" s="973" t="s">
        <v>778</v>
      </c>
      <c r="F71" s="339">
        <f ca="1">F43</f>
        <v>47.88</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16672</v>
      </c>
      <c r="D75" s="1383"/>
      <c r="E75" s="1383"/>
      <c r="F75" s="1383"/>
      <c r="K75" s="1401"/>
      <c r="L75" s="1383"/>
      <c r="O75" s="1417" t="s">
        <v>409</v>
      </c>
      <c r="P75" s="1418" t="s">
        <v>838</v>
      </c>
      <c r="Q75" s="1419">
        <f ca="1">Q65+Q66</f>
        <v>1428146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0.85499999999999998</v>
      </c>
    </row>
    <row r="80" spans="1:18">
      <c r="B80" s="340" t="s">
        <v>800</v>
      </c>
      <c r="C80" s="274">
        <f ca="1">ROUND(C75/C39,3)</f>
        <v>0.14499999999999999</v>
      </c>
    </row>
    <row r="81" spans="2:3">
      <c r="B81" s="270" t="s">
        <v>801</v>
      </c>
      <c r="C81" s="238"/>
    </row>
    <row r="82" spans="2:3">
      <c r="B82" s="273" t="s">
        <v>802</v>
      </c>
      <c r="C82" s="275">
        <f ca="1">1-C83</f>
        <v>0.15100000000000002</v>
      </c>
    </row>
    <row r="83" spans="2:3">
      <c r="B83" s="273" t="s">
        <v>803</v>
      </c>
      <c r="C83" s="274">
        <f ca="1">ROUND(C13/C40,3)</f>
        <v>0.84899999999999998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4" t="s">
        <v>2315</v>
      </c>
      <c r="B2" s="2841" t="e">
        <f>IF(D2="——",C40,C40+E2)</f>
        <v>#DIV/0!</v>
      </c>
      <c r="C2" s="2842" t="s">
        <v>2316</v>
      </c>
      <c r="D2" s="3441" t="s">
        <v>3358</v>
      </c>
      <c r="E2" s="3442"/>
      <c r="F2" s="2844"/>
      <c r="G2" s="2845"/>
      <c r="H2" s="2846"/>
      <c r="I2" s="2847"/>
      <c r="J2" s="3763" t="s">
        <v>2317</v>
      </c>
      <c r="K2" s="3764"/>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765" t="s">
        <v>2327</v>
      </c>
      <c r="K3" s="3766"/>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765" t="s">
        <v>2329</v>
      </c>
      <c r="K4" s="3766"/>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771" t="s">
        <v>2333</v>
      </c>
      <c r="B6" s="3772"/>
      <c r="C6" s="3773"/>
      <c r="D6" s="2868"/>
      <c r="E6" s="2869"/>
      <c r="F6" s="2870"/>
      <c r="G6" s="2871"/>
      <c r="H6" s="2846"/>
      <c r="I6" s="2847"/>
      <c r="J6" s="3757">
        <v>1</v>
      </c>
      <c r="K6" s="3758"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757"/>
      <c r="K7" s="3759"/>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774" t="s">
        <v>2347</v>
      </c>
      <c r="C8" s="3775"/>
      <c r="D8" s="2887" t="s">
        <v>2348</v>
      </c>
      <c r="E8" s="2888" t="s">
        <v>2349</v>
      </c>
      <c r="F8" s="2889" t="s">
        <v>2350</v>
      </c>
      <c r="G8" s="2890"/>
      <c r="H8" s="2846"/>
      <c r="I8" s="2847"/>
      <c r="J8" s="3757"/>
      <c r="K8" s="3759"/>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774" t="s">
        <v>2353</v>
      </c>
      <c r="C9" s="3775"/>
      <c r="D9" s="2887">
        <f>ROUND(D6*E9,0)</f>
        <v>0</v>
      </c>
      <c r="E9" s="2891"/>
      <c r="F9" s="2892" t="s">
        <v>2354</v>
      </c>
      <c r="G9" s="2871"/>
      <c r="H9" s="2846"/>
      <c r="I9" s="2847"/>
      <c r="J9" s="3757"/>
      <c r="K9" s="3759"/>
      <c r="L9" s="2881" t="s">
        <v>2355</v>
      </c>
      <c r="M9" s="2882"/>
      <c r="N9" s="2858"/>
      <c r="O9" s="2883"/>
      <c r="P9" s="2883"/>
      <c r="Q9" s="2884">
        <v>365</v>
      </c>
      <c r="R9" s="2885">
        <f t="shared" si="0"/>
        <v>0</v>
      </c>
      <c r="S9" s="2839"/>
      <c r="T9" s="2839"/>
      <c r="U9" s="2839"/>
      <c r="V9" s="2847"/>
    </row>
    <row r="10" spans="1:22" s="2851" customFormat="1" ht="13.15" customHeight="1">
      <c r="A10" s="2886">
        <v>2</v>
      </c>
      <c r="B10" s="3774" t="s">
        <v>2356</v>
      </c>
      <c r="C10" s="3775"/>
      <c r="D10" s="2887">
        <f>ROUND(D6*E10,0)</f>
        <v>0</v>
      </c>
      <c r="E10" s="2891"/>
      <c r="F10" s="2892" t="s">
        <v>2357</v>
      </c>
      <c r="G10" s="2871"/>
      <c r="H10" s="2846"/>
      <c r="I10" s="2847"/>
      <c r="J10" s="3757"/>
      <c r="K10" s="3759"/>
      <c r="L10" s="2881" t="s">
        <v>2358</v>
      </c>
      <c r="M10" s="2882"/>
      <c r="N10" s="2858"/>
      <c r="O10" s="2883"/>
      <c r="P10" s="2883"/>
      <c r="Q10" s="2884">
        <v>365</v>
      </c>
      <c r="R10" s="2885">
        <f t="shared" si="0"/>
        <v>0</v>
      </c>
      <c r="S10" s="2839"/>
      <c r="T10" s="2839"/>
      <c r="U10" s="2839"/>
      <c r="V10" s="2847"/>
    </row>
    <row r="11" spans="1:22" s="2851" customFormat="1" ht="13.15" customHeight="1">
      <c r="A11" s="2886">
        <v>3</v>
      </c>
      <c r="B11" s="3774" t="s">
        <v>2359</v>
      </c>
      <c r="C11" s="3775"/>
      <c r="D11" s="2887">
        <f>D12+D14+D15+D16</f>
        <v>0</v>
      </c>
      <c r="E11" s="2893" t="e">
        <f>D11/D6</f>
        <v>#DIV/0!</v>
      </c>
      <c r="F11" s="2889"/>
      <c r="G11" s="2890"/>
      <c r="H11" s="2846"/>
      <c r="I11" s="2847"/>
      <c r="J11" s="3757"/>
      <c r="K11" s="3759"/>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767" t="s">
        <v>2362</v>
      </c>
      <c r="C12" s="3768"/>
      <c r="D12" s="2895">
        <f>ROUND(D13*1.2%*(1-30%),0)</f>
        <v>0</v>
      </c>
      <c r="E12" s="2896">
        <v>1.2E-2</v>
      </c>
      <c r="F12" s="2889" t="s">
        <v>2363</v>
      </c>
      <c r="G12" s="2890"/>
      <c r="H12" s="2846"/>
      <c r="I12" s="2847"/>
      <c r="J12" s="3757"/>
      <c r="K12" s="3759"/>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757"/>
      <c r="K13" s="3759"/>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767" t="s">
        <v>2368</v>
      </c>
      <c r="C14" s="3768"/>
      <c r="D14" s="2895">
        <f>ROUND(E14*B5/10000,0)</f>
        <v>0</v>
      </c>
      <c r="E14" s="2884"/>
      <c r="F14" s="2889" t="s">
        <v>2369</v>
      </c>
      <c r="G14" s="2890"/>
      <c r="H14" s="2846"/>
      <c r="I14" s="2847"/>
      <c r="J14" s="3757"/>
      <c r="K14" s="3760"/>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767" t="s">
        <v>2372</v>
      </c>
      <c r="C15" s="3768"/>
      <c r="D15" s="2895">
        <f>ROUND(D6*E15,0)</f>
        <v>0</v>
      </c>
      <c r="E15" s="2896">
        <v>5.5E-2</v>
      </c>
      <c r="F15" s="2889" t="s">
        <v>2373</v>
      </c>
      <c r="G15" s="2871"/>
      <c r="H15" s="2846"/>
      <c r="I15" s="2847"/>
      <c r="J15" s="3757">
        <v>2</v>
      </c>
      <c r="K15" s="3758"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767" t="s">
        <v>2381</v>
      </c>
      <c r="C16" s="3768"/>
      <c r="D16" s="2906">
        <f>D6*E16</f>
        <v>0</v>
      </c>
      <c r="E16" s="2907"/>
      <c r="F16" s="2892" t="s">
        <v>2382</v>
      </c>
      <c r="G16" s="2871"/>
      <c r="H16" s="2846"/>
      <c r="I16" s="2847"/>
      <c r="J16" s="3757"/>
      <c r="K16" s="3759"/>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769" t="s">
        <v>2384</v>
      </c>
      <c r="C17" s="3770"/>
      <c r="D17" s="2909">
        <f>ROUND(D6*E17,0)</f>
        <v>0</v>
      </c>
      <c r="E17" s="2910"/>
      <c r="F17" s="2911" t="s">
        <v>2385</v>
      </c>
      <c r="G17" s="2871"/>
      <c r="H17" s="2846"/>
      <c r="I17" s="2847"/>
      <c r="J17" s="3757"/>
      <c r="K17" s="3759"/>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757"/>
      <c r="K18" s="3759"/>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757"/>
      <c r="K19" s="3760"/>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57">
        <v>3</v>
      </c>
      <c r="K20" s="3758"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757"/>
      <c r="K21" s="3759"/>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757"/>
      <c r="K22" s="3759"/>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757"/>
      <c r="K23" s="3759"/>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757"/>
      <c r="K24" s="3760"/>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761">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76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763" t="s">
        <v>2317</v>
      </c>
      <c r="K32" s="3764"/>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765" t="s">
        <v>2327</v>
      </c>
      <c r="K33" s="3766"/>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765" t="s">
        <v>2329</v>
      </c>
      <c r="K34" s="3766"/>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757">
        <v>1</v>
      </c>
      <c r="K36" s="3758"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757"/>
      <c r="K37" s="3759"/>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57"/>
      <c r="K38" s="3759"/>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757"/>
      <c r="K39" s="3759"/>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757"/>
      <c r="K40" s="3760"/>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761">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76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146.1533</v>
      </c>
      <c r="C2" s="1871" t="s">
        <v>1651</v>
      </c>
      <c r="D2" s="1872" t="s">
        <v>1652</v>
      </c>
      <c r="E2" s="2606">
        <f>SUM(E6:E13)</f>
        <v>47.88</v>
      </c>
      <c r="F2" s="2705"/>
      <c r="G2" s="1488"/>
      <c r="H2" s="1488"/>
      <c r="I2" s="1488"/>
      <c r="J2" s="1488"/>
      <c r="K2" s="1488"/>
      <c r="L2" s="1488"/>
      <c r="M2" s="1488"/>
      <c r="N2" s="1488"/>
      <c r="O2" s="1488"/>
      <c r="P2" s="1488"/>
      <c r="Q2" s="1488"/>
      <c r="R2" s="1488"/>
      <c r="S2" s="1488"/>
    </row>
    <row r="3" spans="1:22" ht="15.75">
      <c r="A3" s="1869" t="s">
        <v>686</v>
      </c>
      <c r="B3" s="2600">
        <f ca="1">ROUND(B2*10000/E2,0)</f>
        <v>30525</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2" t="s">
        <v>1653</v>
      </c>
      <c r="B5" s="3776" t="s">
        <v>1654</v>
      </c>
      <c r="C5" s="3777"/>
      <c r="D5" s="2706"/>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146.1533</v>
      </c>
      <c r="C6" s="1871" t="s">
        <v>1651</v>
      </c>
      <c r="D6" s="2707"/>
      <c r="E6" s="2605">
        <f>IF(OR(A6=0,F6="否"),0,'数据-取费表'!K6+'数据-取费表'!S6)</f>
        <v>47.88</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7"/>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7"/>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7"/>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7"/>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7"/>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7"/>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8"/>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47.88</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702" t="s">
        <v>1667</v>
      </c>
      <c r="D4" s="3703"/>
      <c r="E4" s="3704" t="s">
        <v>1668</v>
      </c>
      <c r="F4" s="3705"/>
      <c r="G4" s="3702" t="s">
        <v>1669</v>
      </c>
      <c r="H4" s="3703"/>
      <c r="I4" s="3702" t="s">
        <v>1670</v>
      </c>
      <c r="J4" s="3703"/>
      <c r="K4" s="1888" t="s">
        <v>1671</v>
      </c>
      <c r="L4" s="2713"/>
      <c r="M4" s="2714"/>
      <c r="N4" s="2714"/>
      <c r="O4" s="2714"/>
      <c r="P4" s="3706" t="s">
        <v>1672</v>
      </c>
      <c r="Q4" s="3707"/>
      <c r="R4" s="3712" t="s">
        <v>1668</v>
      </c>
      <c r="S4" s="3713"/>
      <c r="T4" s="3712" t="s">
        <v>1669</v>
      </c>
      <c r="U4" s="3713"/>
      <c r="V4" s="3697" t="s">
        <v>1670</v>
      </c>
      <c r="W4" s="3697"/>
      <c r="X4" s="1354"/>
      <c r="Y4" s="3712" t="s">
        <v>1672</v>
      </c>
      <c r="Z4" s="3713"/>
      <c r="AA4" s="3699" t="s">
        <v>1668</v>
      </c>
      <c r="AB4" s="3699" t="s">
        <v>1669</v>
      </c>
      <c r="AC4" s="3699" t="s">
        <v>1670</v>
      </c>
    </row>
    <row r="5" spans="1:29" ht="15">
      <c r="A5" s="358"/>
      <c r="B5" s="359"/>
      <c r="C5" s="3778" t="s">
        <v>1673</v>
      </c>
      <c r="D5" s="3721"/>
      <c r="E5" s="3779" t="s">
        <v>1674</v>
      </c>
      <c r="F5" s="3729"/>
      <c r="G5" s="3778" t="s">
        <v>1675</v>
      </c>
      <c r="H5" s="3721"/>
      <c r="I5" s="3778" t="s">
        <v>1676</v>
      </c>
      <c r="J5" s="3721"/>
      <c r="K5" s="1889"/>
      <c r="L5" s="2713"/>
      <c r="M5" s="2714"/>
      <c r="N5" s="2714"/>
      <c r="O5" s="2714"/>
      <c r="P5" s="3708"/>
      <c r="Q5" s="3709"/>
      <c r="R5" s="3714"/>
      <c r="S5" s="3715"/>
      <c r="T5" s="3714"/>
      <c r="U5" s="3715"/>
      <c r="V5" s="3697"/>
      <c r="W5" s="3697"/>
      <c r="X5" s="1354"/>
      <c r="Y5" s="3714"/>
      <c r="Z5" s="3715"/>
      <c r="AA5" s="3700"/>
      <c r="AB5" s="3700"/>
      <c r="AC5" s="3700"/>
    </row>
    <row r="6" spans="1:29" ht="15.75" thickBot="1">
      <c r="A6" s="360"/>
      <c r="B6" s="361"/>
      <c r="C6" s="3725" t="s">
        <v>1677</v>
      </c>
      <c r="D6" s="3719"/>
      <c r="E6" s="3726" t="s">
        <v>1677</v>
      </c>
      <c r="F6" s="3727"/>
      <c r="G6" s="3725" t="s">
        <v>1677</v>
      </c>
      <c r="H6" s="3719"/>
      <c r="I6" s="3725" t="s">
        <v>1677</v>
      </c>
      <c r="J6" s="3719"/>
      <c r="K6" s="1889" t="s">
        <v>1678</v>
      </c>
      <c r="L6" s="2713"/>
      <c r="M6" s="2714"/>
      <c r="N6" s="2714"/>
      <c r="O6" s="2714"/>
      <c r="P6" s="3710"/>
      <c r="Q6" s="3711"/>
      <c r="R6" s="3714"/>
      <c r="S6" s="3715"/>
      <c r="T6" s="3716"/>
      <c r="U6" s="3717"/>
      <c r="V6" s="3697"/>
      <c r="W6" s="3697"/>
      <c r="X6" s="1354"/>
      <c r="Y6" s="3716"/>
      <c r="Z6" s="3717"/>
      <c r="AA6" s="3701"/>
      <c r="AB6" s="3701"/>
      <c r="AC6" s="3701"/>
    </row>
    <row r="7" spans="1:29" s="108" customFormat="1" ht="15.75" thickBot="1">
      <c r="A7" s="362" t="s">
        <v>1679</v>
      </c>
      <c r="B7" s="363"/>
      <c r="C7" s="364">
        <f>'数据-取费表'!B2</f>
        <v>45821</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722" t="s">
        <v>1680</v>
      </c>
      <c r="Q7" s="3724"/>
      <c r="R7" s="700" t="s">
        <v>20</v>
      </c>
      <c r="S7" s="701">
        <f t="shared" ref="S7:S15" si="0">F7</f>
        <v>0</v>
      </c>
      <c r="T7" s="700" t="s">
        <v>20</v>
      </c>
      <c r="U7" s="701">
        <f t="shared" ref="U7:U15" si="1">H7</f>
        <v>0</v>
      </c>
      <c r="V7" s="700" t="s">
        <v>20</v>
      </c>
      <c r="W7" s="701">
        <f t="shared" ref="W7:W15" si="2">J7</f>
        <v>0</v>
      </c>
      <c r="X7" s="702"/>
      <c r="Y7" s="3722" t="s">
        <v>1680</v>
      </c>
      <c r="Z7" s="3723"/>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722" t="s">
        <v>1683</v>
      </c>
      <c r="Q8" s="3723"/>
      <c r="R8" s="700" t="s">
        <v>20</v>
      </c>
      <c r="S8" s="701">
        <f t="shared" si="0"/>
        <v>100</v>
      </c>
      <c r="T8" s="700" t="s">
        <v>20</v>
      </c>
      <c r="U8" s="701">
        <f t="shared" si="1"/>
        <v>100</v>
      </c>
      <c r="V8" s="700" t="s">
        <v>20</v>
      </c>
      <c r="W8" s="701">
        <f t="shared" si="2"/>
        <v>100</v>
      </c>
      <c r="X8" s="702"/>
      <c r="Y8" s="3722" t="s">
        <v>1683</v>
      </c>
      <c r="Z8" s="3723"/>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98" t="s">
        <v>1686</v>
      </c>
      <c r="Q9" s="1342" t="str">
        <f t="shared" ref="Q9:Q15" si="6">B9</f>
        <v>用途</v>
      </c>
      <c r="R9" s="700" t="s">
        <v>14</v>
      </c>
      <c r="S9" s="701">
        <f t="shared" si="0"/>
        <v>100</v>
      </c>
      <c r="T9" s="700" t="s">
        <v>14</v>
      </c>
      <c r="U9" s="701">
        <f t="shared" si="1"/>
        <v>100</v>
      </c>
      <c r="V9" s="700" t="s">
        <v>14</v>
      </c>
      <c r="W9" s="701">
        <f t="shared" si="2"/>
        <v>100</v>
      </c>
      <c r="X9" s="702"/>
      <c r="Y9" s="3590"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698"/>
      <c r="Q10" s="1342" t="str">
        <f t="shared" si="6"/>
        <v>土地使用年限（年）</v>
      </c>
      <c r="R10" s="700" t="s">
        <v>14</v>
      </c>
      <c r="S10" s="701">
        <f t="shared" si="0"/>
        <v>100</v>
      </c>
      <c r="T10" s="700" t="s">
        <v>14</v>
      </c>
      <c r="U10" s="701">
        <f t="shared" si="1"/>
        <v>100</v>
      </c>
      <c r="V10" s="700" t="s">
        <v>14</v>
      </c>
      <c r="W10" s="701">
        <f t="shared" si="2"/>
        <v>100</v>
      </c>
      <c r="X10" s="702"/>
      <c r="Y10" s="3590"/>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98"/>
      <c r="Q11" s="1342" t="str">
        <f t="shared" si="6"/>
        <v>容积率</v>
      </c>
      <c r="R11" s="700" t="s">
        <v>18</v>
      </c>
      <c r="S11" s="701" t="e">
        <f t="shared" si="0"/>
        <v>#N/A</v>
      </c>
      <c r="T11" s="700" t="s">
        <v>18</v>
      </c>
      <c r="U11" s="701" t="e">
        <f t="shared" si="1"/>
        <v>#N/A</v>
      </c>
      <c r="V11" s="700" t="s">
        <v>18</v>
      </c>
      <c r="W11" s="701" t="e">
        <f t="shared" si="2"/>
        <v>#N/A</v>
      </c>
      <c r="X11" s="702"/>
      <c r="Y11" s="3590"/>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98"/>
      <c r="Q12" s="1342">
        <f t="shared" si="6"/>
        <v>111</v>
      </c>
      <c r="R12" s="700" t="s">
        <v>18</v>
      </c>
      <c r="S12" s="701">
        <f t="shared" si="0"/>
        <v>100</v>
      </c>
      <c r="T12" s="700" t="s">
        <v>18</v>
      </c>
      <c r="U12" s="701">
        <f t="shared" si="1"/>
        <v>100</v>
      </c>
      <c r="V12" s="700" t="s">
        <v>18</v>
      </c>
      <c r="W12" s="701">
        <f t="shared" si="2"/>
        <v>100</v>
      </c>
      <c r="X12" s="702"/>
      <c r="Y12" s="3590"/>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98"/>
      <c r="Q13" s="1342">
        <f t="shared" si="6"/>
        <v>111</v>
      </c>
      <c r="R13" s="700" t="s">
        <v>18</v>
      </c>
      <c r="S13" s="701">
        <f t="shared" si="0"/>
        <v>100</v>
      </c>
      <c r="T13" s="700" t="s">
        <v>18</v>
      </c>
      <c r="U13" s="701">
        <f t="shared" si="1"/>
        <v>100</v>
      </c>
      <c r="V13" s="700" t="s">
        <v>18</v>
      </c>
      <c r="W13" s="701">
        <f t="shared" si="2"/>
        <v>100</v>
      </c>
      <c r="X13" s="702"/>
      <c r="Y13" s="3590"/>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98"/>
      <c r="Q14" s="1342">
        <f t="shared" si="6"/>
        <v>111</v>
      </c>
      <c r="R14" s="700" t="s">
        <v>18</v>
      </c>
      <c r="S14" s="701">
        <f t="shared" si="0"/>
        <v>100</v>
      </c>
      <c r="T14" s="700" t="s">
        <v>18</v>
      </c>
      <c r="U14" s="701">
        <f t="shared" si="1"/>
        <v>100</v>
      </c>
      <c r="V14" s="700" t="s">
        <v>18</v>
      </c>
      <c r="W14" s="701">
        <f t="shared" si="2"/>
        <v>100</v>
      </c>
      <c r="X14" s="702"/>
      <c r="Y14" s="3590"/>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8" t="s">
        <v>1691</v>
      </c>
      <c r="Q15" s="1351" t="str">
        <f t="shared" si="6"/>
        <v>居住社区成熟度</v>
      </c>
      <c r="R15" s="704" t="s">
        <v>18</v>
      </c>
      <c r="S15" s="705">
        <f t="shared" si="0"/>
        <v>100</v>
      </c>
      <c r="T15" s="704" t="s">
        <v>18</v>
      </c>
      <c r="U15" s="705">
        <f t="shared" si="1"/>
        <v>100</v>
      </c>
      <c r="V15" s="704" t="s">
        <v>18</v>
      </c>
      <c r="W15" s="705">
        <f t="shared" si="2"/>
        <v>100</v>
      </c>
      <c r="X15" s="1354"/>
      <c r="Y15" s="3690"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689"/>
      <c r="Q16" s="1351"/>
      <c r="R16" s="704"/>
      <c r="S16" s="705"/>
      <c r="T16" s="704"/>
      <c r="U16" s="705"/>
      <c r="V16" s="704"/>
      <c r="W16" s="705"/>
      <c r="X16" s="1354"/>
      <c r="Y16" s="3691"/>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9"/>
      <c r="Q17" s="1351" t="str">
        <f>B17</f>
        <v>交通便捷度</v>
      </c>
      <c r="R17" s="704" t="s">
        <v>18</v>
      </c>
      <c r="S17" s="705">
        <f>F17</f>
        <v>100</v>
      </c>
      <c r="T17" s="704" t="s">
        <v>18</v>
      </c>
      <c r="U17" s="705">
        <f>H17</f>
        <v>100</v>
      </c>
      <c r="V17" s="704" t="s">
        <v>18</v>
      </c>
      <c r="W17" s="705">
        <f>J17</f>
        <v>100</v>
      </c>
      <c r="X17" s="1354"/>
      <c r="Y17" s="3691"/>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689"/>
      <c r="Q18" s="1351"/>
      <c r="R18" s="704"/>
      <c r="S18" s="705"/>
      <c r="T18" s="704"/>
      <c r="U18" s="705"/>
      <c r="V18" s="704"/>
      <c r="W18" s="705"/>
      <c r="X18" s="1354"/>
      <c r="Y18" s="3691"/>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9"/>
      <c r="Q19" s="1351" t="str">
        <f>B19</f>
        <v>公共配套设施</v>
      </c>
      <c r="R19" s="704" t="s">
        <v>18</v>
      </c>
      <c r="S19" s="705">
        <f>F19</f>
        <v>100</v>
      </c>
      <c r="T19" s="704" t="s">
        <v>18</v>
      </c>
      <c r="U19" s="705">
        <f>H19</f>
        <v>100</v>
      </c>
      <c r="V19" s="704" t="s">
        <v>18</v>
      </c>
      <c r="W19" s="705">
        <f>J19</f>
        <v>100</v>
      </c>
      <c r="X19" s="1354"/>
      <c r="Y19" s="3691"/>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689"/>
      <c r="Q20" s="1351"/>
      <c r="R20" s="704"/>
      <c r="S20" s="705"/>
      <c r="T20" s="704"/>
      <c r="U20" s="705"/>
      <c r="V20" s="704"/>
      <c r="W20" s="705"/>
      <c r="X20" s="1354"/>
      <c r="Y20" s="3691"/>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9"/>
      <c r="Q21" s="1351" t="str">
        <f>B21</f>
        <v>基础设施水平</v>
      </c>
      <c r="R21" s="704" t="s">
        <v>14</v>
      </c>
      <c r="S21" s="705">
        <f>F21</f>
        <v>100</v>
      </c>
      <c r="T21" s="704" t="s">
        <v>14</v>
      </c>
      <c r="U21" s="705">
        <f>H21</f>
        <v>100</v>
      </c>
      <c r="V21" s="704" t="s">
        <v>14</v>
      </c>
      <c r="W21" s="705">
        <f>J21</f>
        <v>100</v>
      </c>
      <c r="X21" s="1354"/>
      <c r="Y21" s="369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689"/>
      <c r="Q22" s="1351"/>
      <c r="R22" s="704"/>
      <c r="S22" s="705"/>
      <c r="T22" s="704"/>
      <c r="U22" s="705"/>
      <c r="V22" s="704"/>
      <c r="W22" s="705"/>
      <c r="X22" s="1354"/>
      <c r="Y22" s="3691"/>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9"/>
      <c r="Q23" s="1351" t="str">
        <f>B23</f>
        <v>自然及人文环境</v>
      </c>
      <c r="R23" s="704" t="s">
        <v>18</v>
      </c>
      <c r="S23" s="705">
        <f>F23</f>
        <v>100</v>
      </c>
      <c r="T23" s="704" t="s">
        <v>18</v>
      </c>
      <c r="U23" s="705">
        <f>H23</f>
        <v>100</v>
      </c>
      <c r="V23" s="704" t="s">
        <v>18</v>
      </c>
      <c r="W23" s="705">
        <f>J23</f>
        <v>100</v>
      </c>
      <c r="X23" s="1354"/>
      <c r="Y23" s="3691"/>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689"/>
      <c r="Q24" s="1351"/>
      <c r="R24" s="704"/>
      <c r="S24" s="705"/>
      <c r="T24" s="704"/>
      <c r="U24" s="705"/>
      <c r="V24" s="704"/>
      <c r="W24" s="705"/>
      <c r="X24" s="1354"/>
      <c r="Y24" s="3691"/>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689"/>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1"/>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689"/>
      <c r="Q26" s="1351" t="str">
        <f t="shared" si="11"/>
        <v>朝向</v>
      </c>
      <c r="R26" s="704" t="s">
        <v>18</v>
      </c>
      <c r="S26" s="705">
        <f t="shared" si="12"/>
        <v>100</v>
      </c>
      <c r="T26" s="704" t="s">
        <v>18</v>
      </c>
      <c r="U26" s="705">
        <f t="shared" si="13"/>
        <v>100</v>
      </c>
      <c r="V26" s="704" t="s">
        <v>18</v>
      </c>
      <c r="W26" s="705">
        <f t="shared" si="14"/>
        <v>100</v>
      </c>
      <c r="X26" s="1354"/>
      <c r="Y26" s="3691"/>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689"/>
      <c r="Q27" s="1342">
        <f t="shared" si="11"/>
        <v>111</v>
      </c>
      <c r="R27" s="700" t="s">
        <v>18</v>
      </c>
      <c r="S27" s="701">
        <f t="shared" si="12"/>
        <v>100</v>
      </c>
      <c r="T27" s="700" t="s">
        <v>18</v>
      </c>
      <c r="U27" s="701">
        <f t="shared" si="13"/>
        <v>100</v>
      </c>
      <c r="V27" s="700" t="s">
        <v>18</v>
      </c>
      <c r="W27" s="701">
        <f t="shared" si="14"/>
        <v>100</v>
      </c>
      <c r="X27" s="702"/>
      <c r="Y27" s="3691"/>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689"/>
      <c r="Q28" s="1351">
        <f t="shared" si="11"/>
        <v>111</v>
      </c>
      <c r="R28" s="704" t="s">
        <v>18</v>
      </c>
      <c r="S28" s="705">
        <f t="shared" si="12"/>
        <v>100</v>
      </c>
      <c r="T28" s="704" t="s">
        <v>18</v>
      </c>
      <c r="U28" s="705">
        <f t="shared" si="13"/>
        <v>100</v>
      </c>
      <c r="V28" s="704" t="s">
        <v>18</v>
      </c>
      <c r="W28" s="705">
        <f t="shared" si="14"/>
        <v>100</v>
      </c>
      <c r="X28" s="1354"/>
      <c r="Y28" s="3691"/>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689"/>
      <c r="Q29" s="1351">
        <f t="shared" si="11"/>
        <v>111</v>
      </c>
      <c r="R29" s="704" t="s">
        <v>18</v>
      </c>
      <c r="S29" s="705">
        <f t="shared" si="12"/>
        <v>100</v>
      </c>
      <c r="T29" s="704" t="s">
        <v>18</v>
      </c>
      <c r="U29" s="705">
        <f t="shared" si="13"/>
        <v>100</v>
      </c>
      <c r="V29" s="704" t="s">
        <v>18</v>
      </c>
      <c r="W29" s="705">
        <f t="shared" si="14"/>
        <v>100</v>
      </c>
      <c r="X29" s="1354"/>
      <c r="Y29" s="3691"/>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689"/>
      <c r="Q30" s="1351">
        <f t="shared" si="11"/>
        <v>111</v>
      </c>
      <c r="R30" s="704" t="s">
        <v>18</v>
      </c>
      <c r="S30" s="705">
        <f t="shared" si="12"/>
        <v>100</v>
      </c>
      <c r="T30" s="704" t="s">
        <v>18</v>
      </c>
      <c r="U30" s="705">
        <f t="shared" si="13"/>
        <v>100</v>
      </c>
      <c r="V30" s="704" t="s">
        <v>18</v>
      </c>
      <c r="W30" s="705">
        <f t="shared" si="14"/>
        <v>100</v>
      </c>
      <c r="X30" s="1354"/>
      <c r="Y30" s="3691"/>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689"/>
      <c r="Q31" s="1351">
        <f t="shared" si="11"/>
        <v>111</v>
      </c>
      <c r="R31" s="704" t="s">
        <v>18</v>
      </c>
      <c r="S31" s="705">
        <f t="shared" si="12"/>
        <v>100</v>
      </c>
      <c r="T31" s="704" t="s">
        <v>18</v>
      </c>
      <c r="U31" s="705">
        <f t="shared" si="13"/>
        <v>100</v>
      </c>
      <c r="V31" s="704" t="s">
        <v>18</v>
      </c>
      <c r="W31" s="705">
        <f t="shared" si="14"/>
        <v>100</v>
      </c>
      <c r="X31" s="1354"/>
      <c r="Y31" s="3691"/>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692" t="s">
        <v>1696</v>
      </c>
      <c r="Q32" s="1351" t="str">
        <f t="shared" si="11"/>
        <v>建筑类型</v>
      </c>
      <c r="R32" s="704" t="s">
        <v>18</v>
      </c>
      <c r="S32" s="705">
        <f t="shared" si="12"/>
        <v>100</v>
      </c>
      <c r="T32" s="704" t="s">
        <v>18</v>
      </c>
      <c r="U32" s="705">
        <f t="shared" si="13"/>
        <v>100</v>
      </c>
      <c r="V32" s="704" t="s">
        <v>18</v>
      </c>
      <c r="W32" s="705">
        <f t="shared" si="14"/>
        <v>100</v>
      </c>
      <c r="X32" s="1354"/>
      <c r="Y32" s="3695"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693"/>
      <c r="Q33" s="706" t="str">
        <f t="shared" si="11"/>
        <v>项目建筑规模</v>
      </c>
      <c r="R33" s="707" t="s">
        <v>18</v>
      </c>
      <c r="S33" s="708" t="e">
        <f t="shared" si="12"/>
        <v>#N/A</v>
      </c>
      <c r="T33" s="707" t="s">
        <v>18</v>
      </c>
      <c r="U33" s="708" t="e">
        <f t="shared" si="13"/>
        <v>#N/A</v>
      </c>
      <c r="V33" s="707" t="s">
        <v>18</v>
      </c>
      <c r="W33" s="708" t="e">
        <f t="shared" si="14"/>
        <v>#N/A</v>
      </c>
      <c r="X33" s="709"/>
      <c r="Y33" s="3695"/>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693"/>
      <c r="Q34" s="1351" t="str">
        <f t="shared" si="11"/>
        <v>建筑结构</v>
      </c>
      <c r="R34" s="704" t="s">
        <v>18</v>
      </c>
      <c r="S34" s="705">
        <f t="shared" si="12"/>
        <v>100</v>
      </c>
      <c r="T34" s="704" t="s">
        <v>18</v>
      </c>
      <c r="U34" s="705">
        <f t="shared" si="13"/>
        <v>100</v>
      </c>
      <c r="V34" s="704" t="s">
        <v>18</v>
      </c>
      <c r="W34" s="705">
        <f t="shared" si="14"/>
        <v>100</v>
      </c>
      <c r="X34" s="1354"/>
      <c r="Y34" s="3695"/>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693"/>
      <c r="Q35" s="1351" t="str">
        <f t="shared" si="11"/>
        <v>建筑品质</v>
      </c>
      <c r="R35" s="704" t="s">
        <v>18</v>
      </c>
      <c r="S35" s="705">
        <f t="shared" si="12"/>
        <v>100</v>
      </c>
      <c r="T35" s="704" t="s">
        <v>18</v>
      </c>
      <c r="U35" s="705">
        <f t="shared" si="13"/>
        <v>100</v>
      </c>
      <c r="V35" s="704" t="s">
        <v>18</v>
      </c>
      <c r="W35" s="705">
        <f t="shared" si="14"/>
        <v>100</v>
      </c>
      <c r="X35" s="1354"/>
      <c r="Y35" s="3695"/>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693"/>
      <c r="Q36" s="1351" t="str">
        <f t="shared" si="11"/>
        <v>公共部分装修</v>
      </c>
      <c r="R36" s="704" t="s">
        <v>18</v>
      </c>
      <c r="S36" s="705">
        <f t="shared" si="12"/>
        <v>100</v>
      </c>
      <c r="T36" s="704" t="s">
        <v>18</v>
      </c>
      <c r="U36" s="705">
        <f t="shared" si="13"/>
        <v>100</v>
      </c>
      <c r="V36" s="704" t="s">
        <v>18</v>
      </c>
      <c r="W36" s="705">
        <f t="shared" si="14"/>
        <v>100</v>
      </c>
      <c r="X36" s="1354"/>
      <c r="Y36" s="3695"/>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3"/>
      <c r="Q37" s="1342" t="str">
        <f t="shared" si="11"/>
        <v>成新度</v>
      </c>
      <c r="R37" s="700" t="s">
        <v>18</v>
      </c>
      <c r="S37" s="701" t="e">
        <f t="shared" si="12"/>
        <v>#N/A</v>
      </c>
      <c r="T37" s="700" t="s">
        <v>18</v>
      </c>
      <c r="U37" s="701" t="e">
        <f t="shared" si="13"/>
        <v>#N/A</v>
      </c>
      <c r="V37" s="700" t="s">
        <v>18</v>
      </c>
      <c r="W37" s="701" t="e">
        <f t="shared" si="14"/>
        <v>#N/A</v>
      </c>
      <c r="X37" s="702"/>
      <c r="Y37" s="3695"/>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693" t="s">
        <v>1696</v>
      </c>
      <c r="Q38" s="1351" t="str">
        <f t="shared" si="11"/>
        <v>物业管理</v>
      </c>
      <c r="R38" s="704" t="s">
        <v>18</v>
      </c>
      <c r="S38" s="705">
        <f t="shared" si="12"/>
        <v>100</v>
      </c>
      <c r="T38" s="704" t="s">
        <v>18</v>
      </c>
      <c r="U38" s="705">
        <f t="shared" si="13"/>
        <v>100</v>
      </c>
      <c r="V38" s="704" t="s">
        <v>18</v>
      </c>
      <c r="W38" s="705">
        <f t="shared" si="14"/>
        <v>100</v>
      </c>
      <c r="X38" s="1354"/>
      <c r="Y38" s="3695"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693"/>
      <c r="Q39" s="1351" t="str">
        <f t="shared" si="11"/>
        <v>市政基础设施</v>
      </c>
      <c r="R39" s="704" t="s">
        <v>18</v>
      </c>
      <c r="S39" s="705">
        <f t="shared" si="12"/>
        <v>100</v>
      </c>
      <c r="T39" s="704" t="s">
        <v>18</v>
      </c>
      <c r="U39" s="705">
        <f t="shared" si="13"/>
        <v>100</v>
      </c>
      <c r="V39" s="704" t="s">
        <v>18</v>
      </c>
      <c r="W39" s="705">
        <f t="shared" si="14"/>
        <v>100</v>
      </c>
      <c r="X39" s="1354"/>
      <c r="Y39" s="3695"/>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693"/>
      <c r="Q40" s="1351" t="str">
        <f t="shared" si="11"/>
        <v>房型</v>
      </c>
      <c r="R40" s="704" t="s">
        <v>18</v>
      </c>
      <c r="S40" s="705">
        <f t="shared" si="12"/>
        <v>100</v>
      </c>
      <c r="T40" s="704" t="s">
        <v>18</v>
      </c>
      <c r="U40" s="705">
        <f t="shared" si="13"/>
        <v>100</v>
      </c>
      <c r="V40" s="704" t="s">
        <v>18</v>
      </c>
      <c r="W40" s="705">
        <f t="shared" si="14"/>
        <v>100</v>
      </c>
      <c r="X40" s="1354"/>
      <c r="Y40" s="3695"/>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693"/>
      <c r="Q41" s="706" t="str">
        <f t="shared" si="11"/>
        <v>单套/主力户型建筑面积</v>
      </c>
      <c r="R41" s="707" t="s">
        <v>18</v>
      </c>
      <c r="S41" s="708">
        <f t="shared" si="12"/>
        <v>100</v>
      </c>
      <c r="T41" s="707" t="s">
        <v>18</v>
      </c>
      <c r="U41" s="708">
        <f t="shared" si="13"/>
        <v>100</v>
      </c>
      <c r="V41" s="707" t="s">
        <v>18</v>
      </c>
      <c r="W41" s="708">
        <f t="shared" si="14"/>
        <v>100</v>
      </c>
      <c r="X41" s="709"/>
      <c r="Y41" s="3695"/>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693"/>
      <c r="Q42" s="1351" t="str">
        <f t="shared" si="11"/>
        <v>内部装修</v>
      </c>
      <c r="R42" s="704" t="s">
        <v>18</v>
      </c>
      <c r="S42" s="705">
        <f t="shared" si="12"/>
        <v>100</v>
      </c>
      <c r="T42" s="704" t="s">
        <v>18</v>
      </c>
      <c r="U42" s="705">
        <f t="shared" si="13"/>
        <v>100</v>
      </c>
      <c r="V42" s="704" t="s">
        <v>18</v>
      </c>
      <c r="W42" s="705">
        <f t="shared" si="14"/>
        <v>100</v>
      </c>
      <c r="X42" s="1354"/>
      <c r="Y42" s="3695"/>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693"/>
      <c r="Q43" s="1351" t="str">
        <f t="shared" si="11"/>
        <v>内部装修维护情况</v>
      </c>
      <c r="R43" s="704" t="s">
        <v>18</v>
      </c>
      <c r="S43" s="705">
        <f t="shared" si="12"/>
        <v>100</v>
      </c>
      <c r="T43" s="704" t="s">
        <v>18</v>
      </c>
      <c r="U43" s="705">
        <f t="shared" si="13"/>
        <v>100</v>
      </c>
      <c r="V43" s="704" t="s">
        <v>18</v>
      </c>
      <c r="W43" s="705">
        <f t="shared" si="14"/>
        <v>100</v>
      </c>
      <c r="X43" s="1354"/>
      <c r="Y43" s="3695"/>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693"/>
      <c r="Q44" s="1342">
        <f t="shared" si="11"/>
        <v>111</v>
      </c>
      <c r="R44" s="700" t="s">
        <v>18</v>
      </c>
      <c r="S44" s="701">
        <f t="shared" si="12"/>
        <v>100</v>
      </c>
      <c r="T44" s="700" t="s">
        <v>18</v>
      </c>
      <c r="U44" s="701">
        <f t="shared" si="13"/>
        <v>100</v>
      </c>
      <c r="V44" s="700" t="s">
        <v>18</v>
      </c>
      <c r="W44" s="701">
        <f t="shared" si="14"/>
        <v>100</v>
      </c>
      <c r="X44" s="702"/>
      <c r="Y44" s="3695"/>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693"/>
      <c r="Q45" s="1351">
        <f t="shared" si="11"/>
        <v>111</v>
      </c>
      <c r="R45" s="704" t="s">
        <v>18</v>
      </c>
      <c r="S45" s="705">
        <f t="shared" si="12"/>
        <v>100</v>
      </c>
      <c r="T45" s="704" t="s">
        <v>18</v>
      </c>
      <c r="U45" s="705">
        <f t="shared" si="13"/>
        <v>100</v>
      </c>
      <c r="V45" s="704" t="s">
        <v>18</v>
      </c>
      <c r="W45" s="705">
        <f t="shared" si="14"/>
        <v>100</v>
      </c>
      <c r="X45" s="1354"/>
      <c r="Y45" s="369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694"/>
      <c r="Q46" s="1351">
        <f t="shared" si="11"/>
        <v>111</v>
      </c>
      <c r="R46" s="704" t="s">
        <v>17</v>
      </c>
      <c r="S46" s="705">
        <f t="shared" si="12"/>
        <v>100</v>
      </c>
      <c r="T46" s="704" t="s">
        <v>17</v>
      </c>
      <c r="U46" s="705">
        <f t="shared" si="13"/>
        <v>100</v>
      </c>
      <c r="V46" s="704" t="s">
        <v>17</v>
      </c>
      <c r="W46" s="705">
        <f t="shared" si="14"/>
        <v>100</v>
      </c>
      <c r="X46" s="1354"/>
      <c r="Y46" s="3696"/>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2"/>
      <c r="M47" s="2723"/>
      <c r="N47" s="2714"/>
      <c r="O47" s="2723"/>
      <c r="P47" s="3683" t="str">
        <f>A47</f>
        <v>成交单价（元/平方米）</v>
      </c>
      <c r="Q47" s="3683"/>
      <c r="R47" s="3684">
        <f>E47</f>
        <v>0</v>
      </c>
      <c r="S47" s="3684"/>
      <c r="T47" s="3684">
        <f>G47</f>
        <v>0</v>
      </c>
      <c r="U47" s="3684"/>
      <c r="V47" s="3684">
        <f>I47</f>
        <v>0</v>
      </c>
      <c r="W47" s="3684"/>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2"/>
      <c r="M48" s="2723"/>
      <c r="N48" s="2723"/>
      <c r="O48" s="2723"/>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2"/>
      <c r="M49" s="2723"/>
      <c r="N49" s="2723"/>
      <c r="O49" s="2723"/>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2025-6</v>
      </c>
      <c r="D58" s="1184">
        <f>EDATE(C58,-1)</f>
        <v>45778</v>
      </c>
      <c r="E58" s="1184">
        <f>EDATE(D58,-1)</f>
        <v>45748</v>
      </c>
      <c r="F58" s="1184">
        <f t="shared" ref="F58:O58" si="19">EDATE(E58,-1)</f>
        <v>45717</v>
      </c>
      <c r="G58" s="1184">
        <f t="shared" si="19"/>
        <v>45689</v>
      </c>
      <c r="H58" s="1184">
        <f t="shared" si="19"/>
        <v>45658</v>
      </c>
      <c r="I58" s="1184">
        <f t="shared" si="19"/>
        <v>45627</v>
      </c>
      <c r="J58" s="1184">
        <f t="shared" si="19"/>
        <v>45597</v>
      </c>
      <c r="K58" s="1184">
        <f t="shared" si="19"/>
        <v>45566</v>
      </c>
      <c r="L58" s="1184">
        <f t="shared" si="19"/>
        <v>45536</v>
      </c>
      <c r="M58" s="1184">
        <f t="shared" si="19"/>
        <v>45505</v>
      </c>
      <c r="N58" s="1184">
        <f t="shared" si="19"/>
        <v>45474</v>
      </c>
      <c r="O58" s="1184">
        <f t="shared" si="19"/>
        <v>45444</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受贵公司委托，我公司对北京市朝阳区霞光里15号楼1层102商铺用房房地产抵押价值进行了预评估。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估价对象为北京市朝阳区霞光里15号楼1层102商铺用房房地产，为所有。根据《国有土地使用证》[]，估价对象（分摊）出让国有建设用地使用权面积为0平方米，建筑面积为47.88平方米。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霞光里15号楼1层102商铺用房房地产,属开发建设的居住项目，该项目尚在开发建设中。根据《国有土地使用证》[]，估价对象（分摊）出让国有建设用地使用权面积为0平方米，规划建筑面积为47.88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朝阳区霞光里15号楼1层102商铺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2025年6月13日（评估专业人员实地查勘之日）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47.88</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702" t="s">
        <v>1770</v>
      </c>
      <c r="D4" s="3703"/>
      <c r="E4" s="3704" t="s">
        <v>1771</v>
      </c>
      <c r="F4" s="3705"/>
      <c r="G4" s="3702" t="s">
        <v>1772</v>
      </c>
      <c r="H4" s="3703"/>
      <c r="I4" s="3702" t="s">
        <v>1773</v>
      </c>
      <c r="J4" s="3703"/>
      <c r="K4" s="559" t="s">
        <v>1774</v>
      </c>
      <c r="L4" s="2713"/>
      <c r="M4" s="2714"/>
      <c r="N4" s="2714"/>
      <c r="O4" s="2714"/>
      <c r="P4" s="3786" t="s">
        <v>1775</v>
      </c>
      <c r="Q4" s="3787"/>
      <c r="R4" s="3790" t="s">
        <v>1771</v>
      </c>
      <c r="S4" s="3791"/>
      <c r="T4" s="3790" t="s">
        <v>1772</v>
      </c>
      <c r="U4" s="3791"/>
      <c r="V4" s="3792" t="s">
        <v>1773</v>
      </c>
      <c r="W4" s="3792"/>
      <c r="X4" s="1957"/>
      <c r="Y4" s="3790" t="s">
        <v>1775</v>
      </c>
      <c r="Z4" s="3791"/>
      <c r="AA4" s="3794" t="s">
        <v>1771</v>
      </c>
      <c r="AB4" s="3794" t="s">
        <v>1772</v>
      </c>
      <c r="AC4" s="3783" t="s">
        <v>1773</v>
      </c>
    </row>
    <row r="5" spans="1:29" ht="15">
      <c r="A5" s="358"/>
      <c r="B5" s="359"/>
      <c r="C5" s="3778" t="s">
        <v>1673</v>
      </c>
      <c r="D5" s="3721"/>
      <c r="E5" s="3779" t="s">
        <v>1674</v>
      </c>
      <c r="F5" s="3729"/>
      <c r="G5" s="3778" t="s">
        <v>1675</v>
      </c>
      <c r="H5" s="3721"/>
      <c r="I5" s="3778" t="s">
        <v>1676</v>
      </c>
      <c r="J5" s="3721"/>
      <c r="K5" s="559"/>
      <c r="L5" s="2713"/>
      <c r="M5" s="2714"/>
      <c r="N5" s="2714"/>
      <c r="O5" s="2714"/>
      <c r="P5" s="3788"/>
      <c r="Q5" s="3709"/>
      <c r="R5" s="3714"/>
      <c r="S5" s="3715"/>
      <c r="T5" s="3714"/>
      <c r="U5" s="3715"/>
      <c r="V5" s="3697"/>
      <c r="W5" s="3697"/>
      <c r="X5" s="1354"/>
      <c r="Y5" s="3714"/>
      <c r="Z5" s="3715"/>
      <c r="AA5" s="3700"/>
      <c r="AB5" s="3700"/>
      <c r="AC5" s="3784"/>
    </row>
    <row r="6" spans="1:29" ht="15.75" thickBot="1">
      <c r="A6" s="360"/>
      <c r="B6" s="361"/>
      <c r="C6" s="3725" t="s">
        <v>1677</v>
      </c>
      <c r="D6" s="3719"/>
      <c r="E6" s="3726" t="s">
        <v>1677</v>
      </c>
      <c r="F6" s="3727"/>
      <c r="G6" s="3725" t="s">
        <v>1677</v>
      </c>
      <c r="H6" s="3719"/>
      <c r="I6" s="3725" t="s">
        <v>1677</v>
      </c>
      <c r="J6" s="3719"/>
      <c r="K6" s="559" t="s">
        <v>1678</v>
      </c>
      <c r="L6" s="2713"/>
      <c r="M6" s="2714"/>
      <c r="N6" s="2714"/>
      <c r="O6" s="2714"/>
      <c r="P6" s="3789"/>
      <c r="Q6" s="3711"/>
      <c r="R6" s="3714"/>
      <c r="S6" s="3715"/>
      <c r="T6" s="3716"/>
      <c r="U6" s="3717"/>
      <c r="V6" s="3697"/>
      <c r="W6" s="3697"/>
      <c r="X6" s="1354"/>
      <c r="Y6" s="3716"/>
      <c r="Z6" s="3717"/>
      <c r="AA6" s="3701"/>
      <c r="AB6" s="3701"/>
      <c r="AC6" s="3785"/>
    </row>
    <row r="7" spans="1:29" s="108" customFormat="1" ht="15.75" thickBot="1">
      <c r="A7" s="362" t="s">
        <v>1679</v>
      </c>
      <c r="B7" s="363"/>
      <c r="C7" s="364">
        <f>'数据-取费表'!B2</f>
        <v>45821</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93" t="s">
        <v>1680</v>
      </c>
      <c r="Q7" s="3724"/>
      <c r="R7" s="700" t="s">
        <v>14</v>
      </c>
      <c r="S7" s="701">
        <f t="shared" ref="S7:S15" si="0">F7</f>
        <v>0</v>
      </c>
      <c r="T7" s="700" t="s">
        <v>14</v>
      </c>
      <c r="U7" s="701">
        <f t="shared" ref="U7:U15" si="1">H7</f>
        <v>0</v>
      </c>
      <c r="V7" s="700" t="s">
        <v>14</v>
      </c>
      <c r="W7" s="701">
        <f t="shared" ref="W7:W15" si="2">J7</f>
        <v>0</v>
      </c>
      <c r="X7" s="702"/>
      <c r="Y7" s="3722" t="s">
        <v>1680</v>
      </c>
      <c r="Z7" s="3723"/>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93" t="s">
        <v>1683</v>
      </c>
      <c r="Q8" s="3723"/>
      <c r="R8" s="700" t="s">
        <v>14</v>
      </c>
      <c r="S8" s="701">
        <f t="shared" si="0"/>
        <v>100</v>
      </c>
      <c r="T8" s="700" t="s">
        <v>14</v>
      </c>
      <c r="U8" s="701">
        <f t="shared" si="1"/>
        <v>100</v>
      </c>
      <c r="V8" s="700" t="s">
        <v>14</v>
      </c>
      <c r="W8" s="701">
        <f t="shared" si="2"/>
        <v>100</v>
      </c>
      <c r="X8" s="702"/>
      <c r="Y8" s="3722" t="s">
        <v>1683</v>
      </c>
      <c r="Z8" s="3723"/>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98" t="s">
        <v>1686</v>
      </c>
      <c r="Q9" s="1342" t="str">
        <f t="shared" ref="Q9:Q15" si="6">B9</f>
        <v>用途</v>
      </c>
      <c r="R9" s="700" t="s">
        <v>14</v>
      </c>
      <c r="S9" s="701">
        <f t="shared" si="0"/>
        <v>100</v>
      </c>
      <c r="T9" s="700" t="s">
        <v>14</v>
      </c>
      <c r="U9" s="701">
        <f t="shared" si="1"/>
        <v>100</v>
      </c>
      <c r="V9" s="700" t="s">
        <v>14</v>
      </c>
      <c r="W9" s="701">
        <f t="shared" si="2"/>
        <v>100</v>
      </c>
      <c r="X9" s="702"/>
      <c r="Y9" s="3590" t="s">
        <v>1687</v>
      </c>
      <c r="Z9" s="52" t="str">
        <f t="shared" ref="Z9:Z15" si="7">Q9</f>
        <v>用途</v>
      </c>
      <c r="AA9" s="703">
        <f t="shared" si="3"/>
        <v>1</v>
      </c>
      <c r="AB9" s="703">
        <f t="shared" si="4"/>
        <v>1</v>
      </c>
      <c r="AC9" s="1958">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8"/>
      <c r="Q10" s="1342" t="str">
        <f t="shared" si="6"/>
        <v>土地使用年限（年）</v>
      </c>
      <c r="R10" s="700" t="s">
        <v>14</v>
      </c>
      <c r="S10" s="701">
        <f t="shared" si="0"/>
        <v>100</v>
      </c>
      <c r="T10" s="700" t="s">
        <v>14</v>
      </c>
      <c r="U10" s="701">
        <f t="shared" si="1"/>
        <v>100</v>
      </c>
      <c r="V10" s="700" t="s">
        <v>14</v>
      </c>
      <c r="W10" s="701">
        <f t="shared" si="2"/>
        <v>100</v>
      </c>
      <c r="X10" s="702"/>
      <c r="Y10" s="3590"/>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8"/>
      <c r="Q11" s="1342" t="str">
        <f t="shared" si="6"/>
        <v>容积率</v>
      </c>
      <c r="R11" s="700" t="s">
        <v>14</v>
      </c>
      <c r="S11" s="701">
        <f t="shared" si="0"/>
        <v>100</v>
      </c>
      <c r="T11" s="700" t="s">
        <v>14</v>
      </c>
      <c r="U11" s="701">
        <f t="shared" si="1"/>
        <v>100</v>
      </c>
      <c r="V11" s="700" t="s">
        <v>14</v>
      </c>
      <c r="W11" s="701">
        <f t="shared" si="2"/>
        <v>100</v>
      </c>
      <c r="X11" s="702"/>
      <c r="Y11" s="3590"/>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98"/>
      <c r="Q12" s="1342">
        <f t="shared" si="6"/>
        <v>111</v>
      </c>
      <c r="R12" s="700" t="s">
        <v>14</v>
      </c>
      <c r="S12" s="701">
        <f t="shared" si="0"/>
        <v>100</v>
      </c>
      <c r="T12" s="700" t="s">
        <v>14</v>
      </c>
      <c r="U12" s="701">
        <f t="shared" si="1"/>
        <v>100</v>
      </c>
      <c r="V12" s="700" t="s">
        <v>14</v>
      </c>
      <c r="W12" s="701">
        <f t="shared" si="2"/>
        <v>100</v>
      </c>
      <c r="X12" s="702"/>
      <c r="Y12" s="3590"/>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98"/>
      <c r="Q13" s="1342">
        <f t="shared" si="6"/>
        <v>111</v>
      </c>
      <c r="R13" s="700" t="s">
        <v>14</v>
      </c>
      <c r="S13" s="701">
        <f t="shared" si="0"/>
        <v>100</v>
      </c>
      <c r="T13" s="700" t="s">
        <v>14</v>
      </c>
      <c r="U13" s="701">
        <f t="shared" si="1"/>
        <v>100</v>
      </c>
      <c r="V13" s="700" t="s">
        <v>14</v>
      </c>
      <c r="W13" s="701">
        <f t="shared" si="2"/>
        <v>100</v>
      </c>
      <c r="X13" s="702"/>
      <c r="Y13" s="3590"/>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0"/>
      <c r="M14" s="2714"/>
      <c r="N14" s="2714"/>
      <c r="O14" s="2714"/>
      <c r="P14" s="3698"/>
      <c r="Q14" s="1342">
        <f t="shared" si="6"/>
        <v>111</v>
      </c>
      <c r="R14" s="700" t="s">
        <v>14</v>
      </c>
      <c r="S14" s="701">
        <f t="shared" si="0"/>
        <v>100</v>
      </c>
      <c r="T14" s="700" t="s">
        <v>14</v>
      </c>
      <c r="U14" s="701">
        <f t="shared" si="1"/>
        <v>100</v>
      </c>
      <c r="V14" s="700" t="s">
        <v>14</v>
      </c>
      <c r="W14" s="701">
        <f t="shared" si="2"/>
        <v>100</v>
      </c>
      <c r="X14" s="702"/>
      <c r="Y14" s="3590"/>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88" t="s">
        <v>1691</v>
      </c>
      <c r="Q15" s="1351" t="str">
        <f t="shared" si="6"/>
        <v>办公集聚程度</v>
      </c>
      <c r="R15" s="704" t="s">
        <v>14</v>
      </c>
      <c r="S15" s="705">
        <f t="shared" si="0"/>
        <v>100</v>
      </c>
      <c r="T15" s="704" t="s">
        <v>14</v>
      </c>
      <c r="U15" s="705">
        <f t="shared" si="1"/>
        <v>100</v>
      </c>
      <c r="V15" s="704" t="s">
        <v>14</v>
      </c>
      <c r="W15" s="705">
        <f t="shared" si="2"/>
        <v>100</v>
      </c>
      <c r="X15" s="1354"/>
      <c r="Y15" s="3690"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0"/>
      <c r="M16" s="2714"/>
      <c r="N16" s="2714"/>
      <c r="O16" s="2714"/>
      <c r="P16" s="3689"/>
      <c r="Q16" s="1351"/>
      <c r="R16" s="704"/>
      <c r="S16" s="705"/>
      <c r="T16" s="704"/>
      <c r="U16" s="705"/>
      <c r="V16" s="704"/>
      <c r="W16" s="705"/>
      <c r="X16" s="1354"/>
      <c r="Y16" s="3691"/>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9"/>
      <c r="Q17" s="1351" t="str">
        <f>B17</f>
        <v>交通便捷度</v>
      </c>
      <c r="R17" s="704" t="s">
        <v>14</v>
      </c>
      <c r="S17" s="705">
        <f>F17</f>
        <v>100</v>
      </c>
      <c r="T17" s="704" t="s">
        <v>14</v>
      </c>
      <c r="U17" s="705">
        <f>H17</f>
        <v>100</v>
      </c>
      <c r="V17" s="704" t="s">
        <v>14</v>
      </c>
      <c r="W17" s="705">
        <f>J17</f>
        <v>100</v>
      </c>
      <c r="X17" s="1354"/>
      <c r="Y17" s="3691"/>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0"/>
      <c r="M18" s="2714"/>
      <c r="N18" s="2714"/>
      <c r="O18" s="2714"/>
      <c r="P18" s="3689"/>
      <c r="Q18" s="1351"/>
      <c r="R18" s="704"/>
      <c r="S18" s="705"/>
      <c r="T18" s="704"/>
      <c r="U18" s="705"/>
      <c r="V18" s="704"/>
      <c r="W18" s="705"/>
      <c r="X18" s="1354"/>
      <c r="Y18" s="3691"/>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9"/>
      <c r="Q19" s="1351" t="str">
        <f>B19</f>
        <v>公共配套设施</v>
      </c>
      <c r="R19" s="704" t="s">
        <v>14</v>
      </c>
      <c r="S19" s="705">
        <f>F19</f>
        <v>100</v>
      </c>
      <c r="T19" s="704" t="s">
        <v>14</v>
      </c>
      <c r="U19" s="705">
        <f>H19</f>
        <v>100</v>
      </c>
      <c r="V19" s="704" t="s">
        <v>14</v>
      </c>
      <c r="W19" s="705">
        <f>J19</f>
        <v>100</v>
      </c>
      <c r="X19" s="1354"/>
      <c r="Y19" s="3691"/>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0"/>
      <c r="M20" s="2714"/>
      <c r="N20" s="2714"/>
      <c r="O20" s="2714"/>
      <c r="P20" s="3689"/>
      <c r="Q20" s="1351"/>
      <c r="R20" s="704"/>
      <c r="S20" s="705"/>
      <c r="T20" s="704"/>
      <c r="U20" s="705"/>
      <c r="V20" s="704"/>
      <c r="W20" s="705"/>
      <c r="X20" s="1354"/>
      <c r="Y20" s="3691"/>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9"/>
      <c r="Q21" s="1351" t="str">
        <f>B21</f>
        <v>基础设施水平</v>
      </c>
      <c r="R21" s="704" t="s">
        <v>14</v>
      </c>
      <c r="S21" s="705">
        <f>F21</f>
        <v>100</v>
      </c>
      <c r="T21" s="704" t="s">
        <v>14</v>
      </c>
      <c r="U21" s="705">
        <f>H21</f>
        <v>100</v>
      </c>
      <c r="V21" s="704" t="s">
        <v>14</v>
      </c>
      <c r="W21" s="705">
        <f>J21</f>
        <v>100</v>
      </c>
      <c r="X21" s="1354"/>
      <c r="Y21" s="3691"/>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0"/>
      <c r="M22" s="2714"/>
      <c r="N22" s="2714"/>
      <c r="O22" s="2714"/>
      <c r="P22" s="3689"/>
      <c r="Q22" s="1351"/>
      <c r="R22" s="704"/>
      <c r="S22" s="705"/>
      <c r="T22" s="704"/>
      <c r="U22" s="705"/>
      <c r="V22" s="704"/>
      <c r="W22" s="705"/>
      <c r="X22" s="1354"/>
      <c r="Y22" s="3691"/>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9"/>
      <c r="Q23" s="1351" t="str">
        <f>B23</f>
        <v>环境质量</v>
      </c>
      <c r="R23" s="704" t="s">
        <v>14</v>
      </c>
      <c r="S23" s="705">
        <f>F23</f>
        <v>100</v>
      </c>
      <c r="T23" s="704" t="s">
        <v>14</v>
      </c>
      <c r="U23" s="705">
        <f>H23</f>
        <v>100</v>
      </c>
      <c r="V23" s="704" t="s">
        <v>14</v>
      </c>
      <c r="W23" s="705">
        <f>J23</f>
        <v>100</v>
      </c>
      <c r="X23" s="1354"/>
      <c r="Y23" s="3691"/>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0"/>
      <c r="M24" s="2714"/>
      <c r="N24" s="2714"/>
      <c r="O24" s="2714"/>
      <c r="P24" s="3689"/>
      <c r="Q24" s="1351"/>
      <c r="R24" s="704"/>
      <c r="S24" s="705"/>
      <c r="T24" s="704"/>
      <c r="U24" s="705"/>
      <c r="V24" s="704"/>
      <c r="W24" s="705"/>
      <c r="X24" s="1354"/>
      <c r="Y24" s="3691"/>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689"/>
      <c r="Q25" s="1351" t="str">
        <f>B25</f>
        <v>毗邻道路的类型与等级</v>
      </c>
      <c r="R25" s="704" t="s">
        <v>14</v>
      </c>
      <c r="S25" s="705">
        <f>F25</f>
        <v>100</v>
      </c>
      <c r="T25" s="704" t="s">
        <v>14</v>
      </c>
      <c r="U25" s="705">
        <f>H25</f>
        <v>100</v>
      </c>
      <c r="V25" s="704" t="s">
        <v>14</v>
      </c>
      <c r="W25" s="705">
        <f>J25</f>
        <v>100</v>
      </c>
      <c r="X25" s="1354"/>
      <c r="Y25" s="3691"/>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0"/>
      <c r="M26" s="2714"/>
      <c r="N26" s="2714"/>
      <c r="O26" s="2714"/>
      <c r="P26" s="3689"/>
      <c r="Q26" s="1351"/>
      <c r="R26" s="704"/>
      <c r="S26" s="705"/>
      <c r="T26" s="704"/>
      <c r="U26" s="705"/>
      <c r="V26" s="704"/>
      <c r="W26" s="705"/>
      <c r="X26" s="1354"/>
      <c r="Y26" s="3691"/>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0"/>
      <c r="M27" s="2714"/>
      <c r="N27" s="2714"/>
      <c r="O27" s="2714"/>
      <c r="P27" s="3689"/>
      <c r="Q27" s="1351" t="str">
        <f t="shared" ref="Q27:Q47" si="11">B27</f>
        <v>楼层</v>
      </c>
      <c r="R27" s="704" t="s">
        <v>14</v>
      </c>
      <c r="S27" s="705">
        <f>F27</f>
        <v>100</v>
      </c>
      <c r="T27" s="704" t="s">
        <v>14</v>
      </c>
      <c r="U27" s="705">
        <f>H27</f>
        <v>100</v>
      </c>
      <c r="V27" s="704" t="s">
        <v>14</v>
      </c>
      <c r="W27" s="705">
        <f>J27</f>
        <v>100</v>
      </c>
      <c r="X27" s="1354"/>
      <c r="Y27" s="3691"/>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689"/>
      <c r="Q28" s="1342" t="str">
        <f t="shared" si="11"/>
        <v>朝向</v>
      </c>
      <c r="R28" s="700" t="s">
        <v>14</v>
      </c>
      <c r="S28" s="701">
        <f>F28</f>
        <v>100</v>
      </c>
      <c r="T28" s="700" t="s">
        <v>14</v>
      </c>
      <c r="U28" s="701">
        <f>H28</f>
        <v>100</v>
      </c>
      <c r="V28" s="700" t="s">
        <v>14</v>
      </c>
      <c r="W28" s="701">
        <f>J28</f>
        <v>100</v>
      </c>
      <c r="X28" s="702"/>
      <c r="Y28" s="3691"/>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689"/>
      <c r="Q29" s="1351">
        <f t="shared" si="11"/>
        <v>111</v>
      </c>
      <c r="R29" s="704" t="s">
        <v>14</v>
      </c>
      <c r="S29" s="705">
        <f t="shared" ref="S29:S47" si="12">F29</f>
        <v>100</v>
      </c>
      <c r="T29" s="704" t="s">
        <v>14</v>
      </c>
      <c r="U29" s="705">
        <f t="shared" ref="U29:U47" si="13">H29</f>
        <v>100</v>
      </c>
      <c r="V29" s="704" t="s">
        <v>14</v>
      </c>
      <c r="W29" s="705">
        <f t="shared" ref="W29:W47" si="14">J29</f>
        <v>100</v>
      </c>
      <c r="X29" s="1354"/>
      <c r="Y29" s="3691"/>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689"/>
      <c r="Q30" s="1351">
        <f t="shared" si="11"/>
        <v>111</v>
      </c>
      <c r="R30" s="704" t="s">
        <v>14</v>
      </c>
      <c r="S30" s="705">
        <f t="shared" si="12"/>
        <v>100</v>
      </c>
      <c r="T30" s="704" t="s">
        <v>14</v>
      </c>
      <c r="U30" s="705">
        <f t="shared" si="13"/>
        <v>100</v>
      </c>
      <c r="V30" s="704" t="s">
        <v>14</v>
      </c>
      <c r="W30" s="705">
        <f t="shared" si="14"/>
        <v>100</v>
      </c>
      <c r="X30" s="1354"/>
      <c r="Y30" s="3691"/>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689"/>
      <c r="Q31" s="1351">
        <f t="shared" si="11"/>
        <v>111</v>
      </c>
      <c r="R31" s="704" t="s">
        <v>14</v>
      </c>
      <c r="S31" s="705">
        <f t="shared" si="12"/>
        <v>100</v>
      </c>
      <c r="T31" s="704" t="s">
        <v>14</v>
      </c>
      <c r="U31" s="705">
        <f t="shared" si="13"/>
        <v>100</v>
      </c>
      <c r="V31" s="704" t="s">
        <v>14</v>
      </c>
      <c r="W31" s="705">
        <f t="shared" si="14"/>
        <v>100</v>
      </c>
      <c r="X31" s="1354"/>
      <c r="Y31" s="3691"/>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689"/>
      <c r="Q32" s="1351">
        <f t="shared" si="11"/>
        <v>111</v>
      </c>
      <c r="R32" s="704" t="s">
        <v>14</v>
      </c>
      <c r="S32" s="705">
        <f t="shared" si="12"/>
        <v>100</v>
      </c>
      <c r="T32" s="704" t="s">
        <v>14</v>
      </c>
      <c r="U32" s="705">
        <f t="shared" si="13"/>
        <v>100</v>
      </c>
      <c r="V32" s="704" t="s">
        <v>14</v>
      </c>
      <c r="W32" s="705">
        <f t="shared" si="14"/>
        <v>100</v>
      </c>
      <c r="X32" s="1354"/>
      <c r="Y32" s="3691"/>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692" t="s">
        <v>1696</v>
      </c>
      <c r="Q33" s="1351" t="str">
        <f t="shared" si="11"/>
        <v>建筑类型</v>
      </c>
      <c r="R33" s="704" t="s">
        <v>14</v>
      </c>
      <c r="S33" s="705">
        <f t="shared" si="12"/>
        <v>100</v>
      </c>
      <c r="T33" s="704" t="s">
        <v>14</v>
      </c>
      <c r="U33" s="705">
        <f t="shared" si="13"/>
        <v>100</v>
      </c>
      <c r="V33" s="704" t="s">
        <v>14</v>
      </c>
      <c r="W33" s="705">
        <f t="shared" si="14"/>
        <v>100</v>
      </c>
      <c r="X33" s="1354"/>
      <c r="Y33" s="3695"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93"/>
      <c r="Q34" s="706" t="str">
        <f t="shared" si="11"/>
        <v>项目建筑规模</v>
      </c>
      <c r="R34" s="707" t="s">
        <v>14</v>
      </c>
      <c r="S34" s="708" t="e">
        <f t="shared" si="12"/>
        <v>#N/A</v>
      </c>
      <c r="T34" s="707" t="s">
        <v>14</v>
      </c>
      <c r="U34" s="708" t="e">
        <f t="shared" si="13"/>
        <v>#N/A</v>
      </c>
      <c r="V34" s="707" t="s">
        <v>14</v>
      </c>
      <c r="W34" s="708" t="e">
        <f t="shared" si="14"/>
        <v>#N/A</v>
      </c>
      <c r="X34" s="709"/>
      <c r="Y34" s="3695"/>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93"/>
      <c r="Q35" s="1351" t="str">
        <f t="shared" si="11"/>
        <v>建筑结构</v>
      </c>
      <c r="R35" s="704" t="s">
        <v>14</v>
      </c>
      <c r="S35" s="705">
        <f t="shared" si="12"/>
        <v>100</v>
      </c>
      <c r="T35" s="704" t="s">
        <v>14</v>
      </c>
      <c r="U35" s="705">
        <f t="shared" si="13"/>
        <v>100</v>
      </c>
      <c r="V35" s="704" t="s">
        <v>14</v>
      </c>
      <c r="W35" s="705">
        <f t="shared" si="14"/>
        <v>100</v>
      </c>
      <c r="X35" s="1354"/>
      <c r="Y35" s="3695"/>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93"/>
      <c r="Q36" s="1351" t="str">
        <f t="shared" si="11"/>
        <v>公共部分装修</v>
      </c>
      <c r="R36" s="704" t="s">
        <v>14</v>
      </c>
      <c r="S36" s="705">
        <f t="shared" si="12"/>
        <v>100</v>
      </c>
      <c r="T36" s="704" t="s">
        <v>14</v>
      </c>
      <c r="U36" s="705">
        <f t="shared" si="13"/>
        <v>100</v>
      </c>
      <c r="V36" s="704" t="s">
        <v>14</v>
      </c>
      <c r="W36" s="705">
        <f t="shared" si="14"/>
        <v>100</v>
      </c>
      <c r="X36" s="1354"/>
      <c r="Y36" s="3695"/>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93"/>
      <c r="Q37" s="1351" t="str">
        <f t="shared" si="11"/>
        <v>成新度</v>
      </c>
      <c r="R37" s="704" t="s">
        <v>14</v>
      </c>
      <c r="S37" s="705" t="e">
        <f t="shared" si="12"/>
        <v>#N/A</v>
      </c>
      <c r="T37" s="704" t="s">
        <v>14</v>
      </c>
      <c r="U37" s="705" t="e">
        <f t="shared" si="13"/>
        <v>#N/A</v>
      </c>
      <c r="V37" s="704" t="s">
        <v>14</v>
      </c>
      <c r="W37" s="705" t="e">
        <f t="shared" si="14"/>
        <v>#N/A</v>
      </c>
      <c r="X37" s="1354"/>
      <c r="Y37" s="3695"/>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3"/>
      <c r="Q38" s="1342" t="str">
        <f t="shared" si="11"/>
        <v>写字楼等级</v>
      </c>
      <c r="R38" s="700" t="s">
        <v>14</v>
      </c>
      <c r="S38" s="701">
        <f t="shared" si="12"/>
        <v>100</v>
      </c>
      <c r="T38" s="700" t="s">
        <v>14</v>
      </c>
      <c r="U38" s="701">
        <f t="shared" si="13"/>
        <v>100</v>
      </c>
      <c r="V38" s="700" t="s">
        <v>14</v>
      </c>
      <c r="W38" s="701">
        <f t="shared" si="14"/>
        <v>100</v>
      </c>
      <c r="X38" s="702"/>
      <c r="Y38" s="3695"/>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93" t="s">
        <v>1696</v>
      </c>
      <c r="Q39" s="1351" t="str">
        <f t="shared" si="11"/>
        <v>物业管理</v>
      </c>
      <c r="R39" s="704" t="s">
        <v>14</v>
      </c>
      <c r="S39" s="705">
        <f t="shared" si="12"/>
        <v>100</v>
      </c>
      <c r="T39" s="704" t="s">
        <v>14</v>
      </c>
      <c r="U39" s="705">
        <f t="shared" si="13"/>
        <v>100</v>
      </c>
      <c r="V39" s="704" t="s">
        <v>14</v>
      </c>
      <c r="W39" s="705">
        <f t="shared" si="14"/>
        <v>100</v>
      </c>
      <c r="X39" s="1354"/>
      <c r="Y39" s="3695"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93"/>
      <c r="Q40" s="1351" t="str">
        <f t="shared" si="11"/>
        <v>市政基础设施</v>
      </c>
      <c r="R40" s="704" t="s">
        <v>14</v>
      </c>
      <c r="S40" s="705">
        <f t="shared" si="12"/>
        <v>100</v>
      </c>
      <c r="T40" s="704" t="s">
        <v>14</v>
      </c>
      <c r="U40" s="705">
        <f t="shared" si="13"/>
        <v>100</v>
      </c>
      <c r="V40" s="704" t="s">
        <v>14</v>
      </c>
      <c r="W40" s="705">
        <f t="shared" si="14"/>
        <v>100</v>
      </c>
      <c r="X40" s="1354"/>
      <c r="Y40" s="3695"/>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3"/>
      <c r="Q41" s="1351" t="str">
        <f t="shared" si="11"/>
        <v>层高</v>
      </c>
      <c r="R41" s="704" t="s">
        <v>14</v>
      </c>
      <c r="S41" s="705">
        <f t="shared" si="12"/>
        <v>100</v>
      </c>
      <c r="T41" s="704" t="s">
        <v>14</v>
      </c>
      <c r="U41" s="705">
        <f t="shared" si="13"/>
        <v>100</v>
      </c>
      <c r="V41" s="704" t="s">
        <v>14</v>
      </c>
      <c r="W41" s="705">
        <f t="shared" si="14"/>
        <v>100</v>
      </c>
      <c r="X41" s="1354"/>
      <c r="Y41" s="3695"/>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3"/>
      <c r="Q42" s="706" t="str">
        <f t="shared" si="11"/>
        <v>单套建筑面积</v>
      </c>
      <c r="R42" s="707" t="s">
        <v>14</v>
      </c>
      <c r="S42" s="708">
        <f t="shared" si="12"/>
        <v>100</v>
      </c>
      <c r="T42" s="707" t="s">
        <v>14</v>
      </c>
      <c r="U42" s="708">
        <f t="shared" si="13"/>
        <v>100</v>
      </c>
      <c r="V42" s="707" t="s">
        <v>14</v>
      </c>
      <c r="W42" s="708">
        <f t="shared" si="14"/>
        <v>100</v>
      </c>
      <c r="X42" s="709"/>
      <c r="Y42" s="3695"/>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93"/>
      <c r="Q43" s="1351" t="str">
        <f t="shared" si="11"/>
        <v>内部装修</v>
      </c>
      <c r="R43" s="704" t="s">
        <v>14</v>
      </c>
      <c r="S43" s="705">
        <f t="shared" si="12"/>
        <v>100</v>
      </c>
      <c r="T43" s="704" t="s">
        <v>14</v>
      </c>
      <c r="U43" s="705">
        <f t="shared" si="13"/>
        <v>100</v>
      </c>
      <c r="V43" s="704" t="s">
        <v>14</v>
      </c>
      <c r="W43" s="705">
        <f t="shared" si="14"/>
        <v>100</v>
      </c>
      <c r="X43" s="1354"/>
      <c r="Y43" s="3695"/>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693"/>
      <c r="Q44" s="1351" t="str">
        <f t="shared" si="11"/>
        <v>内部装修维护情况</v>
      </c>
      <c r="R44" s="704" t="s">
        <v>14</v>
      </c>
      <c r="S44" s="705">
        <f t="shared" si="12"/>
        <v>100</v>
      </c>
      <c r="T44" s="704" t="s">
        <v>14</v>
      </c>
      <c r="U44" s="705">
        <f t="shared" si="13"/>
        <v>100</v>
      </c>
      <c r="V44" s="704" t="s">
        <v>14</v>
      </c>
      <c r="W44" s="705">
        <f t="shared" si="14"/>
        <v>100</v>
      </c>
      <c r="X44" s="1354"/>
      <c r="Y44" s="3695"/>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3"/>
      <c r="Q45" s="1342">
        <f t="shared" si="11"/>
        <v>111</v>
      </c>
      <c r="R45" s="700" t="s">
        <v>14</v>
      </c>
      <c r="S45" s="701">
        <f t="shared" si="12"/>
        <v>100</v>
      </c>
      <c r="T45" s="700" t="s">
        <v>14</v>
      </c>
      <c r="U45" s="701">
        <f t="shared" si="13"/>
        <v>100</v>
      </c>
      <c r="V45" s="700" t="s">
        <v>14</v>
      </c>
      <c r="W45" s="701">
        <f t="shared" si="14"/>
        <v>100</v>
      </c>
      <c r="X45" s="702"/>
      <c r="Y45" s="3695"/>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3"/>
      <c r="Q46" s="1351">
        <f t="shared" si="11"/>
        <v>111</v>
      </c>
      <c r="R46" s="704" t="s">
        <v>14</v>
      </c>
      <c r="S46" s="705">
        <f t="shared" si="12"/>
        <v>100</v>
      </c>
      <c r="T46" s="704" t="s">
        <v>14</v>
      </c>
      <c r="U46" s="705">
        <f t="shared" si="13"/>
        <v>100</v>
      </c>
      <c r="V46" s="704" t="s">
        <v>14</v>
      </c>
      <c r="W46" s="705">
        <f t="shared" si="14"/>
        <v>100</v>
      </c>
      <c r="X46" s="1354"/>
      <c r="Y46" s="3695"/>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4"/>
      <c r="Q47" s="1351">
        <f t="shared" si="11"/>
        <v>111</v>
      </c>
      <c r="R47" s="704" t="s">
        <v>14</v>
      </c>
      <c r="S47" s="705">
        <f t="shared" si="12"/>
        <v>100</v>
      </c>
      <c r="T47" s="704" t="s">
        <v>14</v>
      </c>
      <c r="U47" s="705">
        <f t="shared" si="13"/>
        <v>100</v>
      </c>
      <c r="V47" s="704" t="s">
        <v>14</v>
      </c>
      <c r="W47" s="705">
        <f t="shared" si="14"/>
        <v>100</v>
      </c>
      <c r="X47" s="1354"/>
      <c r="Y47" s="3696"/>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2"/>
      <c r="M48" s="2714"/>
      <c r="N48" s="2714"/>
      <c r="O48" s="2714"/>
      <c r="P48" s="3698" t="str">
        <f>A48</f>
        <v>成交单价（元/平方米）</v>
      </c>
      <c r="Q48" s="3683"/>
      <c r="R48" s="3684">
        <f>E48</f>
        <v>0</v>
      </c>
      <c r="S48" s="3684"/>
      <c r="T48" s="3684">
        <f>G48</f>
        <v>0</v>
      </c>
      <c r="U48" s="3684"/>
      <c r="V48" s="3684">
        <f>I48</f>
        <v>0</v>
      </c>
      <c r="W48" s="3684"/>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2"/>
      <c r="M49" s="2714"/>
      <c r="N49" s="2714"/>
      <c r="O49" s="2714"/>
      <c r="P49" s="3698"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2"/>
      <c r="M50" s="2714"/>
      <c r="N50" s="2714"/>
      <c r="O50" s="2714"/>
      <c r="P50" s="3780" t="str">
        <f>A50</f>
        <v>估价对象XX用房的比较价值（楼面单价，元/平方米）</v>
      </c>
      <c r="Q50" s="3781"/>
      <c r="R50" s="3782" t="e">
        <f>IF(F1="售价",ROUND(IF(D49="简单平均",AVERAGE(R49:V49),R49*F49+T49*H49+V49*J49),0),ROUND(IF(D49="简单平均",AVERAGE(R49:V49),R49*F49+T49*H49+V49*J49),1))</f>
        <v>#DIV/0!</v>
      </c>
      <c r="S50" s="3782"/>
      <c r="T50" s="3782"/>
      <c r="U50" s="3782"/>
      <c r="V50" s="3782"/>
      <c r="W50" s="3782"/>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2025-6</v>
      </c>
      <c r="D59" s="1184">
        <f>EDATE(C59,-1)</f>
        <v>45778</v>
      </c>
      <c r="E59" s="1184">
        <f>EDATE(D59,-1)</f>
        <v>45748</v>
      </c>
      <c r="F59" s="1184">
        <f t="shared" ref="F59:O59" si="16">EDATE(E59,-1)</f>
        <v>45717</v>
      </c>
      <c r="G59" s="1184">
        <f t="shared" si="16"/>
        <v>45689</v>
      </c>
      <c r="H59" s="1184">
        <f t="shared" si="16"/>
        <v>45658</v>
      </c>
      <c r="I59" s="1184">
        <f t="shared" si="16"/>
        <v>45627</v>
      </c>
      <c r="J59" s="1184">
        <f t="shared" si="16"/>
        <v>45597</v>
      </c>
      <c r="K59" s="1184">
        <f t="shared" si="16"/>
        <v>45566</v>
      </c>
      <c r="L59" s="1184">
        <f t="shared" si="16"/>
        <v>45536</v>
      </c>
      <c r="M59" s="1184">
        <f t="shared" si="16"/>
        <v>45505</v>
      </c>
      <c r="N59" s="1184">
        <f t="shared" si="16"/>
        <v>45474</v>
      </c>
      <c r="O59" s="1184">
        <f t="shared" si="16"/>
        <v>45444</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47.88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02" t="s">
        <v>1770</v>
      </c>
      <c r="D4" s="3703"/>
      <c r="E4" s="3704" t="s">
        <v>1771</v>
      </c>
      <c r="F4" s="3705"/>
      <c r="G4" s="3702" t="s">
        <v>1772</v>
      </c>
      <c r="H4" s="3703"/>
      <c r="I4" s="3702" t="s">
        <v>1773</v>
      </c>
      <c r="J4" s="3703"/>
      <c r="K4" s="559" t="s">
        <v>1774</v>
      </c>
      <c r="L4" s="912"/>
      <c r="M4" s="913"/>
      <c r="N4" s="913"/>
      <c r="O4" s="913"/>
      <c r="P4" s="3706" t="s">
        <v>1775</v>
      </c>
      <c r="Q4" s="3707"/>
      <c r="R4" s="3712" t="s">
        <v>1771</v>
      </c>
      <c r="S4" s="3713"/>
      <c r="T4" s="3712" t="s">
        <v>1772</v>
      </c>
      <c r="U4" s="3713"/>
      <c r="V4" s="3697" t="s">
        <v>1773</v>
      </c>
      <c r="W4" s="3697"/>
      <c r="X4" s="1354"/>
      <c r="Y4" s="3712" t="s">
        <v>1775</v>
      </c>
      <c r="Z4" s="3713"/>
      <c r="AA4" s="3699" t="s">
        <v>1771</v>
      </c>
      <c r="AB4" s="3700" t="s">
        <v>1772</v>
      </c>
      <c r="AC4" s="3699" t="s">
        <v>1773</v>
      </c>
    </row>
    <row r="5" spans="1:29" ht="15">
      <c r="A5" s="358"/>
      <c r="B5" s="359"/>
      <c r="C5" s="3778" t="s">
        <v>1673</v>
      </c>
      <c r="D5" s="3721"/>
      <c r="E5" s="3779" t="s">
        <v>1674</v>
      </c>
      <c r="F5" s="3729"/>
      <c r="G5" s="3778" t="s">
        <v>1675</v>
      </c>
      <c r="H5" s="3721"/>
      <c r="I5" s="3778" t="s">
        <v>1676</v>
      </c>
      <c r="J5" s="3721"/>
      <c r="K5" s="559"/>
      <c r="L5" s="912"/>
      <c r="M5" s="913"/>
      <c r="N5" s="913"/>
      <c r="O5" s="913"/>
      <c r="P5" s="3708"/>
      <c r="Q5" s="3709"/>
      <c r="R5" s="3714"/>
      <c r="S5" s="3715"/>
      <c r="T5" s="3714"/>
      <c r="U5" s="3715"/>
      <c r="V5" s="3697"/>
      <c r="W5" s="3697"/>
      <c r="X5" s="1354"/>
      <c r="Y5" s="3714"/>
      <c r="Z5" s="3715"/>
      <c r="AA5" s="3700"/>
      <c r="AB5" s="3700"/>
      <c r="AC5" s="3700"/>
    </row>
    <row r="6" spans="1:29" ht="15.75" thickBot="1">
      <c r="A6" s="360"/>
      <c r="B6" s="361"/>
      <c r="C6" s="3725" t="s">
        <v>1677</v>
      </c>
      <c r="D6" s="3719"/>
      <c r="E6" s="3726" t="s">
        <v>1677</v>
      </c>
      <c r="F6" s="3727"/>
      <c r="G6" s="3725" t="s">
        <v>1677</v>
      </c>
      <c r="H6" s="3719"/>
      <c r="I6" s="3725" t="s">
        <v>1677</v>
      </c>
      <c r="J6" s="3719"/>
      <c r="K6" s="559" t="s">
        <v>1678</v>
      </c>
      <c r="L6" s="912"/>
      <c r="M6" s="913"/>
      <c r="N6" s="913"/>
      <c r="O6" s="913"/>
      <c r="P6" s="3710"/>
      <c r="Q6" s="3711"/>
      <c r="R6" s="3714"/>
      <c r="S6" s="3715"/>
      <c r="T6" s="3716"/>
      <c r="U6" s="3717"/>
      <c r="V6" s="3697"/>
      <c r="W6" s="3697"/>
      <c r="X6" s="1354"/>
      <c r="Y6" s="3716"/>
      <c r="Z6" s="3717"/>
      <c r="AA6" s="3701"/>
      <c r="AB6" s="3701"/>
      <c r="AC6" s="3701"/>
    </row>
    <row r="7" spans="1:29" s="108" customFormat="1" ht="15.75" thickBot="1">
      <c r="A7" s="362" t="s">
        <v>1679</v>
      </c>
      <c r="B7" s="363"/>
      <c r="C7" s="364">
        <f>'数据-取费表'!B2</f>
        <v>45821</v>
      </c>
      <c r="D7" s="365">
        <v>100</v>
      </c>
      <c r="E7" s="366"/>
      <c r="F7" s="367">
        <f>SUMIF(52:52,YEAR(E7)&amp;"-"&amp;MONTH(E7),53:53)</f>
        <v>0</v>
      </c>
      <c r="G7" s="366"/>
      <c r="H7" s="365">
        <f>SUMIF(52:52,YEAR(G7)&amp;"-"&amp;MONTH(G7),53:53)</f>
        <v>0</v>
      </c>
      <c r="I7" s="366"/>
      <c r="J7" s="365">
        <f>SUMIF(52:52,YEAR(I7)&amp;"-"&amp;MONTH(I7),53:53)</f>
        <v>0</v>
      </c>
      <c r="K7" s="560"/>
      <c r="L7" s="914"/>
      <c r="M7" s="915"/>
      <c r="N7" s="915"/>
      <c r="O7" s="915"/>
      <c r="P7" s="3722" t="s">
        <v>1680</v>
      </c>
      <c r="Q7" s="3724"/>
      <c r="R7" s="700" t="s">
        <v>14</v>
      </c>
      <c r="S7" s="701">
        <f t="shared" ref="S7:S15" si="0">F7</f>
        <v>0</v>
      </c>
      <c r="T7" s="700" t="s">
        <v>14</v>
      </c>
      <c r="U7" s="701">
        <f t="shared" ref="U7:U15" si="1">H7</f>
        <v>0</v>
      </c>
      <c r="V7" s="700" t="s">
        <v>14</v>
      </c>
      <c r="W7" s="701">
        <f t="shared" ref="W7:W15" si="2">J7</f>
        <v>0</v>
      </c>
      <c r="X7" s="702"/>
      <c r="Y7" s="3722" t="s">
        <v>1680</v>
      </c>
      <c r="Z7" s="372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22" t="s">
        <v>1683</v>
      </c>
      <c r="Q8" s="3723"/>
      <c r="R8" s="700" t="s">
        <v>14</v>
      </c>
      <c r="S8" s="701">
        <f t="shared" si="0"/>
        <v>100</v>
      </c>
      <c r="T8" s="700" t="s">
        <v>14</v>
      </c>
      <c r="U8" s="701">
        <f t="shared" si="1"/>
        <v>100</v>
      </c>
      <c r="V8" s="700" t="s">
        <v>14</v>
      </c>
      <c r="W8" s="701">
        <f t="shared" si="2"/>
        <v>100</v>
      </c>
      <c r="X8" s="702"/>
      <c r="Y8" s="3722" t="s">
        <v>1683</v>
      </c>
      <c r="Z8" s="372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83" t="s">
        <v>1686</v>
      </c>
      <c r="Q9" s="1342" t="str">
        <f t="shared" ref="Q9:Q15" si="6">B9</f>
        <v>用途</v>
      </c>
      <c r="R9" s="700" t="s">
        <v>14</v>
      </c>
      <c r="S9" s="701">
        <f t="shared" si="0"/>
        <v>100</v>
      </c>
      <c r="T9" s="700" t="s">
        <v>14</v>
      </c>
      <c r="U9" s="701">
        <f t="shared" si="1"/>
        <v>100</v>
      </c>
      <c r="V9" s="700" t="s">
        <v>14</v>
      </c>
      <c r="W9" s="701">
        <f t="shared" si="2"/>
        <v>100</v>
      </c>
      <c r="X9" s="702"/>
      <c r="Y9" s="3590"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83"/>
      <c r="Q10" s="1342" t="str">
        <f t="shared" si="6"/>
        <v>土地使用年限（年）</v>
      </c>
      <c r="R10" s="700" t="s">
        <v>14</v>
      </c>
      <c r="S10" s="701">
        <f t="shared" si="0"/>
        <v>100</v>
      </c>
      <c r="T10" s="700" t="s">
        <v>14</v>
      </c>
      <c r="U10" s="701">
        <f t="shared" si="1"/>
        <v>100</v>
      </c>
      <c r="V10" s="700" t="s">
        <v>14</v>
      </c>
      <c r="W10" s="701">
        <f t="shared" si="2"/>
        <v>100</v>
      </c>
      <c r="X10" s="702"/>
      <c r="Y10" s="3590"/>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83"/>
      <c r="Q11" s="1342" t="str">
        <f t="shared" si="6"/>
        <v>容积率</v>
      </c>
      <c r="R11" s="700" t="s">
        <v>14</v>
      </c>
      <c r="S11" s="701">
        <f t="shared" si="0"/>
        <v>100</v>
      </c>
      <c r="T11" s="700" t="s">
        <v>14</v>
      </c>
      <c r="U11" s="701">
        <f t="shared" si="1"/>
        <v>100</v>
      </c>
      <c r="V11" s="700" t="s">
        <v>14</v>
      </c>
      <c r="W11" s="701">
        <f t="shared" si="2"/>
        <v>100</v>
      </c>
      <c r="X11" s="702"/>
      <c r="Y11" s="3590"/>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83"/>
      <c r="Q12" s="1342">
        <f t="shared" si="6"/>
        <v>111</v>
      </c>
      <c r="R12" s="700" t="s">
        <v>14</v>
      </c>
      <c r="S12" s="701">
        <f t="shared" si="0"/>
        <v>100</v>
      </c>
      <c r="T12" s="700" t="s">
        <v>14</v>
      </c>
      <c r="U12" s="701">
        <f t="shared" si="1"/>
        <v>100</v>
      </c>
      <c r="V12" s="700" t="s">
        <v>14</v>
      </c>
      <c r="W12" s="701">
        <f t="shared" si="2"/>
        <v>100</v>
      </c>
      <c r="X12" s="702"/>
      <c r="Y12" s="3590"/>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83"/>
      <c r="Q13" s="1342">
        <f t="shared" si="6"/>
        <v>111</v>
      </c>
      <c r="R13" s="700" t="s">
        <v>14</v>
      </c>
      <c r="S13" s="701">
        <f t="shared" si="0"/>
        <v>100</v>
      </c>
      <c r="T13" s="700" t="s">
        <v>14</v>
      </c>
      <c r="U13" s="701">
        <f t="shared" si="1"/>
        <v>100</v>
      </c>
      <c r="V13" s="700" t="s">
        <v>14</v>
      </c>
      <c r="W13" s="701">
        <f t="shared" si="2"/>
        <v>100</v>
      </c>
      <c r="X13" s="702"/>
      <c r="Y13" s="3590"/>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83"/>
      <c r="Q14" s="1342">
        <f t="shared" si="6"/>
        <v>111</v>
      </c>
      <c r="R14" s="700" t="s">
        <v>14</v>
      </c>
      <c r="S14" s="701">
        <f t="shared" si="0"/>
        <v>100</v>
      </c>
      <c r="T14" s="700" t="s">
        <v>14</v>
      </c>
      <c r="U14" s="701">
        <f t="shared" si="1"/>
        <v>100</v>
      </c>
      <c r="V14" s="700" t="s">
        <v>14</v>
      </c>
      <c r="W14" s="701">
        <f t="shared" si="2"/>
        <v>100</v>
      </c>
      <c r="X14" s="702"/>
      <c r="Y14" s="3590"/>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0" t="s">
        <v>1691</v>
      </c>
      <c r="Q15" s="1351" t="str">
        <f t="shared" si="6"/>
        <v>产业集聚程度</v>
      </c>
      <c r="R15" s="704" t="s">
        <v>14</v>
      </c>
      <c r="S15" s="705">
        <f t="shared" si="0"/>
        <v>100</v>
      </c>
      <c r="T15" s="704" t="s">
        <v>14</v>
      </c>
      <c r="U15" s="705">
        <f t="shared" si="1"/>
        <v>100</v>
      </c>
      <c r="V15" s="704" t="s">
        <v>14</v>
      </c>
      <c r="W15" s="705">
        <f t="shared" si="2"/>
        <v>100</v>
      </c>
      <c r="X15" s="1354"/>
      <c r="Y15" s="3690"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91"/>
      <c r="Q16" s="1351"/>
      <c r="R16" s="704"/>
      <c r="S16" s="705"/>
      <c r="T16" s="704"/>
      <c r="U16" s="705"/>
      <c r="V16" s="704"/>
      <c r="W16" s="705"/>
      <c r="X16" s="1354"/>
      <c r="Y16" s="3691"/>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1"/>
      <c r="Q17" s="1351" t="str">
        <f>B17</f>
        <v>交通便捷度</v>
      </c>
      <c r="R17" s="704" t="s">
        <v>14</v>
      </c>
      <c r="S17" s="705">
        <f>F17</f>
        <v>100</v>
      </c>
      <c r="T17" s="704" t="s">
        <v>14</v>
      </c>
      <c r="U17" s="705">
        <f>H17</f>
        <v>100</v>
      </c>
      <c r="V17" s="704" t="s">
        <v>14</v>
      </c>
      <c r="W17" s="705">
        <f>J17</f>
        <v>100</v>
      </c>
      <c r="X17" s="1354"/>
      <c r="Y17" s="369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91"/>
      <c r="Q18" s="1351"/>
      <c r="R18" s="704"/>
      <c r="S18" s="705"/>
      <c r="T18" s="704"/>
      <c r="U18" s="705"/>
      <c r="V18" s="704"/>
      <c r="W18" s="705"/>
      <c r="X18" s="1354"/>
      <c r="Y18" s="3691"/>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1"/>
      <c r="Q19" s="1351" t="str">
        <f>B19</f>
        <v>公共配套设施</v>
      </c>
      <c r="R19" s="704" t="s">
        <v>14</v>
      </c>
      <c r="S19" s="705">
        <f>F19</f>
        <v>100</v>
      </c>
      <c r="T19" s="704" t="s">
        <v>14</v>
      </c>
      <c r="U19" s="705">
        <f>H19</f>
        <v>100</v>
      </c>
      <c r="V19" s="704" t="s">
        <v>14</v>
      </c>
      <c r="W19" s="705">
        <f>J19</f>
        <v>100</v>
      </c>
      <c r="X19" s="1354"/>
      <c r="Y19" s="369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91"/>
      <c r="Q20" s="1351"/>
      <c r="R20" s="704"/>
      <c r="S20" s="705"/>
      <c r="T20" s="704"/>
      <c r="U20" s="705"/>
      <c r="V20" s="704"/>
      <c r="W20" s="705"/>
      <c r="X20" s="1354"/>
      <c r="Y20" s="3691"/>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1"/>
      <c r="Q21" s="1351" t="str">
        <f>B21</f>
        <v>基础设施水平</v>
      </c>
      <c r="R21" s="704" t="s">
        <v>14</v>
      </c>
      <c r="S21" s="705">
        <f>F21</f>
        <v>100</v>
      </c>
      <c r="T21" s="704" t="s">
        <v>14</v>
      </c>
      <c r="U21" s="705">
        <f>H21</f>
        <v>100</v>
      </c>
      <c r="V21" s="704" t="s">
        <v>14</v>
      </c>
      <c r="W21" s="705">
        <f>J21</f>
        <v>100</v>
      </c>
      <c r="X21" s="1354"/>
      <c r="Y21" s="369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91"/>
      <c r="Q22" s="1351"/>
      <c r="R22" s="704"/>
      <c r="S22" s="705"/>
      <c r="T22" s="704"/>
      <c r="U22" s="705"/>
      <c r="V22" s="704"/>
      <c r="W22" s="705"/>
      <c r="X22" s="1354"/>
      <c r="Y22" s="3691"/>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1"/>
      <c r="Q23" s="1351" t="str">
        <f>B23</f>
        <v>环境质量</v>
      </c>
      <c r="R23" s="704" t="s">
        <v>14</v>
      </c>
      <c r="S23" s="705">
        <f>F23</f>
        <v>100</v>
      </c>
      <c r="T23" s="704" t="s">
        <v>14</v>
      </c>
      <c r="U23" s="705">
        <f>H23</f>
        <v>100</v>
      </c>
      <c r="V23" s="704" t="s">
        <v>14</v>
      </c>
      <c r="W23" s="705">
        <f>J23</f>
        <v>100</v>
      </c>
      <c r="X23" s="1354"/>
      <c r="Y23" s="3691"/>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91"/>
      <c r="Q24" s="1351"/>
      <c r="R24" s="704"/>
      <c r="S24" s="705"/>
      <c r="T24" s="704"/>
      <c r="U24" s="705"/>
      <c r="V24" s="704"/>
      <c r="W24" s="705"/>
      <c r="X24" s="1354"/>
      <c r="Y24" s="3691"/>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1"/>
      <c r="Q25" s="1351">
        <f>B25</f>
        <v>111</v>
      </c>
      <c r="R25" s="704" t="s">
        <v>14</v>
      </c>
      <c r="S25" s="705">
        <f>F25</f>
        <v>100</v>
      </c>
      <c r="T25" s="704" t="s">
        <v>14</v>
      </c>
      <c r="U25" s="705">
        <f>H25</f>
        <v>100</v>
      </c>
      <c r="V25" s="704" t="s">
        <v>14</v>
      </c>
      <c r="W25" s="705">
        <f>J25</f>
        <v>100</v>
      </c>
      <c r="X25" s="1354"/>
      <c r="Y25" s="3691"/>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1"/>
      <c r="Q26" s="1351">
        <f t="shared" ref="Q26:Q40" si="11">B26</f>
        <v>111</v>
      </c>
      <c r="R26" s="704" t="s">
        <v>14</v>
      </c>
      <c r="S26" s="705">
        <f>F26</f>
        <v>100</v>
      </c>
      <c r="T26" s="704" t="s">
        <v>14</v>
      </c>
      <c r="U26" s="705">
        <f>H26</f>
        <v>100</v>
      </c>
      <c r="V26" s="704" t="s">
        <v>14</v>
      </c>
      <c r="W26" s="705">
        <f>J26</f>
        <v>100</v>
      </c>
      <c r="X26" s="1354"/>
      <c r="Y26" s="3691"/>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1"/>
      <c r="Q27" s="1342">
        <f t="shared" si="11"/>
        <v>111</v>
      </c>
      <c r="R27" s="700" t="s">
        <v>14</v>
      </c>
      <c r="S27" s="701">
        <f>F27</f>
        <v>100</v>
      </c>
      <c r="T27" s="700" t="s">
        <v>14</v>
      </c>
      <c r="U27" s="701">
        <f>H27</f>
        <v>100</v>
      </c>
      <c r="V27" s="700" t="s">
        <v>14</v>
      </c>
      <c r="W27" s="701">
        <f>J27</f>
        <v>100</v>
      </c>
      <c r="X27" s="702"/>
      <c r="Y27" s="3691"/>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1"/>
      <c r="Q28" s="1351">
        <f t="shared" si="11"/>
        <v>111</v>
      </c>
      <c r="R28" s="704" t="s">
        <v>14</v>
      </c>
      <c r="S28" s="705">
        <f t="shared" ref="S28:S40" si="12">F28</f>
        <v>100</v>
      </c>
      <c r="T28" s="704" t="s">
        <v>14</v>
      </c>
      <c r="U28" s="705">
        <f t="shared" ref="U28:U40" si="13">H28</f>
        <v>100</v>
      </c>
      <c r="V28" s="704" t="s">
        <v>14</v>
      </c>
      <c r="W28" s="705">
        <f t="shared" ref="W28:W40" si="14">J28</f>
        <v>100</v>
      </c>
      <c r="X28" s="1354"/>
      <c r="Y28" s="3691"/>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95" t="s">
        <v>1696</v>
      </c>
      <c r="Q29" s="1351" t="str">
        <f t="shared" si="11"/>
        <v>建筑类型</v>
      </c>
      <c r="R29" s="704" t="s">
        <v>14</v>
      </c>
      <c r="S29" s="705">
        <f t="shared" si="12"/>
        <v>100</v>
      </c>
      <c r="T29" s="704" t="s">
        <v>14</v>
      </c>
      <c r="U29" s="705">
        <f t="shared" si="13"/>
        <v>100</v>
      </c>
      <c r="V29" s="704" t="s">
        <v>14</v>
      </c>
      <c r="W29" s="705">
        <f t="shared" si="14"/>
        <v>100</v>
      </c>
      <c r="X29" s="1354"/>
      <c r="Y29" s="369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5"/>
      <c r="Q30" s="706" t="str">
        <f t="shared" si="11"/>
        <v>项目建筑规模</v>
      </c>
      <c r="R30" s="707" t="s">
        <v>14</v>
      </c>
      <c r="S30" s="708" t="e">
        <f t="shared" si="12"/>
        <v>#N/A</v>
      </c>
      <c r="T30" s="707" t="s">
        <v>14</v>
      </c>
      <c r="U30" s="708" t="e">
        <f t="shared" si="13"/>
        <v>#N/A</v>
      </c>
      <c r="V30" s="707" t="s">
        <v>14</v>
      </c>
      <c r="W30" s="708" t="e">
        <f t="shared" si="14"/>
        <v>#N/A</v>
      </c>
      <c r="X30" s="709"/>
      <c r="Y30" s="3695"/>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5"/>
      <c r="Q31" s="1351" t="str">
        <f t="shared" si="11"/>
        <v>建筑结构</v>
      </c>
      <c r="R31" s="704" t="s">
        <v>14</v>
      </c>
      <c r="S31" s="705">
        <f t="shared" si="12"/>
        <v>100</v>
      </c>
      <c r="T31" s="704" t="s">
        <v>14</v>
      </c>
      <c r="U31" s="705">
        <f t="shared" si="13"/>
        <v>100</v>
      </c>
      <c r="V31" s="704" t="s">
        <v>14</v>
      </c>
      <c r="W31" s="705">
        <f t="shared" si="14"/>
        <v>100</v>
      </c>
      <c r="X31" s="1354"/>
      <c r="Y31" s="369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5"/>
      <c r="Q32" s="1351" t="str">
        <f t="shared" si="11"/>
        <v>公共部分装修</v>
      </c>
      <c r="R32" s="704" t="s">
        <v>14</v>
      </c>
      <c r="S32" s="705">
        <f t="shared" si="12"/>
        <v>100</v>
      </c>
      <c r="T32" s="704" t="s">
        <v>14</v>
      </c>
      <c r="U32" s="705">
        <f t="shared" si="13"/>
        <v>100</v>
      </c>
      <c r="V32" s="704" t="s">
        <v>14</v>
      </c>
      <c r="W32" s="705">
        <f t="shared" si="14"/>
        <v>100</v>
      </c>
      <c r="X32" s="1354"/>
      <c r="Y32" s="3695"/>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5"/>
      <c r="Q33" s="1351" t="str">
        <f t="shared" si="11"/>
        <v>成新度</v>
      </c>
      <c r="R33" s="704" t="s">
        <v>14</v>
      </c>
      <c r="S33" s="705" t="e">
        <f t="shared" si="12"/>
        <v>#N/A</v>
      </c>
      <c r="T33" s="704" t="s">
        <v>14</v>
      </c>
      <c r="U33" s="705" t="e">
        <f t="shared" si="13"/>
        <v>#N/A</v>
      </c>
      <c r="V33" s="704" t="s">
        <v>14</v>
      </c>
      <c r="W33" s="705" t="e">
        <f t="shared" si="14"/>
        <v>#N/A</v>
      </c>
      <c r="X33" s="1354"/>
      <c r="Y33" s="3695"/>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5"/>
      <c r="Q34" s="1342" t="str">
        <f t="shared" si="11"/>
        <v>物业管理</v>
      </c>
      <c r="R34" s="700" t="s">
        <v>14</v>
      </c>
      <c r="S34" s="701">
        <f t="shared" si="12"/>
        <v>100</v>
      </c>
      <c r="T34" s="700" t="s">
        <v>14</v>
      </c>
      <c r="U34" s="701">
        <f t="shared" si="13"/>
        <v>100</v>
      </c>
      <c r="V34" s="700" t="s">
        <v>14</v>
      </c>
      <c r="W34" s="701">
        <f t="shared" si="14"/>
        <v>100</v>
      </c>
      <c r="X34" s="702"/>
      <c r="Y34" s="3695"/>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5" t="s">
        <v>1696</v>
      </c>
      <c r="Q35" s="1351" t="str">
        <f t="shared" si="11"/>
        <v>市政基础设施</v>
      </c>
      <c r="R35" s="704" t="s">
        <v>14</v>
      </c>
      <c r="S35" s="705">
        <f t="shared" si="12"/>
        <v>100</v>
      </c>
      <c r="T35" s="704" t="s">
        <v>14</v>
      </c>
      <c r="U35" s="705">
        <f t="shared" si="13"/>
        <v>100</v>
      </c>
      <c r="V35" s="704" t="s">
        <v>14</v>
      </c>
      <c r="W35" s="705">
        <f t="shared" si="14"/>
        <v>100</v>
      </c>
      <c r="X35" s="1354"/>
      <c r="Y35" s="3695"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5"/>
      <c r="Q36" s="1351" t="str">
        <f t="shared" si="11"/>
        <v>内部装修</v>
      </c>
      <c r="R36" s="704" t="s">
        <v>14</v>
      </c>
      <c r="S36" s="705">
        <f t="shared" si="12"/>
        <v>100</v>
      </c>
      <c r="T36" s="704" t="s">
        <v>14</v>
      </c>
      <c r="U36" s="705">
        <f t="shared" si="13"/>
        <v>100</v>
      </c>
      <c r="V36" s="704" t="s">
        <v>14</v>
      </c>
      <c r="W36" s="705">
        <f t="shared" si="14"/>
        <v>100</v>
      </c>
      <c r="X36" s="1354"/>
      <c r="Y36" s="3695"/>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5"/>
      <c r="Q37" s="1351" t="str">
        <f t="shared" si="11"/>
        <v>内部装修状况</v>
      </c>
      <c r="R37" s="704" t="s">
        <v>14</v>
      </c>
      <c r="S37" s="705">
        <f t="shared" si="12"/>
        <v>100</v>
      </c>
      <c r="T37" s="704" t="s">
        <v>14</v>
      </c>
      <c r="U37" s="705">
        <f t="shared" si="13"/>
        <v>100</v>
      </c>
      <c r="V37" s="704" t="s">
        <v>14</v>
      </c>
      <c r="W37" s="705">
        <f t="shared" si="14"/>
        <v>100</v>
      </c>
      <c r="X37" s="1354"/>
      <c r="Y37" s="3695"/>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5"/>
      <c r="Q38" s="706">
        <f t="shared" si="11"/>
        <v>111</v>
      </c>
      <c r="R38" s="707" t="s">
        <v>14</v>
      </c>
      <c r="S38" s="708">
        <f t="shared" si="12"/>
        <v>100</v>
      </c>
      <c r="T38" s="707" t="s">
        <v>14</v>
      </c>
      <c r="U38" s="708">
        <f t="shared" si="13"/>
        <v>100</v>
      </c>
      <c r="V38" s="707" t="s">
        <v>14</v>
      </c>
      <c r="W38" s="708">
        <f t="shared" si="14"/>
        <v>100</v>
      </c>
      <c r="X38" s="709"/>
      <c r="Y38" s="3695"/>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5"/>
      <c r="Q39" s="1351">
        <f t="shared" si="11"/>
        <v>111</v>
      </c>
      <c r="R39" s="704" t="s">
        <v>14</v>
      </c>
      <c r="S39" s="705">
        <f t="shared" si="12"/>
        <v>100</v>
      </c>
      <c r="T39" s="704" t="s">
        <v>14</v>
      </c>
      <c r="U39" s="705">
        <f t="shared" si="13"/>
        <v>100</v>
      </c>
      <c r="V39" s="704" t="s">
        <v>14</v>
      </c>
      <c r="W39" s="705">
        <f t="shared" si="14"/>
        <v>100</v>
      </c>
      <c r="X39" s="1354"/>
      <c r="Y39" s="369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6"/>
      <c r="Q40" s="1351">
        <f t="shared" si="11"/>
        <v>111</v>
      </c>
      <c r="R40" s="704" t="s">
        <v>14</v>
      </c>
      <c r="S40" s="705">
        <f t="shared" si="12"/>
        <v>100</v>
      </c>
      <c r="T40" s="704" t="s">
        <v>14</v>
      </c>
      <c r="U40" s="705">
        <f t="shared" si="13"/>
        <v>100</v>
      </c>
      <c r="V40" s="704" t="s">
        <v>14</v>
      </c>
      <c r="W40" s="705">
        <f t="shared" si="14"/>
        <v>100</v>
      </c>
      <c r="X40" s="1354"/>
      <c r="Y40" s="3696"/>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83" t="str">
        <f>A41</f>
        <v>成交单价（元/平方米）</v>
      </c>
      <c r="Q41" s="3683"/>
      <c r="R41" s="3684">
        <f>E41</f>
        <v>0</v>
      </c>
      <c r="S41" s="3684"/>
      <c r="T41" s="3684">
        <f>G41</f>
        <v>0</v>
      </c>
      <c r="U41" s="3684"/>
      <c r="V41" s="3684">
        <f>I41</f>
        <v>0</v>
      </c>
      <c r="W41" s="3684"/>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85" t="str">
        <f>A43</f>
        <v>估价对象XX用房的比较价值（楼面单价，元/平方米）</v>
      </c>
      <c r="Q43" s="3686"/>
      <c r="R43" s="3687" t="e">
        <f>IF(F1="售价",ROUND(IF(D42="简单平均",AVERAGE(R42:V42),R42*F42+T42*H42+V42*J42),0),ROUND(IF(D42="简单平均",AVERAGE(R42:V42),R42*F42+T42*H42+V42*J42),1))</f>
        <v>#DIV/0!</v>
      </c>
      <c r="S43" s="3687"/>
      <c r="T43" s="3687"/>
      <c r="U43" s="3687"/>
      <c r="V43" s="3687"/>
      <c r="W43" s="3687"/>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2025-6</v>
      </c>
      <c r="D52" s="1184">
        <f>EDATE(C52,-1)</f>
        <v>45778</v>
      </c>
      <c r="E52" s="1184">
        <f t="shared" ref="E52:O52" si="16">EDATE(D52,-1)</f>
        <v>45748</v>
      </c>
      <c r="F52" s="1184">
        <f t="shared" si="16"/>
        <v>45717</v>
      </c>
      <c r="G52" s="1184">
        <f t="shared" si="16"/>
        <v>45689</v>
      </c>
      <c r="H52" s="1184">
        <f t="shared" si="16"/>
        <v>45658</v>
      </c>
      <c r="I52" s="1184">
        <f t="shared" si="16"/>
        <v>45627</v>
      </c>
      <c r="J52" s="1184">
        <f t="shared" si="16"/>
        <v>45597</v>
      </c>
      <c r="K52" s="1184">
        <f t="shared" si="16"/>
        <v>45566</v>
      </c>
      <c r="L52" s="1184">
        <f t="shared" si="16"/>
        <v>45536</v>
      </c>
      <c r="M52" s="1184">
        <f t="shared" si="16"/>
        <v>45505</v>
      </c>
      <c r="N52" s="1184">
        <f t="shared" si="16"/>
        <v>45474</v>
      </c>
      <c r="O52" s="1184">
        <f t="shared" si="16"/>
        <v>45444</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702" t="s">
        <v>1770</v>
      </c>
      <c r="D4" s="3703"/>
      <c r="E4" s="3704" t="s">
        <v>1771</v>
      </c>
      <c r="F4" s="3705"/>
      <c r="G4" s="3702" t="s">
        <v>1772</v>
      </c>
      <c r="H4" s="3703"/>
      <c r="I4" s="3702" t="s">
        <v>1773</v>
      </c>
      <c r="J4" s="3703"/>
      <c r="K4" s="559" t="s">
        <v>1774</v>
      </c>
      <c r="L4" s="2713"/>
      <c r="M4" s="2714"/>
      <c r="N4" s="2714"/>
      <c r="O4" s="2714"/>
      <c r="P4" s="3706" t="s">
        <v>1775</v>
      </c>
      <c r="Q4" s="3707"/>
      <c r="R4" s="3712" t="s">
        <v>1771</v>
      </c>
      <c r="S4" s="3713"/>
      <c r="T4" s="3712" t="s">
        <v>1772</v>
      </c>
      <c r="U4" s="3713"/>
      <c r="V4" s="3697" t="s">
        <v>1773</v>
      </c>
      <c r="W4" s="3697"/>
      <c r="X4" s="1354"/>
      <c r="Y4" s="3712" t="s">
        <v>1775</v>
      </c>
      <c r="Z4" s="3713"/>
      <c r="AA4" s="3699" t="s">
        <v>1771</v>
      </c>
      <c r="AB4" s="3700" t="s">
        <v>1772</v>
      </c>
      <c r="AC4" s="3699" t="s">
        <v>1773</v>
      </c>
    </row>
    <row r="5" spans="1:29" ht="15">
      <c r="A5" s="358"/>
      <c r="B5" s="359"/>
      <c r="C5" s="3778" t="s">
        <v>1673</v>
      </c>
      <c r="D5" s="3721"/>
      <c r="E5" s="3779" t="s">
        <v>1674</v>
      </c>
      <c r="F5" s="3729"/>
      <c r="G5" s="3778" t="s">
        <v>1675</v>
      </c>
      <c r="H5" s="3721"/>
      <c r="I5" s="3778" t="s">
        <v>1676</v>
      </c>
      <c r="J5" s="3721"/>
      <c r="K5" s="559"/>
      <c r="L5" s="2713"/>
      <c r="M5" s="2714"/>
      <c r="N5" s="2714"/>
      <c r="O5" s="2714"/>
      <c r="P5" s="3708"/>
      <c r="Q5" s="3709"/>
      <c r="R5" s="3714"/>
      <c r="S5" s="3715"/>
      <c r="T5" s="3714"/>
      <c r="U5" s="3715"/>
      <c r="V5" s="3697"/>
      <c r="W5" s="3697"/>
      <c r="X5" s="1354"/>
      <c r="Y5" s="3714"/>
      <c r="Z5" s="3715"/>
      <c r="AA5" s="3700"/>
      <c r="AB5" s="3700"/>
      <c r="AC5" s="3700"/>
    </row>
    <row r="6" spans="1:29" ht="15.75" thickBot="1">
      <c r="A6" s="360"/>
      <c r="B6" s="361"/>
      <c r="C6" s="3725" t="s">
        <v>1677</v>
      </c>
      <c r="D6" s="3719"/>
      <c r="E6" s="3726" t="s">
        <v>1677</v>
      </c>
      <c r="F6" s="3727"/>
      <c r="G6" s="3725" t="s">
        <v>1677</v>
      </c>
      <c r="H6" s="3719"/>
      <c r="I6" s="3725" t="s">
        <v>1677</v>
      </c>
      <c r="J6" s="3719"/>
      <c r="K6" s="559" t="s">
        <v>1678</v>
      </c>
      <c r="L6" s="2713"/>
      <c r="M6" s="2714"/>
      <c r="N6" s="2714"/>
      <c r="O6" s="2714"/>
      <c r="P6" s="3710"/>
      <c r="Q6" s="3711"/>
      <c r="R6" s="3714"/>
      <c r="S6" s="3715"/>
      <c r="T6" s="3716"/>
      <c r="U6" s="3717"/>
      <c r="V6" s="3697"/>
      <c r="W6" s="3697"/>
      <c r="X6" s="1354"/>
      <c r="Y6" s="3716"/>
      <c r="Z6" s="3717"/>
      <c r="AA6" s="3701"/>
      <c r="AB6" s="3701"/>
      <c r="AC6" s="3701"/>
    </row>
    <row r="7" spans="1:29" s="108" customFormat="1" ht="15.75" thickBot="1">
      <c r="A7" s="362" t="s">
        <v>1679</v>
      </c>
      <c r="B7" s="363"/>
      <c r="C7" s="364">
        <f>'数据-取费表'!B2</f>
        <v>45821</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22" t="s">
        <v>1680</v>
      </c>
      <c r="Q7" s="3724"/>
      <c r="R7" s="700" t="s">
        <v>14</v>
      </c>
      <c r="S7" s="701">
        <f t="shared" ref="S7:S14" si="0">F7</f>
        <v>0</v>
      </c>
      <c r="T7" s="700" t="s">
        <v>14</v>
      </c>
      <c r="U7" s="701">
        <f t="shared" ref="U7:U14" si="1">H7</f>
        <v>0</v>
      </c>
      <c r="V7" s="700" t="s">
        <v>14</v>
      </c>
      <c r="W7" s="701">
        <f t="shared" ref="W7:W14" si="2">J7</f>
        <v>0</v>
      </c>
      <c r="X7" s="702"/>
      <c r="Y7" s="3722" t="s">
        <v>1680</v>
      </c>
      <c r="Z7" s="372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22" t="s">
        <v>1683</v>
      </c>
      <c r="Q8" s="3723"/>
      <c r="R8" s="700" t="s">
        <v>14</v>
      </c>
      <c r="S8" s="701">
        <f t="shared" si="0"/>
        <v>100</v>
      </c>
      <c r="T8" s="700" t="s">
        <v>14</v>
      </c>
      <c r="U8" s="701">
        <f t="shared" si="1"/>
        <v>100</v>
      </c>
      <c r="V8" s="700" t="s">
        <v>14</v>
      </c>
      <c r="W8" s="701">
        <f t="shared" si="2"/>
        <v>100</v>
      </c>
      <c r="X8" s="702"/>
      <c r="Y8" s="3722" t="s">
        <v>1683</v>
      </c>
      <c r="Z8" s="3723"/>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83" t="s">
        <v>1686</v>
      </c>
      <c r="Q9" s="1342" t="str">
        <f t="shared" ref="Q9:Q14" si="6">B9</f>
        <v>用途</v>
      </c>
      <c r="R9" s="700" t="s">
        <v>14</v>
      </c>
      <c r="S9" s="701">
        <f t="shared" si="0"/>
        <v>100</v>
      </c>
      <c r="T9" s="700" t="s">
        <v>14</v>
      </c>
      <c r="U9" s="701">
        <f t="shared" si="1"/>
        <v>100</v>
      </c>
      <c r="V9" s="700" t="s">
        <v>14</v>
      </c>
      <c r="W9" s="701">
        <f t="shared" si="2"/>
        <v>100</v>
      </c>
      <c r="X9" s="702"/>
      <c r="Y9" s="3590" t="s">
        <v>1687</v>
      </c>
      <c r="Z9" s="52" t="str">
        <f t="shared" ref="Z9:Z14" si="7">Q9</f>
        <v>用途</v>
      </c>
      <c r="AA9" s="703">
        <f t="shared" si="3"/>
        <v>1</v>
      </c>
      <c r="AB9" s="703">
        <f t="shared" si="4"/>
        <v>1</v>
      </c>
      <c r="AC9" s="703">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83"/>
      <c r="Q10" s="1342" t="str">
        <f t="shared" si="6"/>
        <v>土地使用年限（年）</v>
      </c>
      <c r="R10" s="700" t="s">
        <v>14</v>
      </c>
      <c r="S10" s="701">
        <f t="shared" si="0"/>
        <v>100</v>
      </c>
      <c r="T10" s="700" t="s">
        <v>14</v>
      </c>
      <c r="U10" s="701">
        <f t="shared" si="1"/>
        <v>100</v>
      </c>
      <c r="V10" s="700" t="s">
        <v>14</v>
      </c>
      <c r="W10" s="701">
        <f t="shared" si="2"/>
        <v>100</v>
      </c>
      <c r="X10" s="702"/>
      <c r="Y10" s="3590"/>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83"/>
      <c r="Q11" s="1342">
        <f t="shared" si="6"/>
        <v>111</v>
      </c>
      <c r="R11" s="700" t="s">
        <v>14</v>
      </c>
      <c r="S11" s="701">
        <f t="shared" si="0"/>
        <v>100</v>
      </c>
      <c r="T11" s="700" t="s">
        <v>14</v>
      </c>
      <c r="U11" s="701">
        <f t="shared" si="1"/>
        <v>100</v>
      </c>
      <c r="V11" s="700" t="s">
        <v>14</v>
      </c>
      <c r="W11" s="701">
        <f t="shared" si="2"/>
        <v>100</v>
      </c>
      <c r="X11" s="702"/>
      <c r="Y11" s="3590"/>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83"/>
      <c r="Q12" s="1342">
        <f t="shared" si="6"/>
        <v>111</v>
      </c>
      <c r="R12" s="700" t="s">
        <v>14</v>
      </c>
      <c r="S12" s="701">
        <f t="shared" si="0"/>
        <v>100</v>
      </c>
      <c r="T12" s="700" t="s">
        <v>14</v>
      </c>
      <c r="U12" s="701">
        <f t="shared" si="1"/>
        <v>100</v>
      </c>
      <c r="V12" s="700" t="s">
        <v>14</v>
      </c>
      <c r="W12" s="701">
        <f t="shared" si="2"/>
        <v>100</v>
      </c>
      <c r="X12" s="702"/>
      <c r="Y12" s="3590"/>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83"/>
      <c r="Q13" s="1342">
        <f t="shared" si="6"/>
        <v>111</v>
      </c>
      <c r="R13" s="700" t="s">
        <v>14</v>
      </c>
      <c r="S13" s="701">
        <f t="shared" si="0"/>
        <v>100</v>
      </c>
      <c r="T13" s="700" t="s">
        <v>14</v>
      </c>
      <c r="U13" s="701">
        <f t="shared" si="1"/>
        <v>100</v>
      </c>
      <c r="V13" s="700" t="s">
        <v>14</v>
      </c>
      <c r="W13" s="701">
        <f t="shared" si="2"/>
        <v>100</v>
      </c>
      <c r="X13" s="702"/>
      <c r="Y13" s="3590"/>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0" t="s">
        <v>1691</v>
      </c>
      <c r="Q14" s="1351" t="str">
        <f t="shared" si="6"/>
        <v>交通便捷度</v>
      </c>
      <c r="R14" s="704" t="s">
        <v>14</v>
      </c>
      <c r="S14" s="705">
        <f t="shared" si="0"/>
        <v>100</v>
      </c>
      <c r="T14" s="704" t="s">
        <v>14</v>
      </c>
      <c r="U14" s="705">
        <f t="shared" si="1"/>
        <v>100</v>
      </c>
      <c r="V14" s="704" t="s">
        <v>14</v>
      </c>
      <c r="W14" s="705">
        <f t="shared" si="2"/>
        <v>100</v>
      </c>
      <c r="X14" s="1354"/>
      <c r="Y14" s="3690"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0"/>
      <c r="M15" s="2714"/>
      <c r="N15" s="2714"/>
      <c r="O15" s="2714"/>
      <c r="P15" s="3691"/>
      <c r="Q15" s="1351"/>
      <c r="R15" s="704"/>
      <c r="S15" s="705"/>
      <c r="T15" s="704"/>
      <c r="U15" s="705"/>
      <c r="V15" s="704"/>
      <c r="W15" s="705"/>
      <c r="X15" s="1354"/>
      <c r="Y15" s="3691"/>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1"/>
      <c r="Q16" s="1351" t="str">
        <f>B16</f>
        <v>公共配套设施</v>
      </c>
      <c r="R16" s="704" t="s">
        <v>14</v>
      </c>
      <c r="S16" s="705">
        <f>F16</f>
        <v>100</v>
      </c>
      <c r="T16" s="704" t="s">
        <v>14</v>
      </c>
      <c r="U16" s="705">
        <f>H16</f>
        <v>100</v>
      </c>
      <c r="V16" s="704" t="s">
        <v>14</v>
      </c>
      <c r="W16" s="705">
        <f>J16</f>
        <v>100</v>
      </c>
      <c r="X16" s="1354"/>
      <c r="Y16" s="3691"/>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0"/>
      <c r="M17" s="2714"/>
      <c r="N17" s="2714"/>
      <c r="O17" s="2714"/>
      <c r="P17" s="3691"/>
      <c r="Q17" s="1351"/>
      <c r="R17" s="704"/>
      <c r="S17" s="705"/>
      <c r="T17" s="704"/>
      <c r="U17" s="705"/>
      <c r="V17" s="704"/>
      <c r="W17" s="705"/>
      <c r="X17" s="1354"/>
      <c r="Y17" s="3691"/>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1"/>
      <c r="Q18" s="1351" t="str">
        <f>B18</f>
        <v>基础设施水平</v>
      </c>
      <c r="R18" s="704" t="s">
        <v>14</v>
      </c>
      <c r="S18" s="705">
        <f>F18</f>
        <v>100</v>
      </c>
      <c r="T18" s="704" t="s">
        <v>14</v>
      </c>
      <c r="U18" s="705">
        <f>H18</f>
        <v>100</v>
      </c>
      <c r="V18" s="704" t="s">
        <v>14</v>
      </c>
      <c r="W18" s="705">
        <f>J18</f>
        <v>100</v>
      </c>
      <c r="X18" s="1354"/>
      <c r="Y18" s="3691"/>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0"/>
      <c r="M19" s="2714"/>
      <c r="N19" s="2714"/>
      <c r="O19" s="2714"/>
      <c r="P19" s="3691"/>
      <c r="Q19" s="1351"/>
      <c r="R19" s="704"/>
      <c r="S19" s="705"/>
      <c r="T19" s="704"/>
      <c r="U19" s="705"/>
      <c r="V19" s="704"/>
      <c r="W19" s="705"/>
      <c r="X19" s="1354"/>
      <c r="Y19" s="3691"/>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1"/>
      <c r="Q20" s="1351" t="str">
        <f>B20</f>
        <v>自然及人文环境</v>
      </c>
      <c r="R20" s="704" t="s">
        <v>14</v>
      </c>
      <c r="S20" s="705">
        <f>F20</f>
        <v>100</v>
      </c>
      <c r="T20" s="704" t="s">
        <v>14</v>
      </c>
      <c r="U20" s="705">
        <f>H20</f>
        <v>100</v>
      </c>
      <c r="V20" s="704" t="s">
        <v>14</v>
      </c>
      <c r="W20" s="705">
        <f>J20</f>
        <v>100</v>
      </c>
      <c r="X20" s="1354"/>
      <c r="Y20" s="3691"/>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0"/>
      <c r="M21" s="2714"/>
      <c r="N21" s="2714"/>
      <c r="O21" s="2714"/>
      <c r="P21" s="3691"/>
      <c r="Q21" s="1351"/>
      <c r="R21" s="704"/>
      <c r="S21" s="705"/>
      <c r="T21" s="704"/>
      <c r="U21" s="705"/>
      <c r="V21" s="704"/>
      <c r="W21" s="705"/>
      <c r="X21" s="1354"/>
      <c r="Y21" s="3691"/>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1"/>
      <c r="Q22" s="1351" t="str">
        <f>B22</f>
        <v>楼层</v>
      </c>
      <c r="R22" s="704" t="s">
        <v>14</v>
      </c>
      <c r="S22" s="705">
        <f>F22</f>
        <v>100</v>
      </c>
      <c r="T22" s="704" t="s">
        <v>14</v>
      </c>
      <c r="U22" s="705">
        <f>H22</f>
        <v>100</v>
      </c>
      <c r="V22" s="704" t="s">
        <v>14</v>
      </c>
      <c r="W22" s="705">
        <f>J22</f>
        <v>100</v>
      </c>
      <c r="X22" s="1354"/>
      <c r="Y22" s="3691"/>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1"/>
      <c r="Q23" s="1351">
        <f>B23</f>
        <v>111</v>
      </c>
      <c r="R23" s="704" t="s">
        <v>14</v>
      </c>
      <c r="S23" s="705">
        <f>F23</f>
        <v>100</v>
      </c>
      <c r="T23" s="704" t="s">
        <v>14</v>
      </c>
      <c r="U23" s="705">
        <f>H23</f>
        <v>100</v>
      </c>
      <c r="V23" s="704" t="s">
        <v>14</v>
      </c>
      <c r="W23" s="705">
        <f>J23</f>
        <v>100</v>
      </c>
      <c r="X23" s="1354"/>
      <c r="Y23" s="3691"/>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1"/>
      <c r="Q24" s="1351">
        <f t="shared" ref="Q24:Q36" si="11">B24</f>
        <v>111</v>
      </c>
      <c r="R24" s="704" t="s">
        <v>14</v>
      </c>
      <c r="S24" s="705">
        <f>F24</f>
        <v>100</v>
      </c>
      <c r="T24" s="704" t="s">
        <v>14</v>
      </c>
      <c r="U24" s="705">
        <f>H24</f>
        <v>100</v>
      </c>
      <c r="V24" s="704" t="s">
        <v>14</v>
      </c>
      <c r="W24" s="705">
        <f>J24</f>
        <v>100</v>
      </c>
      <c r="X24" s="1354"/>
      <c r="Y24" s="3691"/>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691"/>
      <c r="Q25" s="1342">
        <f t="shared" si="11"/>
        <v>111</v>
      </c>
      <c r="R25" s="700" t="s">
        <v>14</v>
      </c>
      <c r="S25" s="701">
        <f>F25</f>
        <v>100</v>
      </c>
      <c r="T25" s="700" t="s">
        <v>14</v>
      </c>
      <c r="U25" s="701">
        <f>H25</f>
        <v>100</v>
      </c>
      <c r="V25" s="700" t="s">
        <v>14</v>
      </c>
      <c r="W25" s="701">
        <f>J25</f>
        <v>100</v>
      </c>
      <c r="X25" s="702"/>
      <c r="Y25" s="3691"/>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95"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5"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695"/>
      <c r="Q27" s="706" t="str">
        <f t="shared" si="11"/>
        <v>项目停车位配比</v>
      </c>
      <c r="R27" s="707" t="s">
        <v>14</v>
      </c>
      <c r="S27" s="708">
        <f t="shared" si="12"/>
        <v>100</v>
      </c>
      <c r="T27" s="707" t="s">
        <v>14</v>
      </c>
      <c r="U27" s="708">
        <f t="shared" si="13"/>
        <v>100</v>
      </c>
      <c r="V27" s="707" t="s">
        <v>14</v>
      </c>
      <c r="W27" s="708">
        <f t="shared" si="14"/>
        <v>100</v>
      </c>
      <c r="X27" s="709"/>
      <c r="Y27" s="3695"/>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5"/>
      <c r="Q28" s="1351" t="str">
        <f t="shared" si="11"/>
        <v>公共部分装修</v>
      </c>
      <c r="R28" s="704" t="s">
        <v>14</v>
      </c>
      <c r="S28" s="705">
        <f t="shared" si="12"/>
        <v>100</v>
      </c>
      <c r="T28" s="704" t="s">
        <v>14</v>
      </c>
      <c r="U28" s="705">
        <f t="shared" si="13"/>
        <v>100</v>
      </c>
      <c r="V28" s="704" t="s">
        <v>14</v>
      </c>
      <c r="W28" s="705">
        <f t="shared" si="14"/>
        <v>100</v>
      </c>
      <c r="X28" s="1354"/>
      <c r="Y28" s="3695"/>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5"/>
      <c r="Q29" s="1351" t="str">
        <f t="shared" si="11"/>
        <v>成新率</v>
      </c>
      <c r="R29" s="704" t="s">
        <v>14</v>
      </c>
      <c r="S29" s="705" t="e">
        <f t="shared" si="12"/>
        <v>#N/A</v>
      </c>
      <c r="T29" s="704" t="s">
        <v>14</v>
      </c>
      <c r="U29" s="705" t="e">
        <f t="shared" si="13"/>
        <v>#N/A</v>
      </c>
      <c r="V29" s="704" t="s">
        <v>14</v>
      </c>
      <c r="W29" s="705" t="e">
        <f t="shared" si="14"/>
        <v>#N/A</v>
      </c>
      <c r="X29" s="1354"/>
      <c r="Y29" s="3695"/>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695"/>
      <c r="Q30" s="1351" t="str">
        <f t="shared" si="11"/>
        <v>物业等级</v>
      </c>
      <c r="R30" s="704" t="s">
        <v>14</v>
      </c>
      <c r="S30" s="705">
        <f t="shared" si="12"/>
        <v>100</v>
      </c>
      <c r="T30" s="704" t="s">
        <v>14</v>
      </c>
      <c r="U30" s="705">
        <f t="shared" si="13"/>
        <v>100</v>
      </c>
      <c r="V30" s="704" t="s">
        <v>14</v>
      </c>
      <c r="W30" s="705">
        <f t="shared" si="14"/>
        <v>100</v>
      </c>
      <c r="X30" s="1354"/>
      <c r="Y30" s="3695"/>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5"/>
      <c r="Q31" s="1342" t="str">
        <f t="shared" si="11"/>
        <v>停车位面积</v>
      </c>
      <c r="R31" s="700" t="s">
        <v>14</v>
      </c>
      <c r="S31" s="701" t="e">
        <f t="shared" si="12"/>
        <v>#N/A</v>
      </c>
      <c r="T31" s="700" t="s">
        <v>14</v>
      </c>
      <c r="U31" s="701" t="e">
        <f t="shared" si="13"/>
        <v>#N/A</v>
      </c>
      <c r="V31" s="700" t="s">
        <v>14</v>
      </c>
      <c r="W31" s="701" t="e">
        <f t="shared" si="14"/>
        <v>#N/A</v>
      </c>
      <c r="X31" s="702"/>
      <c r="Y31" s="3695"/>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5" t="s">
        <v>1696</v>
      </c>
      <c r="Q32" s="1351" t="str">
        <f t="shared" si="11"/>
        <v>车位类型</v>
      </c>
      <c r="R32" s="704" t="s">
        <v>14</v>
      </c>
      <c r="S32" s="705">
        <f t="shared" si="12"/>
        <v>100</v>
      </c>
      <c r="T32" s="704" t="s">
        <v>14</v>
      </c>
      <c r="U32" s="705">
        <f t="shared" si="13"/>
        <v>100</v>
      </c>
      <c r="V32" s="704" t="s">
        <v>14</v>
      </c>
      <c r="W32" s="705">
        <f t="shared" si="14"/>
        <v>100</v>
      </c>
      <c r="X32" s="1354"/>
      <c r="Y32" s="3695"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5"/>
      <c r="Q33" s="1351" t="str">
        <f t="shared" si="11"/>
        <v>是否直接入户</v>
      </c>
      <c r="R33" s="704" t="s">
        <v>14</v>
      </c>
      <c r="S33" s="705">
        <f t="shared" si="12"/>
        <v>100</v>
      </c>
      <c r="T33" s="704" t="s">
        <v>14</v>
      </c>
      <c r="U33" s="705">
        <f t="shared" si="13"/>
        <v>100</v>
      </c>
      <c r="V33" s="704" t="s">
        <v>14</v>
      </c>
      <c r="W33" s="705">
        <f t="shared" si="14"/>
        <v>100</v>
      </c>
      <c r="X33" s="1354"/>
      <c r="Y33" s="3695"/>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5"/>
      <c r="Q34" s="1351">
        <f t="shared" si="11"/>
        <v>111</v>
      </c>
      <c r="R34" s="704" t="s">
        <v>14</v>
      </c>
      <c r="S34" s="705">
        <f t="shared" si="12"/>
        <v>100</v>
      </c>
      <c r="T34" s="704" t="s">
        <v>14</v>
      </c>
      <c r="U34" s="705">
        <f t="shared" si="13"/>
        <v>100</v>
      </c>
      <c r="V34" s="704" t="s">
        <v>14</v>
      </c>
      <c r="W34" s="705">
        <f t="shared" si="14"/>
        <v>100</v>
      </c>
      <c r="X34" s="1354"/>
      <c r="Y34" s="3695"/>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5"/>
      <c r="Q35" s="706">
        <f t="shared" si="11"/>
        <v>111</v>
      </c>
      <c r="R35" s="707" t="s">
        <v>14</v>
      </c>
      <c r="S35" s="708">
        <f t="shared" si="12"/>
        <v>100</v>
      </c>
      <c r="T35" s="707" t="s">
        <v>14</v>
      </c>
      <c r="U35" s="708">
        <f t="shared" si="13"/>
        <v>100</v>
      </c>
      <c r="V35" s="707" t="s">
        <v>14</v>
      </c>
      <c r="W35" s="708">
        <f t="shared" si="14"/>
        <v>100</v>
      </c>
      <c r="X35" s="709"/>
      <c r="Y35" s="3695"/>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5"/>
      <c r="Q36" s="1351">
        <f t="shared" si="11"/>
        <v>111</v>
      </c>
      <c r="R36" s="704" t="s">
        <v>14</v>
      </c>
      <c r="S36" s="705">
        <f t="shared" si="12"/>
        <v>100</v>
      </c>
      <c r="T36" s="704" t="s">
        <v>14</v>
      </c>
      <c r="U36" s="705">
        <f t="shared" si="13"/>
        <v>100</v>
      </c>
      <c r="V36" s="704" t="s">
        <v>14</v>
      </c>
      <c r="W36" s="705">
        <f t="shared" si="14"/>
        <v>100</v>
      </c>
      <c r="X36" s="1354"/>
      <c r="Y36" s="3695"/>
      <c r="Z36" s="1355">
        <f t="shared" si="15"/>
        <v>111</v>
      </c>
      <c r="AA36" s="1352">
        <f t="shared" si="3"/>
        <v>1</v>
      </c>
      <c r="AB36" s="1352">
        <f t="shared" si="4"/>
        <v>1</v>
      </c>
      <c r="AC36" s="1352">
        <f t="shared" si="5"/>
        <v>1</v>
      </c>
    </row>
    <row r="37" spans="1:29" ht="15">
      <c r="A37" s="430" t="s">
        <v>1844</v>
      </c>
      <c r="B37" s="1972" t="s">
        <v>3353</v>
      </c>
      <c r="C37" s="1153" t="s">
        <v>0</v>
      </c>
      <c r="D37" s="1154"/>
      <c r="E37" s="1155"/>
      <c r="F37" s="1156"/>
      <c r="G37" s="1157"/>
      <c r="H37" s="1158"/>
      <c r="I37" s="1155"/>
      <c r="J37" s="1158"/>
      <c r="K37" s="567"/>
      <c r="L37" s="2722"/>
      <c r="M37" s="2723"/>
      <c r="N37" s="2714"/>
      <c r="O37" s="2723"/>
      <c r="P37" s="3683" t="str">
        <f>A37</f>
        <v>成交单价</v>
      </c>
      <c r="Q37" s="3683"/>
      <c r="R37" s="3684">
        <f>E37</f>
        <v>0</v>
      </c>
      <c r="S37" s="3684"/>
      <c r="T37" s="3684">
        <f>G37</f>
        <v>0</v>
      </c>
      <c r="U37" s="3684"/>
      <c r="V37" s="3684">
        <f>I37</f>
        <v>0</v>
      </c>
      <c r="W37" s="3684"/>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2"/>
      <c r="M38" s="2723"/>
      <c r="N38" s="2723"/>
      <c r="O38" s="2723"/>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2"/>
      <c r="M39" s="2723"/>
      <c r="N39" s="2723"/>
      <c r="O39" s="2723"/>
      <c r="P39" s="3685" t="str">
        <f>A39</f>
        <v>估价对象XX用房的比较价值（楼面单价，元/平方米）</v>
      </c>
      <c r="Q39" s="3686"/>
      <c r="R39" s="3796" t="e">
        <f>IF(F1="售价",ROUND(IF(D38="简单平均",AVERAGE(R38:W38),R38*F38+T38*H38+V38*J38),0),ROUND(IF(D38="简单平均",AVERAGE(R38:V38),R38*F38+T38*H38+V38*J38),1))</f>
        <v>#DIV/0!</v>
      </c>
      <c r="S39" s="3796"/>
      <c r="T39" s="3796"/>
      <c r="U39" s="3796"/>
      <c r="V39" s="3796"/>
      <c r="W39" s="3796"/>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2025-6</v>
      </c>
      <c r="D48" s="1184">
        <f>EDATE(C48,-1)</f>
        <v>45778</v>
      </c>
      <c r="E48" s="1184">
        <f t="shared" ref="E48:O48" si="16">EDATE(D48,-1)</f>
        <v>45748</v>
      </c>
      <c r="F48" s="1184">
        <f t="shared" si="16"/>
        <v>45717</v>
      </c>
      <c r="G48" s="1184">
        <f t="shared" si="16"/>
        <v>45689</v>
      </c>
      <c r="H48" s="1184">
        <f t="shared" si="16"/>
        <v>45658</v>
      </c>
      <c r="I48" s="1184">
        <f t="shared" si="16"/>
        <v>45627</v>
      </c>
      <c r="J48" s="1184">
        <f t="shared" si="16"/>
        <v>45597</v>
      </c>
      <c r="K48" s="1184">
        <f t="shared" si="16"/>
        <v>45566</v>
      </c>
      <c r="L48" s="1184">
        <f t="shared" si="16"/>
        <v>45536</v>
      </c>
      <c r="M48" s="1184">
        <f t="shared" si="16"/>
        <v>45505</v>
      </c>
      <c r="N48" s="1184">
        <f t="shared" si="16"/>
        <v>45474</v>
      </c>
      <c r="O48" s="1184">
        <f t="shared" si="16"/>
        <v>45444</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02" t="s">
        <v>1770</v>
      </c>
      <c r="D4" s="3703"/>
      <c r="E4" s="3704" t="s">
        <v>1771</v>
      </c>
      <c r="F4" s="3705"/>
      <c r="G4" s="3702" t="s">
        <v>1772</v>
      </c>
      <c r="H4" s="3703"/>
      <c r="I4" s="3702" t="s">
        <v>1773</v>
      </c>
      <c r="J4" s="3703"/>
      <c r="K4" s="559" t="s">
        <v>1774</v>
      </c>
      <c r="L4" s="2713"/>
      <c r="M4" s="2714"/>
      <c r="N4" s="2714"/>
      <c r="O4" s="2714"/>
      <c r="P4" s="3706" t="s">
        <v>1775</v>
      </c>
      <c r="Q4" s="3707"/>
      <c r="R4" s="3712" t="s">
        <v>1771</v>
      </c>
      <c r="S4" s="3713"/>
      <c r="T4" s="3712" t="s">
        <v>1772</v>
      </c>
      <c r="U4" s="3713"/>
      <c r="V4" s="3697" t="s">
        <v>1773</v>
      </c>
      <c r="W4" s="3697"/>
      <c r="X4" s="1354"/>
      <c r="Y4" s="3712" t="s">
        <v>1775</v>
      </c>
      <c r="Z4" s="3713"/>
      <c r="AA4" s="3699" t="s">
        <v>1771</v>
      </c>
      <c r="AB4" s="3700" t="s">
        <v>1772</v>
      </c>
      <c r="AC4" s="3699" t="s">
        <v>1773</v>
      </c>
    </row>
    <row r="5" spans="1:29" ht="15">
      <c r="A5" s="358"/>
      <c r="B5" s="359"/>
      <c r="C5" s="3778" t="s">
        <v>1673</v>
      </c>
      <c r="D5" s="3721"/>
      <c r="E5" s="3779" t="s">
        <v>1674</v>
      </c>
      <c r="F5" s="3729"/>
      <c r="G5" s="3778" t="s">
        <v>1675</v>
      </c>
      <c r="H5" s="3721"/>
      <c r="I5" s="3778" t="s">
        <v>1676</v>
      </c>
      <c r="J5" s="3721"/>
      <c r="K5" s="559"/>
      <c r="L5" s="2713"/>
      <c r="M5" s="2714"/>
      <c r="N5" s="2714"/>
      <c r="O5" s="2714"/>
      <c r="P5" s="3708"/>
      <c r="Q5" s="3709"/>
      <c r="R5" s="3714"/>
      <c r="S5" s="3715"/>
      <c r="T5" s="3714"/>
      <c r="U5" s="3715"/>
      <c r="V5" s="3697"/>
      <c r="W5" s="3697"/>
      <c r="X5" s="1354"/>
      <c r="Y5" s="3714"/>
      <c r="Z5" s="3715"/>
      <c r="AA5" s="3700"/>
      <c r="AB5" s="3700"/>
      <c r="AC5" s="3700"/>
    </row>
    <row r="6" spans="1:29" ht="15.75" thickBot="1">
      <c r="A6" s="360"/>
      <c r="B6" s="361"/>
      <c r="C6" s="3725" t="s">
        <v>1677</v>
      </c>
      <c r="D6" s="3719"/>
      <c r="E6" s="3726" t="s">
        <v>1677</v>
      </c>
      <c r="F6" s="3727"/>
      <c r="G6" s="3725" t="s">
        <v>1677</v>
      </c>
      <c r="H6" s="3719"/>
      <c r="I6" s="3725" t="s">
        <v>1677</v>
      </c>
      <c r="J6" s="3719"/>
      <c r="K6" s="559" t="s">
        <v>1678</v>
      </c>
      <c r="L6" s="2713"/>
      <c r="M6" s="2714"/>
      <c r="N6" s="2714"/>
      <c r="O6" s="2714"/>
      <c r="P6" s="3710"/>
      <c r="Q6" s="3711"/>
      <c r="R6" s="3714"/>
      <c r="S6" s="3715"/>
      <c r="T6" s="3716"/>
      <c r="U6" s="3717"/>
      <c r="V6" s="3697"/>
      <c r="W6" s="3697"/>
      <c r="X6" s="1354"/>
      <c r="Y6" s="3716"/>
      <c r="Z6" s="3717"/>
      <c r="AA6" s="3701"/>
      <c r="AB6" s="3701"/>
      <c r="AC6" s="3701"/>
    </row>
    <row r="7" spans="1:29" s="108" customFormat="1" ht="15.75" thickBot="1">
      <c r="A7" s="362" t="s">
        <v>1679</v>
      </c>
      <c r="B7" s="363"/>
      <c r="C7" s="364">
        <f>'数据-取费表'!B2</f>
        <v>45821</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22" t="s">
        <v>1680</v>
      </c>
      <c r="Q7" s="3724"/>
      <c r="R7" s="700" t="s">
        <v>14</v>
      </c>
      <c r="S7" s="701">
        <f t="shared" ref="S7:S14" si="0">F7</f>
        <v>0</v>
      </c>
      <c r="T7" s="700" t="s">
        <v>14</v>
      </c>
      <c r="U7" s="701">
        <f t="shared" ref="U7:U14" si="1">H7</f>
        <v>0</v>
      </c>
      <c r="V7" s="700" t="s">
        <v>14</v>
      </c>
      <c r="W7" s="701">
        <f t="shared" ref="W7:W14" si="2">J7</f>
        <v>0</v>
      </c>
      <c r="X7" s="702"/>
      <c r="Y7" s="3722" t="s">
        <v>1680</v>
      </c>
      <c r="Z7" s="372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22" t="s">
        <v>1683</v>
      </c>
      <c r="Q8" s="3723"/>
      <c r="R8" s="700" t="s">
        <v>14</v>
      </c>
      <c r="S8" s="701">
        <f t="shared" si="0"/>
        <v>100</v>
      </c>
      <c r="T8" s="700" t="s">
        <v>14</v>
      </c>
      <c r="U8" s="701">
        <f t="shared" si="1"/>
        <v>100</v>
      </c>
      <c r="V8" s="700" t="s">
        <v>14</v>
      </c>
      <c r="W8" s="701">
        <f t="shared" si="2"/>
        <v>100</v>
      </c>
      <c r="X8" s="702"/>
      <c r="Y8" s="3722" t="s">
        <v>1683</v>
      </c>
      <c r="Z8" s="372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83" t="s">
        <v>1686</v>
      </c>
      <c r="Q9" s="1342" t="str">
        <f t="shared" ref="Q9:Q14" si="6">B9</f>
        <v>用途</v>
      </c>
      <c r="R9" s="700" t="s">
        <v>14</v>
      </c>
      <c r="S9" s="701">
        <f t="shared" si="0"/>
        <v>100</v>
      </c>
      <c r="T9" s="700" t="s">
        <v>14</v>
      </c>
      <c r="U9" s="701">
        <f t="shared" si="1"/>
        <v>100</v>
      </c>
      <c r="V9" s="700" t="s">
        <v>14</v>
      </c>
      <c r="W9" s="701">
        <f t="shared" si="2"/>
        <v>100</v>
      </c>
      <c r="X9" s="702"/>
      <c r="Y9" s="3590"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83"/>
      <c r="Q10" s="1342" t="str">
        <f t="shared" si="6"/>
        <v>土地使用年限（年）</v>
      </c>
      <c r="R10" s="700" t="s">
        <v>14</v>
      </c>
      <c r="S10" s="701">
        <f t="shared" si="0"/>
        <v>100</v>
      </c>
      <c r="T10" s="700" t="s">
        <v>14</v>
      </c>
      <c r="U10" s="701">
        <f t="shared" si="1"/>
        <v>100</v>
      </c>
      <c r="V10" s="700" t="s">
        <v>14</v>
      </c>
      <c r="W10" s="701">
        <f t="shared" si="2"/>
        <v>100</v>
      </c>
      <c r="X10" s="702"/>
      <c r="Y10" s="3590"/>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83"/>
      <c r="Q11" s="1342">
        <f t="shared" si="6"/>
        <v>111</v>
      </c>
      <c r="R11" s="700" t="s">
        <v>14</v>
      </c>
      <c r="S11" s="701">
        <f t="shared" si="0"/>
        <v>100</v>
      </c>
      <c r="T11" s="700" t="s">
        <v>14</v>
      </c>
      <c r="U11" s="701">
        <f t="shared" si="1"/>
        <v>100</v>
      </c>
      <c r="V11" s="700" t="s">
        <v>14</v>
      </c>
      <c r="W11" s="701">
        <f t="shared" si="2"/>
        <v>100</v>
      </c>
      <c r="X11" s="702"/>
      <c r="Y11" s="3590"/>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83"/>
      <c r="Q12" s="1342">
        <f t="shared" si="6"/>
        <v>111</v>
      </c>
      <c r="R12" s="700" t="s">
        <v>14</v>
      </c>
      <c r="S12" s="701">
        <f t="shared" si="0"/>
        <v>100</v>
      </c>
      <c r="T12" s="700" t="s">
        <v>14</v>
      </c>
      <c r="U12" s="701">
        <f t="shared" si="1"/>
        <v>100</v>
      </c>
      <c r="V12" s="700" t="s">
        <v>14</v>
      </c>
      <c r="W12" s="701">
        <f t="shared" si="2"/>
        <v>100</v>
      </c>
      <c r="X12" s="702"/>
      <c r="Y12" s="3590"/>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683"/>
      <c r="Q13" s="1342">
        <f t="shared" si="6"/>
        <v>111</v>
      </c>
      <c r="R13" s="700" t="s">
        <v>14</v>
      </c>
      <c r="S13" s="701">
        <f t="shared" si="0"/>
        <v>100</v>
      </c>
      <c r="T13" s="700" t="s">
        <v>14</v>
      </c>
      <c r="U13" s="701">
        <f t="shared" si="1"/>
        <v>100</v>
      </c>
      <c r="V13" s="700" t="s">
        <v>14</v>
      </c>
      <c r="W13" s="701">
        <f t="shared" si="2"/>
        <v>100</v>
      </c>
      <c r="X13" s="702"/>
      <c r="Y13" s="3590"/>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0" t="s">
        <v>1691</v>
      </c>
      <c r="Q14" s="1351" t="str">
        <f t="shared" si="6"/>
        <v>交通便捷度</v>
      </c>
      <c r="R14" s="704" t="s">
        <v>14</v>
      </c>
      <c r="S14" s="705">
        <f t="shared" si="0"/>
        <v>100</v>
      </c>
      <c r="T14" s="704" t="s">
        <v>14</v>
      </c>
      <c r="U14" s="705">
        <f t="shared" si="1"/>
        <v>100</v>
      </c>
      <c r="V14" s="704" t="s">
        <v>14</v>
      </c>
      <c r="W14" s="705">
        <f t="shared" si="2"/>
        <v>100</v>
      </c>
      <c r="X14" s="1354"/>
      <c r="Y14" s="369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691"/>
      <c r="Q15" s="1351"/>
      <c r="R15" s="704"/>
      <c r="S15" s="705"/>
      <c r="T15" s="704"/>
      <c r="U15" s="705"/>
      <c r="V15" s="704"/>
      <c r="W15" s="705"/>
      <c r="X15" s="1354"/>
      <c r="Y15" s="3691"/>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1"/>
      <c r="Q16" s="1351" t="str">
        <f>B16</f>
        <v>公共配套设施</v>
      </c>
      <c r="R16" s="704" t="s">
        <v>14</v>
      </c>
      <c r="S16" s="705">
        <f>F16</f>
        <v>100</v>
      </c>
      <c r="T16" s="704" t="s">
        <v>14</v>
      </c>
      <c r="U16" s="705">
        <f>H16</f>
        <v>100</v>
      </c>
      <c r="V16" s="704" t="s">
        <v>14</v>
      </c>
      <c r="W16" s="705">
        <f>J16</f>
        <v>100</v>
      </c>
      <c r="X16" s="1354"/>
      <c r="Y16" s="369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691"/>
      <c r="Q17" s="1351"/>
      <c r="R17" s="704"/>
      <c r="S17" s="705"/>
      <c r="T17" s="704"/>
      <c r="U17" s="705"/>
      <c r="V17" s="704"/>
      <c r="W17" s="705"/>
      <c r="X17" s="1354"/>
      <c r="Y17" s="3691"/>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1"/>
      <c r="Q18" s="1351" t="str">
        <f>B18</f>
        <v>基础设施水平</v>
      </c>
      <c r="R18" s="704" t="s">
        <v>14</v>
      </c>
      <c r="S18" s="705">
        <f>F18</f>
        <v>100</v>
      </c>
      <c r="T18" s="704" t="s">
        <v>14</v>
      </c>
      <c r="U18" s="705">
        <f>H18</f>
        <v>100</v>
      </c>
      <c r="V18" s="704" t="s">
        <v>14</v>
      </c>
      <c r="W18" s="705">
        <f>J18</f>
        <v>100</v>
      </c>
      <c r="X18" s="1354"/>
      <c r="Y18" s="3691"/>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691"/>
      <c r="Q19" s="1351"/>
      <c r="R19" s="704"/>
      <c r="S19" s="705"/>
      <c r="T19" s="704"/>
      <c r="U19" s="705"/>
      <c r="V19" s="704"/>
      <c r="W19" s="705"/>
      <c r="X19" s="1354"/>
      <c r="Y19" s="3691"/>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1"/>
      <c r="Q20" s="1351" t="str">
        <f>B20</f>
        <v>自然及人文环境</v>
      </c>
      <c r="R20" s="704" t="s">
        <v>14</v>
      </c>
      <c r="S20" s="705">
        <f>F20</f>
        <v>100</v>
      </c>
      <c r="T20" s="704" t="s">
        <v>14</v>
      </c>
      <c r="U20" s="705">
        <f>H20</f>
        <v>100</v>
      </c>
      <c r="V20" s="704" t="s">
        <v>14</v>
      </c>
      <c r="W20" s="705">
        <f>J20</f>
        <v>100</v>
      </c>
      <c r="X20" s="1354"/>
      <c r="Y20" s="369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691"/>
      <c r="Q21" s="1351"/>
      <c r="R21" s="704"/>
      <c r="S21" s="705"/>
      <c r="T21" s="704"/>
      <c r="U21" s="705"/>
      <c r="V21" s="704"/>
      <c r="W21" s="705"/>
      <c r="X21" s="1354"/>
      <c r="Y21" s="3691"/>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1"/>
      <c r="Q22" s="1351" t="str">
        <f>B22</f>
        <v>楼层</v>
      </c>
      <c r="R22" s="704" t="s">
        <v>14</v>
      </c>
      <c r="S22" s="705">
        <f>F22</f>
        <v>100</v>
      </c>
      <c r="T22" s="704" t="s">
        <v>14</v>
      </c>
      <c r="U22" s="705">
        <f>H22</f>
        <v>100</v>
      </c>
      <c r="V22" s="704" t="s">
        <v>14</v>
      </c>
      <c r="W22" s="705">
        <f>J22</f>
        <v>100</v>
      </c>
      <c r="X22" s="1354"/>
      <c r="Y22" s="369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1"/>
      <c r="Q23" s="1351">
        <f>B23</f>
        <v>111</v>
      </c>
      <c r="R23" s="704" t="s">
        <v>14</v>
      </c>
      <c r="S23" s="705">
        <f>F23</f>
        <v>100</v>
      </c>
      <c r="T23" s="704" t="s">
        <v>14</v>
      </c>
      <c r="U23" s="705">
        <f>H23</f>
        <v>100</v>
      </c>
      <c r="V23" s="704" t="s">
        <v>14</v>
      </c>
      <c r="W23" s="705">
        <f>J23</f>
        <v>100</v>
      </c>
      <c r="X23" s="1354"/>
      <c r="Y23" s="369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1"/>
      <c r="Q24" s="1351">
        <f t="shared" ref="Q24:Q34" si="11">B24</f>
        <v>111</v>
      </c>
      <c r="R24" s="704" t="s">
        <v>14</v>
      </c>
      <c r="S24" s="705">
        <f>F24</f>
        <v>100</v>
      </c>
      <c r="T24" s="704" t="s">
        <v>14</v>
      </c>
      <c r="U24" s="705">
        <f>H24</f>
        <v>100</v>
      </c>
      <c r="V24" s="704" t="s">
        <v>14</v>
      </c>
      <c r="W24" s="705">
        <f>J24</f>
        <v>100</v>
      </c>
      <c r="X24" s="1354"/>
      <c r="Y24" s="3691"/>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5"/>
      <c r="M25" s="2716"/>
      <c r="N25" s="2716"/>
      <c r="O25" s="2770"/>
      <c r="P25" s="3691"/>
      <c r="Q25" s="1342">
        <f t="shared" si="11"/>
        <v>111</v>
      </c>
      <c r="R25" s="700" t="s">
        <v>14</v>
      </c>
      <c r="S25" s="701">
        <f>F25</f>
        <v>100</v>
      </c>
      <c r="T25" s="700" t="s">
        <v>14</v>
      </c>
      <c r="U25" s="701">
        <f>H25</f>
        <v>100</v>
      </c>
      <c r="V25" s="700" t="s">
        <v>14</v>
      </c>
      <c r="W25" s="701">
        <f>J25</f>
        <v>100</v>
      </c>
      <c r="X25" s="702"/>
      <c r="Y25" s="3691"/>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0"/>
      <c r="M26" s="2714"/>
      <c r="N26" s="2714"/>
      <c r="O26" s="2772"/>
      <c r="P26" s="3795"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5"/>
      <c r="Q27" s="706" t="str">
        <f t="shared" si="11"/>
        <v>成新率</v>
      </c>
      <c r="R27" s="707" t="s">
        <v>14</v>
      </c>
      <c r="S27" s="708" t="e">
        <f t="shared" si="12"/>
        <v>#N/A</v>
      </c>
      <c r="T27" s="707" t="s">
        <v>14</v>
      </c>
      <c r="U27" s="708" t="e">
        <f t="shared" si="13"/>
        <v>#N/A</v>
      </c>
      <c r="V27" s="707" t="s">
        <v>14</v>
      </c>
      <c r="W27" s="708" t="e">
        <f t="shared" si="14"/>
        <v>#N/A</v>
      </c>
      <c r="X27" s="709"/>
      <c r="Y27" s="3695"/>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5"/>
      <c r="Q28" s="1351" t="str">
        <f t="shared" si="11"/>
        <v>物业等级</v>
      </c>
      <c r="R28" s="704" t="s">
        <v>14</v>
      </c>
      <c r="S28" s="705">
        <f t="shared" si="12"/>
        <v>100</v>
      </c>
      <c r="T28" s="704" t="s">
        <v>14</v>
      </c>
      <c r="U28" s="705">
        <f t="shared" si="13"/>
        <v>100</v>
      </c>
      <c r="V28" s="704" t="s">
        <v>14</v>
      </c>
      <c r="W28" s="705">
        <f t="shared" si="14"/>
        <v>100</v>
      </c>
      <c r="X28" s="1354"/>
      <c r="Y28" s="3695"/>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695"/>
      <c r="Q29" s="1351" t="str">
        <f t="shared" si="11"/>
        <v>有无电梯</v>
      </c>
      <c r="R29" s="704" t="s">
        <v>14</v>
      </c>
      <c r="S29" s="705">
        <f t="shared" si="12"/>
        <v>100</v>
      </c>
      <c r="T29" s="704" t="s">
        <v>14</v>
      </c>
      <c r="U29" s="705">
        <f t="shared" si="13"/>
        <v>100</v>
      </c>
      <c r="V29" s="704" t="s">
        <v>14</v>
      </c>
      <c r="W29" s="705">
        <f t="shared" si="14"/>
        <v>100</v>
      </c>
      <c r="X29" s="1354"/>
      <c r="Y29" s="369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5"/>
      <c r="Q30" s="1351" t="str">
        <f t="shared" si="11"/>
        <v>建筑面积</v>
      </c>
      <c r="R30" s="704" t="s">
        <v>14</v>
      </c>
      <c r="S30" s="705" t="e">
        <f t="shared" si="12"/>
        <v>#N/A</v>
      </c>
      <c r="T30" s="704" t="s">
        <v>14</v>
      </c>
      <c r="U30" s="705" t="e">
        <f t="shared" si="13"/>
        <v>#N/A</v>
      </c>
      <c r="V30" s="704" t="s">
        <v>14</v>
      </c>
      <c r="W30" s="705" t="e">
        <f t="shared" si="14"/>
        <v>#N/A</v>
      </c>
      <c r="X30" s="1354"/>
      <c r="Y30" s="3695"/>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695"/>
      <c r="Q31" s="1342" t="str">
        <f t="shared" si="11"/>
        <v>是否封闭</v>
      </c>
      <c r="R31" s="700" t="s">
        <v>14</v>
      </c>
      <c r="S31" s="701">
        <f t="shared" si="12"/>
        <v>100</v>
      </c>
      <c r="T31" s="700" t="s">
        <v>14</v>
      </c>
      <c r="U31" s="701">
        <f t="shared" si="13"/>
        <v>100</v>
      </c>
      <c r="V31" s="700" t="s">
        <v>14</v>
      </c>
      <c r="W31" s="701">
        <f t="shared" si="14"/>
        <v>100</v>
      </c>
      <c r="X31" s="702"/>
      <c r="Y31" s="3695"/>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5" t="s">
        <v>1696</v>
      </c>
      <c r="Q32" s="1351">
        <f t="shared" si="11"/>
        <v>111</v>
      </c>
      <c r="R32" s="704" t="s">
        <v>14</v>
      </c>
      <c r="S32" s="705">
        <f t="shared" si="12"/>
        <v>100</v>
      </c>
      <c r="T32" s="704" t="s">
        <v>14</v>
      </c>
      <c r="U32" s="705">
        <f t="shared" si="13"/>
        <v>100</v>
      </c>
      <c r="V32" s="704" t="s">
        <v>14</v>
      </c>
      <c r="W32" s="705">
        <f t="shared" si="14"/>
        <v>100</v>
      </c>
      <c r="X32" s="1354"/>
      <c r="Y32" s="3695"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5"/>
      <c r="Q33" s="1351">
        <f t="shared" si="11"/>
        <v>111</v>
      </c>
      <c r="R33" s="704" t="s">
        <v>14</v>
      </c>
      <c r="S33" s="705">
        <f t="shared" si="12"/>
        <v>100</v>
      </c>
      <c r="T33" s="704" t="s">
        <v>14</v>
      </c>
      <c r="U33" s="705">
        <f t="shared" si="13"/>
        <v>100</v>
      </c>
      <c r="V33" s="704" t="s">
        <v>14</v>
      </c>
      <c r="W33" s="705">
        <f t="shared" si="14"/>
        <v>100</v>
      </c>
      <c r="X33" s="1354"/>
      <c r="Y33" s="3695"/>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695"/>
      <c r="Q34" s="1351">
        <f t="shared" si="11"/>
        <v>111</v>
      </c>
      <c r="R34" s="704" t="s">
        <v>14</v>
      </c>
      <c r="S34" s="705">
        <f t="shared" si="12"/>
        <v>100</v>
      </c>
      <c r="T34" s="704" t="s">
        <v>14</v>
      </c>
      <c r="U34" s="705">
        <f t="shared" si="13"/>
        <v>100</v>
      </c>
      <c r="V34" s="704" t="s">
        <v>14</v>
      </c>
      <c r="W34" s="705">
        <f t="shared" si="14"/>
        <v>100</v>
      </c>
      <c r="X34" s="1354"/>
      <c r="Y34" s="3695"/>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2"/>
      <c r="M35" s="2723"/>
      <c r="N35" s="2714"/>
      <c r="O35" s="2723"/>
      <c r="P35" s="3683" t="str">
        <f>A35</f>
        <v>成交单价（元/平方米）</v>
      </c>
      <c r="Q35" s="3683"/>
      <c r="R35" s="3684">
        <f>E35</f>
        <v>0</v>
      </c>
      <c r="S35" s="3684"/>
      <c r="T35" s="3684">
        <f>G35</f>
        <v>0</v>
      </c>
      <c r="U35" s="3684"/>
      <c r="V35" s="3684">
        <f>I35</f>
        <v>0</v>
      </c>
      <c r="W35" s="3684"/>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2"/>
      <c r="M36" s="2723"/>
      <c r="N36" s="2714"/>
      <c r="O36" s="2723"/>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685" t="str">
        <f>A37</f>
        <v>估价对象XX用房的比较价值（楼面单价，元/平方米）</v>
      </c>
      <c r="Q37" s="3686"/>
      <c r="R37" s="3796" t="e">
        <f>IF(F1="售价",ROUND(IF(D36="简单平均",AVERAGE(R36:W36),R36*F36+T36*H36+V36*J36),0),ROUND(IF(D36="简单平均",AVERAGE(R36:V36),R36*F36+T36*H36+V36*J36),1))</f>
        <v>#DIV/0!</v>
      </c>
      <c r="S37" s="3796"/>
      <c r="T37" s="3796"/>
      <c r="U37" s="3796"/>
      <c r="V37" s="3796"/>
      <c r="W37" s="3796"/>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2025-6</v>
      </c>
      <c r="D46" s="1184">
        <f>EDATE(C46,-1)</f>
        <v>45778</v>
      </c>
      <c r="E46" s="1184">
        <f t="shared" ref="E46:O46" si="16">EDATE(D46,-1)</f>
        <v>45748</v>
      </c>
      <c r="F46" s="1184">
        <f t="shared" si="16"/>
        <v>45717</v>
      </c>
      <c r="G46" s="1184">
        <f t="shared" si="16"/>
        <v>45689</v>
      </c>
      <c r="H46" s="1184">
        <f t="shared" si="16"/>
        <v>45658</v>
      </c>
      <c r="I46" s="1184">
        <f t="shared" si="16"/>
        <v>45627</v>
      </c>
      <c r="J46" s="1184">
        <f t="shared" si="16"/>
        <v>45597</v>
      </c>
      <c r="K46" s="1184">
        <f t="shared" si="16"/>
        <v>45566</v>
      </c>
      <c r="L46" s="1184">
        <f t="shared" si="16"/>
        <v>45536</v>
      </c>
      <c r="M46" s="1184">
        <f t="shared" si="16"/>
        <v>45505</v>
      </c>
      <c r="N46" s="1184">
        <f t="shared" si="16"/>
        <v>45474</v>
      </c>
      <c r="O46" s="1184">
        <f t="shared" si="16"/>
        <v>45444</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6" zoomScale="60" zoomScaleNormal="60" workbookViewId="0">
      <selection activeCell="B32" sqref="B3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702" t="s">
        <v>1770</v>
      </c>
      <c r="D4" s="3703"/>
      <c r="E4" s="3704" t="s">
        <v>1771</v>
      </c>
      <c r="F4" s="3705"/>
      <c r="G4" s="3702" t="s">
        <v>1772</v>
      </c>
      <c r="H4" s="3703"/>
      <c r="I4" s="3702" t="s">
        <v>1773</v>
      </c>
      <c r="J4" s="3703"/>
      <c r="K4" s="559" t="s">
        <v>1774</v>
      </c>
      <c r="L4" s="2713"/>
      <c r="M4" s="2714"/>
      <c r="N4" s="2714"/>
      <c r="O4" s="2714"/>
      <c r="P4" s="3706" t="s">
        <v>1775</v>
      </c>
      <c r="Q4" s="3707"/>
      <c r="R4" s="3712" t="s">
        <v>1771</v>
      </c>
      <c r="S4" s="3713"/>
      <c r="T4" s="3712" t="s">
        <v>1772</v>
      </c>
      <c r="U4" s="3713"/>
      <c r="V4" s="3697" t="s">
        <v>1773</v>
      </c>
      <c r="W4" s="3697"/>
      <c r="X4" s="1354"/>
      <c r="Y4" s="3712" t="s">
        <v>1775</v>
      </c>
      <c r="Z4" s="3713"/>
      <c r="AA4" s="3699" t="s">
        <v>1771</v>
      </c>
      <c r="AB4" s="3700" t="s">
        <v>1772</v>
      </c>
      <c r="AC4" s="3699" t="s">
        <v>1773</v>
      </c>
    </row>
    <row r="5" spans="1:30" ht="15">
      <c r="A5" s="358"/>
      <c r="B5" s="359"/>
      <c r="C5" s="3778" t="s">
        <v>1673</v>
      </c>
      <c r="D5" s="3721"/>
      <c r="E5" s="3779" t="s">
        <v>1674</v>
      </c>
      <c r="F5" s="3729"/>
      <c r="G5" s="3778" t="s">
        <v>1675</v>
      </c>
      <c r="H5" s="3721"/>
      <c r="I5" s="3778" t="s">
        <v>1676</v>
      </c>
      <c r="J5" s="3721"/>
      <c r="K5" s="559"/>
      <c r="L5" s="2713"/>
      <c r="M5" s="2714"/>
      <c r="N5" s="2714"/>
      <c r="O5" s="2714"/>
      <c r="P5" s="3708"/>
      <c r="Q5" s="3709"/>
      <c r="R5" s="3714"/>
      <c r="S5" s="3715"/>
      <c r="T5" s="3714"/>
      <c r="U5" s="3715"/>
      <c r="V5" s="3697"/>
      <c r="W5" s="3697"/>
      <c r="X5" s="1354"/>
      <c r="Y5" s="3714"/>
      <c r="Z5" s="3715"/>
      <c r="AA5" s="3700"/>
      <c r="AB5" s="3700"/>
      <c r="AC5" s="3700"/>
    </row>
    <row r="6" spans="1:30" ht="15.75" thickBot="1">
      <c r="A6" s="360"/>
      <c r="B6" s="361"/>
      <c r="C6" s="3725" t="s">
        <v>1677</v>
      </c>
      <c r="D6" s="3719"/>
      <c r="E6" s="3726" t="s">
        <v>1677</v>
      </c>
      <c r="F6" s="3727"/>
      <c r="G6" s="3725" t="s">
        <v>1677</v>
      </c>
      <c r="H6" s="3719"/>
      <c r="I6" s="3725" t="s">
        <v>1677</v>
      </c>
      <c r="J6" s="3719"/>
      <c r="K6" s="559" t="s">
        <v>1678</v>
      </c>
      <c r="L6" s="2713"/>
      <c r="M6" s="2714"/>
      <c r="N6" s="2714"/>
      <c r="O6" s="2714"/>
      <c r="P6" s="3710"/>
      <c r="Q6" s="3711"/>
      <c r="R6" s="3714"/>
      <c r="S6" s="3715"/>
      <c r="T6" s="3716"/>
      <c r="U6" s="3717"/>
      <c r="V6" s="3697"/>
      <c r="W6" s="3697"/>
      <c r="X6" s="1354"/>
      <c r="Y6" s="3716"/>
      <c r="Z6" s="3717"/>
      <c r="AA6" s="3701"/>
      <c r="AB6" s="3701"/>
      <c r="AC6" s="3701"/>
    </row>
    <row r="7" spans="1:30" s="108" customFormat="1" ht="15.75" thickBot="1">
      <c r="A7" s="362" t="s">
        <v>1679</v>
      </c>
      <c r="B7" s="363"/>
      <c r="C7" s="364">
        <f>'数据-取费表'!B2</f>
        <v>45821</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22" t="s">
        <v>1680</v>
      </c>
      <c r="Q7" s="3724"/>
      <c r="R7" s="700" t="s">
        <v>14</v>
      </c>
      <c r="S7" s="701">
        <f t="shared" ref="S7:S15" si="0">F7</f>
        <v>0</v>
      </c>
      <c r="T7" s="700" t="s">
        <v>14</v>
      </c>
      <c r="U7" s="701">
        <f t="shared" ref="U7:U15" si="1">H7</f>
        <v>0</v>
      </c>
      <c r="V7" s="700" t="s">
        <v>14</v>
      </c>
      <c r="W7" s="701">
        <f t="shared" ref="W7:W15" si="2">J7</f>
        <v>0</v>
      </c>
      <c r="X7" s="702"/>
      <c r="Y7" s="3722" t="s">
        <v>1680</v>
      </c>
      <c r="Z7" s="3723"/>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22" t="s">
        <v>1683</v>
      </c>
      <c r="Q8" s="3723"/>
      <c r="R8" s="700" t="s">
        <v>14</v>
      </c>
      <c r="S8" s="701">
        <f t="shared" si="0"/>
        <v>0</v>
      </c>
      <c r="T8" s="700" t="s">
        <v>14</v>
      </c>
      <c r="U8" s="701">
        <f t="shared" si="1"/>
        <v>0</v>
      </c>
      <c r="V8" s="700" t="s">
        <v>14</v>
      </c>
      <c r="W8" s="701">
        <f t="shared" si="2"/>
        <v>0</v>
      </c>
      <c r="X8" s="702"/>
      <c r="Y8" s="3722" t="s">
        <v>1683</v>
      </c>
      <c r="Z8" s="3723"/>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683" t="s">
        <v>1686</v>
      </c>
      <c r="Q9" s="1342" t="str">
        <f t="shared" ref="Q9:Q15" si="6">B9</f>
        <v>用途</v>
      </c>
      <c r="R9" s="700" t="s">
        <v>14</v>
      </c>
      <c r="S9" s="701">
        <f t="shared" si="0"/>
        <v>100</v>
      </c>
      <c r="T9" s="700" t="s">
        <v>14</v>
      </c>
      <c r="U9" s="701">
        <f t="shared" si="1"/>
        <v>100</v>
      </c>
      <c r="V9" s="700" t="s">
        <v>14</v>
      </c>
      <c r="W9" s="701">
        <f t="shared" si="2"/>
        <v>100</v>
      </c>
      <c r="X9" s="702"/>
      <c r="Y9" s="3590"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140</v>
      </c>
      <c r="G10" s="414"/>
      <c r="H10" s="127">
        <f>ROUND(100/'数据-取费表'!G16,0)</f>
        <v>140</v>
      </c>
      <c r="I10" s="414"/>
      <c r="J10" s="127">
        <f>ROUND(100/'数据-取费表'!G16,0)</f>
        <v>140</v>
      </c>
      <c r="K10" s="619"/>
      <c r="L10" s="2717"/>
      <c r="M10" s="2718"/>
      <c r="N10" s="2718"/>
      <c r="O10" s="2771"/>
      <c r="P10" s="3683"/>
      <c r="Q10" s="1342" t="str">
        <f t="shared" si="6"/>
        <v>土地使用年限（年）</v>
      </c>
      <c r="R10" s="700" t="s">
        <v>14</v>
      </c>
      <c r="S10" s="701">
        <f t="shared" si="0"/>
        <v>140</v>
      </c>
      <c r="T10" s="700" t="s">
        <v>14</v>
      </c>
      <c r="U10" s="701">
        <f t="shared" si="1"/>
        <v>140</v>
      </c>
      <c r="V10" s="700" t="s">
        <v>14</v>
      </c>
      <c r="W10" s="701">
        <f t="shared" si="2"/>
        <v>140</v>
      </c>
      <c r="X10" s="702"/>
      <c r="Y10" s="3590"/>
      <c r="Z10" s="52" t="str">
        <f t="shared" si="7"/>
        <v>土地使用年限（年）</v>
      </c>
      <c r="AA10" s="703">
        <f t="shared" si="3"/>
        <v>0.7142857142857143</v>
      </c>
      <c r="AB10" s="703">
        <f t="shared" si="4"/>
        <v>0.7142857142857143</v>
      </c>
      <c r="AC10" s="703">
        <f t="shared" si="5"/>
        <v>0.7142857142857143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683"/>
      <c r="Q11" s="1342" t="str">
        <f t="shared" si="6"/>
        <v>容积率</v>
      </c>
      <c r="R11" s="700" t="s">
        <v>14</v>
      </c>
      <c r="S11" s="701" t="e">
        <f t="shared" si="0"/>
        <v>#N/A</v>
      </c>
      <c r="T11" s="700" t="s">
        <v>14</v>
      </c>
      <c r="U11" s="701" t="e">
        <f t="shared" si="1"/>
        <v>#N/A</v>
      </c>
      <c r="V11" s="700" t="s">
        <v>14</v>
      </c>
      <c r="W11" s="701" t="e">
        <f t="shared" si="2"/>
        <v>#N/A</v>
      </c>
      <c r="X11" s="702"/>
      <c r="Y11" s="3590"/>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683"/>
      <c r="Q12" s="1342" t="str">
        <f t="shared" si="6"/>
        <v>配建</v>
      </c>
      <c r="R12" s="700" t="s">
        <v>14</v>
      </c>
      <c r="S12" s="701">
        <f t="shared" si="0"/>
        <v>100</v>
      </c>
      <c r="T12" s="700" t="s">
        <v>14</v>
      </c>
      <c r="U12" s="701">
        <f t="shared" si="1"/>
        <v>100</v>
      </c>
      <c r="V12" s="700" t="s">
        <v>14</v>
      </c>
      <c r="W12" s="701">
        <f t="shared" si="2"/>
        <v>100</v>
      </c>
      <c r="X12" s="702"/>
      <c r="Y12" s="3590"/>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683"/>
      <c r="Q13" s="1342">
        <f t="shared" si="6"/>
        <v>111</v>
      </c>
      <c r="R13" s="700" t="s">
        <v>14</v>
      </c>
      <c r="S13" s="701">
        <f t="shared" si="0"/>
        <v>100</v>
      </c>
      <c r="T13" s="700" t="s">
        <v>14</v>
      </c>
      <c r="U13" s="701">
        <f t="shared" si="1"/>
        <v>100</v>
      </c>
      <c r="V13" s="700" t="s">
        <v>14</v>
      </c>
      <c r="W13" s="701">
        <f t="shared" si="2"/>
        <v>100</v>
      </c>
      <c r="X13" s="702"/>
      <c r="Y13" s="3590"/>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683"/>
      <c r="Q14" s="1342">
        <f t="shared" si="6"/>
        <v>111</v>
      </c>
      <c r="R14" s="700" t="s">
        <v>14</v>
      </c>
      <c r="S14" s="701">
        <f t="shared" si="0"/>
        <v>100</v>
      </c>
      <c r="T14" s="700" t="s">
        <v>14</v>
      </c>
      <c r="U14" s="701">
        <f t="shared" si="1"/>
        <v>100</v>
      </c>
      <c r="V14" s="700" t="s">
        <v>14</v>
      </c>
      <c r="W14" s="701">
        <f t="shared" si="2"/>
        <v>100</v>
      </c>
      <c r="X14" s="702"/>
      <c r="Y14" s="3590"/>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690" t="s">
        <v>1691</v>
      </c>
      <c r="Q15" s="1351" t="str">
        <f t="shared" si="6"/>
        <v>居住社区成熟度</v>
      </c>
      <c r="R15" s="704" t="s">
        <v>14</v>
      </c>
      <c r="S15" s="705">
        <f t="shared" si="0"/>
        <v>100</v>
      </c>
      <c r="T15" s="704" t="s">
        <v>14</v>
      </c>
      <c r="U15" s="705">
        <f t="shared" si="1"/>
        <v>100</v>
      </c>
      <c r="V15" s="704" t="s">
        <v>14</v>
      </c>
      <c r="W15" s="705">
        <f t="shared" si="2"/>
        <v>100</v>
      </c>
      <c r="X15" s="1354"/>
      <c r="Y15" s="3690"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0"/>
      <c r="M16" s="2714"/>
      <c r="N16" s="2714"/>
      <c r="O16" s="2772"/>
      <c r="P16" s="3691"/>
      <c r="Q16" s="1351"/>
      <c r="R16" s="704"/>
      <c r="S16" s="705"/>
      <c r="T16" s="704"/>
      <c r="U16" s="705"/>
      <c r="V16" s="704"/>
      <c r="W16" s="705"/>
      <c r="X16" s="1354"/>
      <c r="Y16" s="3691"/>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691"/>
      <c r="Q17" s="1351" t="str">
        <f>B17</f>
        <v>商业繁华度</v>
      </c>
      <c r="R17" s="704" t="s">
        <v>14</v>
      </c>
      <c r="S17" s="705">
        <f>F17</f>
        <v>100</v>
      </c>
      <c r="T17" s="704" t="s">
        <v>14</v>
      </c>
      <c r="U17" s="705">
        <f>H17</f>
        <v>100</v>
      </c>
      <c r="V17" s="704" t="s">
        <v>14</v>
      </c>
      <c r="W17" s="705">
        <f>J17</f>
        <v>100</v>
      </c>
      <c r="X17" s="1354"/>
      <c r="Y17" s="369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0"/>
      <c r="M18" s="2714"/>
      <c r="N18" s="2714"/>
      <c r="O18" s="2772"/>
      <c r="P18" s="3691"/>
      <c r="Q18" s="1351"/>
      <c r="R18" s="704"/>
      <c r="S18" s="705"/>
      <c r="T18" s="704"/>
      <c r="U18" s="705"/>
      <c r="V18" s="704"/>
      <c r="W18" s="705"/>
      <c r="X18" s="1354"/>
      <c r="Y18" s="3691"/>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691"/>
      <c r="Q19" s="1351" t="str">
        <f>B19</f>
        <v>办公集聚程度</v>
      </c>
      <c r="R19" s="704" t="s">
        <v>14</v>
      </c>
      <c r="S19" s="705">
        <f>F19</f>
        <v>100</v>
      </c>
      <c r="T19" s="704" t="s">
        <v>14</v>
      </c>
      <c r="U19" s="705">
        <f>H19</f>
        <v>100</v>
      </c>
      <c r="V19" s="704" t="s">
        <v>14</v>
      </c>
      <c r="W19" s="705">
        <f>J19</f>
        <v>100</v>
      </c>
      <c r="X19" s="1354"/>
      <c r="Y19" s="369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0"/>
      <c r="M20" s="2714"/>
      <c r="N20" s="2714"/>
      <c r="O20" s="2772"/>
      <c r="P20" s="3691"/>
      <c r="Q20" s="1351"/>
      <c r="R20" s="704"/>
      <c r="S20" s="705"/>
      <c r="T20" s="704"/>
      <c r="U20" s="705"/>
      <c r="V20" s="704"/>
      <c r="W20" s="705"/>
      <c r="X20" s="1354"/>
      <c r="Y20" s="3691"/>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691"/>
      <c r="Q21" s="1351" t="str">
        <f>B21</f>
        <v>交通便捷度</v>
      </c>
      <c r="R21" s="704" t="s">
        <v>14</v>
      </c>
      <c r="S21" s="705">
        <f>F21</f>
        <v>100</v>
      </c>
      <c r="T21" s="704" t="s">
        <v>14</v>
      </c>
      <c r="U21" s="705">
        <f>H21</f>
        <v>100</v>
      </c>
      <c r="V21" s="704" t="s">
        <v>14</v>
      </c>
      <c r="W21" s="705">
        <f>J21</f>
        <v>100</v>
      </c>
      <c r="X21" s="1354"/>
      <c r="Y21" s="3691"/>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0"/>
      <c r="M22" s="2714"/>
      <c r="N22" s="2714"/>
      <c r="O22" s="2772"/>
      <c r="P22" s="3691"/>
      <c r="Q22" s="1351"/>
      <c r="R22" s="704"/>
      <c r="S22" s="705"/>
      <c r="T22" s="704"/>
      <c r="U22" s="705"/>
      <c r="V22" s="704"/>
      <c r="W22" s="705"/>
      <c r="X22" s="1354"/>
      <c r="Y22" s="3691"/>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691"/>
      <c r="Q23" s="1351" t="str">
        <f t="shared" ref="Q23:Q37" si="8">B23</f>
        <v>区域土地利用方向</v>
      </c>
      <c r="R23" s="704" t="s">
        <v>14</v>
      </c>
      <c r="S23" s="705">
        <f>F23</f>
        <v>100</v>
      </c>
      <c r="T23" s="704" t="s">
        <v>14</v>
      </c>
      <c r="U23" s="705">
        <f>H23</f>
        <v>100</v>
      </c>
      <c r="V23" s="704" t="s">
        <v>14</v>
      </c>
      <c r="W23" s="705">
        <f>J23</f>
        <v>100</v>
      </c>
      <c r="X23" s="1354"/>
      <c r="Y23" s="369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691"/>
      <c r="Q24" s="1351"/>
      <c r="R24" s="704"/>
      <c r="S24" s="705"/>
      <c r="T24" s="704"/>
      <c r="U24" s="705"/>
      <c r="V24" s="704"/>
      <c r="W24" s="705"/>
      <c r="X24" s="1354"/>
      <c r="Y24" s="3691"/>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691"/>
      <c r="Q25" s="1351" t="str">
        <f t="shared" si="8"/>
        <v>自然及人文环境状况</v>
      </c>
      <c r="R25" s="704" t="s">
        <v>14</v>
      </c>
      <c r="S25" s="705">
        <f>F25</f>
        <v>100</v>
      </c>
      <c r="T25" s="704" t="s">
        <v>14</v>
      </c>
      <c r="U25" s="705">
        <f>H25</f>
        <v>100</v>
      </c>
      <c r="V25" s="704" t="s">
        <v>14</v>
      </c>
      <c r="W25" s="705">
        <f>J25</f>
        <v>100</v>
      </c>
      <c r="X25" s="1354"/>
      <c r="Y25" s="369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0"/>
      <c r="M26" s="2714"/>
      <c r="N26" s="2714"/>
      <c r="O26" s="2772"/>
      <c r="P26" s="3691"/>
      <c r="Q26" s="1351"/>
      <c r="R26" s="704"/>
      <c r="S26" s="705"/>
      <c r="T26" s="704"/>
      <c r="U26" s="705"/>
      <c r="V26" s="704"/>
      <c r="W26" s="705"/>
      <c r="X26" s="1354"/>
      <c r="Y26" s="3691"/>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691"/>
      <c r="Q27" s="1342" t="str">
        <f t="shared" si="8"/>
        <v>公共配套设施</v>
      </c>
      <c r="R27" s="700" t="s">
        <v>14</v>
      </c>
      <c r="S27" s="701">
        <f>F27</f>
        <v>100</v>
      </c>
      <c r="T27" s="700" t="s">
        <v>14</v>
      </c>
      <c r="U27" s="701">
        <f>H27</f>
        <v>100</v>
      </c>
      <c r="V27" s="700" t="s">
        <v>14</v>
      </c>
      <c r="W27" s="701">
        <f>J27</f>
        <v>100</v>
      </c>
      <c r="X27" s="702"/>
      <c r="Y27" s="3691"/>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5"/>
      <c r="M28" s="2716"/>
      <c r="N28" s="2716"/>
      <c r="O28" s="2770"/>
      <c r="P28" s="3691"/>
      <c r="Q28" s="1342"/>
      <c r="R28" s="700"/>
      <c r="S28" s="701"/>
      <c r="T28" s="700"/>
      <c r="U28" s="701"/>
      <c r="V28" s="700"/>
      <c r="W28" s="701"/>
      <c r="X28" s="702"/>
      <c r="Y28" s="3691"/>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691"/>
      <c r="Q29" s="1342" t="str">
        <f t="shared" ref="Q29" si="9">B29</f>
        <v>基础设施水平</v>
      </c>
      <c r="R29" s="700" t="s">
        <v>14</v>
      </c>
      <c r="S29" s="701">
        <f>F29</f>
        <v>100</v>
      </c>
      <c r="T29" s="700" t="s">
        <v>14</v>
      </c>
      <c r="U29" s="701">
        <f>H29</f>
        <v>100</v>
      </c>
      <c r="V29" s="700" t="s">
        <v>14</v>
      </c>
      <c r="W29" s="701">
        <f>J29</f>
        <v>100</v>
      </c>
      <c r="X29" s="702"/>
      <c r="Y29" s="3691"/>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5"/>
      <c r="M30" s="2716"/>
      <c r="N30" s="2716"/>
      <c r="O30" s="2770"/>
      <c r="P30" s="3691"/>
      <c r="Q30" s="1342"/>
      <c r="R30" s="700"/>
      <c r="S30" s="701"/>
      <c r="T30" s="700"/>
      <c r="U30" s="701"/>
      <c r="V30" s="700"/>
      <c r="W30" s="701"/>
      <c r="X30" s="702"/>
      <c r="Y30" s="3691"/>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691"/>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1"/>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691"/>
      <c r="Q32" s="1351" t="str">
        <f t="shared" si="8"/>
        <v>毗邻道路的类型与等级</v>
      </c>
      <c r="R32" s="704" t="s">
        <v>14</v>
      </c>
      <c r="S32" s="705">
        <f t="shared" si="10"/>
        <v>100</v>
      </c>
      <c r="T32" s="704" t="s">
        <v>14</v>
      </c>
      <c r="U32" s="705">
        <f t="shared" si="11"/>
        <v>100</v>
      </c>
      <c r="V32" s="704" t="s">
        <v>14</v>
      </c>
      <c r="W32" s="705">
        <f t="shared" si="12"/>
        <v>100</v>
      </c>
      <c r="X32" s="1354"/>
      <c r="Y32" s="369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691"/>
      <c r="Q33" s="1351"/>
      <c r="R33" s="704"/>
      <c r="S33" s="705"/>
      <c r="T33" s="704"/>
      <c r="U33" s="705"/>
      <c r="V33" s="704"/>
      <c r="W33" s="705"/>
      <c r="X33" s="1354"/>
      <c r="Y33" s="3691"/>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691"/>
      <c r="Q34" s="1351" t="str">
        <f t="shared" si="8"/>
        <v>土地级别</v>
      </c>
      <c r="R34" s="704" t="s">
        <v>14</v>
      </c>
      <c r="S34" s="705">
        <f t="shared" si="10"/>
        <v>100</v>
      </c>
      <c r="T34" s="704" t="s">
        <v>14</v>
      </c>
      <c r="U34" s="705">
        <f t="shared" si="11"/>
        <v>100</v>
      </c>
      <c r="V34" s="704" t="s">
        <v>14</v>
      </c>
      <c r="W34" s="705">
        <f t="shared" si="12"/>
        <v>100</v>
      </c>
      <c r="X34" s="1354"/>
      <c r="Y34" s="3691"/>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691"/>
      <c r="Q35" s="1351">
        <f t="shared" si="8"/>
        <v>111</v>
      </c>
      <c r="R35" s="704" t="s">
        <v>14</v>
      </c>
      <c r="S35" s="705">
        <f t="shared" si="10"/>
        <v>100</v>
      </c>
      <c r="T35" s="704" t="s">
        <v>14</v>
      </c>
      <c r="U35" s="705">
        <f t="shared" si="11"/>
        <v>100</v>
      </c>
      <c r="V35" s="704" t="s">
        <v>14</v>
      </c>
      <c r="W35" s="705">
        <f t="shared" si="12"/>
        <v>100</v>
      </c>
      <c r="X35" s="1354"/>
      <c r="Y35" s="3691"/>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95" t="s">
        <v>1696</v>
      </c>
      <c r="Q36" s="1351">
        <f t="shared" si="8"/>
        <v>111</v>
      </c>
      <c r="R36" s="704" t="s">
        <v>14</v>
      </c>
      <c r="S36" s="705">
        <f t="shared" si="10"/>
        <v>100</v>
      </c>
      <c r="T36" s="704" t="s">
        <v>14</v>
      </c>
      <c r="U36" s="705">
        <f t="shared" si="11"/>
        <v>100</v>
      </c>
      <c r="V36" s="704" t="s">
        <v>14</v>
      </c>
      <c r="W36" s="705">
        <f t="shared" si="12"/>
        <v>100</v>
      </c>
      <c r="X36" s="1354"/>
      <c r="Y36" s="3695"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695"/>
      <c r="Q37" s="1351">
        <f t="shared" si="8"/>
        <v>111</v>
      </c>
      <c r="R37" s="707" t="s">
        <v>14</v>
      </c>
      <c r="S37" s="708">
        <f t="shared" si="10"/>
        <v>100</v>
      </c>
      <c r="T37" s="707" t="s">
        <v>14</v>
      </c>
      <c r="U37" s="708">
        <f t="shared" si="11"/>
        <v>100</v>
      </c>
      <c r="V37" s="707" t="s">
        <v>14</v>
      </c>
      <c r="W37" s="708">
        <f t="shared" si="12"/>
        <v>100</v>
      </c>
      <c r="X37" s="709"/>
      <c r="Y37" s="3695"/>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695"/>
      <c r="Q38" s="1351" t="str">
        <f>B38</f>
        <v>宗地面积</v>
      </c>
      <c r="R38" s="704" t="s">
        <v>14</v>
      </c>
      <c r="S38" s="705" t="e">
        <f t="shared" si="10"/>
        <v>#N/A</v>
      </c>
      <c r="T38" s="704" t="s">
        <v>14</v>
      </c>
      <c r="U38" s="705" t="e">
        <f t="shared" si="11"/>
        <v>#N/A</v>
      </c>
      <c r="V38" s="704" t="s">
        <v>14</v>
      </c>
      <c r="W38" s="705" t="e">
        <f t="shared" si="12"/>
        <v>#N/A</v>
      </c>
      <c r="X38" s="1354"/>
      <c r="Y38" s="3695"/>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695"/>
      <c r="Q39" s="1351" t="str">
        <f t="shared" ref="Q39:Q45" si="14">B39</f>
        <v>宗地形状</v>
      </c>
      <c r="R39" s="704" t="s">
        <v>14</v>
      </c>
      <c r="S39" s="705">
        <f t="shared" si="10"/>
        <v>100</v>
      </c>
      <c r="T39" s="704" t="s">
        <v>14</v>
      </c>
      <c r="U39" s="705">
        <f t="shared" si="11"/>
        <v>100</v>
      </c>
      <c r="V39" s="704" t="s">
        <v>14</v>
      </c>
      <c r="W39" s="705">
        <f t="shared" si="12"/>
        <v>100</v>
      </c>
      <c r="X39" s="1354"/>
      <c r="Y39" s="3695"/>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695"/>
      <c r="Q40" s="1351" t="str">
        <f t="shared" si="14"/>
        <v>临街宽度及深度</v>
      </c>
      <c r="R40" s="704" t="s">
        <v>14</v>
      </c>
      <c r="S40" s="705">
        <f t="shared" si="10"/>
        <v>100</v>
      </c>
      <c r="T40" s="704" t="s">
        <v>14</v>
      </c>
      <c r="U40" s="705">
        <f t="shared" si="11"/>
        <v>100</v>
      </c>
      <c r="V40" s="704" t="s">
        <v>14</v>
      </c>
      <c r="W40" s="705">
        <f t="shared" si="12"/>
        <v>100</v>
      </c>
      <c r="X40" s="1354"/>
      <c r="Y40" s="3695"/>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695"/>
      <c r="Q41" s="1351" t="str">
        <f t="shared" si="14"/>
        <v>宗地开发程度</v>
      </c>
      <c r="R41" s="700" t="s">
        <v>14</v>
      </c>
      <c r="S41" s="701">
        <f t="shared" si="10"/>
        <v>100</v>
      </c>
      <c r="T41" s="700" t="s">
        <v>14</v>
      </c>
      <c r="U41" s="701">
        <f t="shared" si="11"/>
        <v>100</v>
      </c>
      <c r="V41" s="700" t="s">
        <v>14</v>
      </c>
      <c r="W41" s="701">
        <f t="shared" si="12"/>
        <v>100</v>
      </c>
      <c r="X41" s="702"/>
      <c r="Y41" s="3695"/>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695" t="s">
        <v>1696</v>
      </c>
      <c r="Q42" s="1351" t="str">
        <f t="shared" si="14"/>
        <v>工程地质条件</v>
      </c>
      <c r="R42" s="704" t="s">
        <v>14</v>
      </c>
      <c r="S42" s="705">
        <f t="shared" si="10"/>
        <v>100</v>
      </c>
      <c r="T42" s="704" t="s">
        <v>14</v>
      </c>
      <c r="U42" s="705">
        <f t="shared" si="11"/>
        <v>100</v>
      </c>
      <c r="V42" s="704" t="s">
        <v>14</v>
      </c>
      <c r="W42" s="705">
        <f t="shared" si="12"/>
        <v>100</v>
      </c>
      <c r="X42" s="1354"/>
      <c r="Y42" s="3695"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695"/>
      <c r="Q43" s="1351">
        <f t="shared" si="14"/>
        <v>111</v>
      </c>
      <c r="R43" s="704" t="s">
        <v>14</v>
      </c>
      <c r="S43" s="705">
        <f t="shared" si="10"/>
        <v>100</v>
      </c>
      <c r="T43" s="704" t="s">
        <v>14</v>
      </c>
      <c r="U43" s="705">
        <f t="shared" si="11"/>
        <v>100</v>
      </c>
      <c r="V43" s="704" t="s">
        <v>14</v>
      </c>
      <c r="W43" s="705">
        <f t="shared" si="12"/>
        <v>100</v>
      </c>
      <c r="X43" s="1354"/>
      <c r="Y43" s="3695"/>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695"/>
      <c r="Q44" s="1351">
        <f t="shared" si="14"/>
        <v>111</v>
      </c>
      <c r="R44" s="704" t="s">
        <v>14</v>
      </c>
      <c r="S44" s="705">
        <f t="shared" si="10"/>
        <v>100</v>
      </c>
      <c r="T44" s="704" t="s">
        <v>14</v>
      </c>
      <c r="U44" s="705">
        <f t="shared" si="11"/>
        <v>100</v>
      </c>
      <c r="V44" s="704" t="s">
        <v>14</v>
      </c>
      <c r="W44" s="705">
        <f t="shared" si="12"/>
        <v>100</v>
      </c>
      <c r="X44" s="1354"/>
      <c r="Y44" s="3695"/>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695"/>
      <c r="Q45" s="1351">
        <f t="shared" si="14"/>
        <v>111</v>
      </c>
      <c r="R45" s="707" t="s">
        <v>14</v>
      </c>
      <c r="S45" s="708">
        <f t="shared" si="10"/>
        <v>100</v>
      </c>
      <c r="T45" s="707" t="s">
        <v>14</v>
      </c>
      <c r="U45" s="708">
        <f t="shared" si="11"/>
        <v>100</v>
      </c>
      <c r="V45" s="707" t="s">
        <v>14</v>
      </c>
      <c r="W45" s="708">
        <f t="shared" si="12"/>
        <v>100</v>
      </c>
      <c r="X45" s="709"/>
      <c r="Y45" s="3695"/>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2"/>
      <c r="M46" s="2723"/>
      <c r="N46" s="2714"/>
      <c r="O46" s="2723"/>
      <c r="P46" s="3683" t="str">
        <f>A46</f>
        <v>成交单价</v>
      </c>
      <c r="Q46" s="3683"/>
      <c r="R46" s="3697">
        <f>E46</f>
        <v>0</v>
      </c>
      <c r="S46" s="3697"/>
      <c r="T46" s="3697">
        <f>G46</f>
        <v>0</v>
      </c>
      <c r="U46" s="3697"/>
      <c r="V46" s="3697">
        <f>I46</f>
        <v>0</v>
      </c>
      <c r="W46" s="3697"/>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2"/>
      <c r="M47" s="2723"/>
      <c r="N47" s="2723"/>
      <c r="O47" s="2723"/>
      <c r="P47" s="3683" t="str">
        <f>A47</f>
        <v>比较价值（元/平方米）</v>
      </c>
      <c r="Q47" s="3683"/>
      <c r="R47" s="3797" t="e">
        <f>ROUND(PRODUCT(R46,AA7:AA45),0)</f>
        <v>#DIV/0!</v>
      </c>
      <c r="S47" s="3797"/>
      <c r="T47" s="3797" t="e">
        <f>ROUND(PRODUCT(T46,AB7:AB45),0)</f>
        <v>#DIV/0!</v>
      </c>
      <c r="U47" s="3797"/>
      <c r="V47" s="3797" t="e">
        <f>ROUND(PRODUCT(V46,AC7:AC45),0)</f>
        <v>#DIV/0!</v>
      </c>
      <c r="W47" s="3797"/>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685" t="str">
        <f>A48</f>
        <v>估价对象XX用房的比较价值（楼面单价，元/平方米）</v>
      </c>
      <c r="Q48" s="3686"/>
      <c r="R48" s="3798" t="e">
        <f>ROUND(IF(D47="简单平均",AVERAGE(R47:W47),R47*F47+T47*H47+V47*J47),0)</f>
        <v>#DIV/0!</v>
      </c>
      <c r="S48" s="3798"/>
      <c r="T48" s="3798"/>
      <c r="U48" s="3798"/>
      <c r="V48" s="3798"/>
      <c r="W48" s="3798"/>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2" t="s">
        <v>1883</v>
      </c>
      <c r="D55" s="1983" t="s">
        <v>1884</v>
      </c>
      <c r="E55" s="633" t="s">
        <v>1885</v>
      </c>
      <c r="F55" s="889" t="s">
        <v>1886</v>
      </c>
      <c r="G55" s="3702" t="s">
        <v>1887</v>
      </c>
      <c r="H55" s="3799"/>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3">
        <v>1</v>
      </c>
      <c r="E56" s="637">
        <f>'数据-汇总表'!E8+'数据-汇总表'!E9</f>
        <v>47.88</v>
      </c>
      <c r="F56" s="885" t="e">
        <f t="shared" ref="F56:F64" si="15">ROUND(B56*E56/10000,0)</f>
        <v>#DIV/0!</v>
      </c>
      <c r="G56" s="3698"/>
      <c r="H56" s="3683"/>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0.6</v>
      </c>
      <c r="D57" s="944">
        <v>0.25</v>
      </c>
      <c r="E57" s="641"/>
      <c r="F57" s="885" t="e">
        <f t="shared" si="15"/>
        <v>#DIV/0!</v>
      </c>
      <c r="G57" s="3004" t="s">
        <v>1892</v>
      </c>
      <c r="H57" s="886" t="str">
        <f>项目基本情况!B37</f>
        <v>三级</v>
      </c>
      <c r="I57" s="890">
        <f>SUMIF(修正!A57:A68,H57,修正!B57:B68)</f>
        <v>0.6</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0.3</v>
      </c>
      <c r="D58" s="944">
        <v>0.25</v>
      </c>
      <c r="E58" s="641"/>
      <c r="F58" s="885" t="e">
        <f t="shared" si="15"/>
        <v>#DIV/0!</v>
      </c>
      <c r="G58" s="3005"/>
      <c r="H58" s="886" t="str">
        <f>项目基本情况!B37</f>
        <v>三级</v>
      </c>
      <c r="I58" s="890">
        <f>SUMIF(修正!A57:A68,H58,修正!C57:C68)</f>
        <v>0.3</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0.25</v>
      </c>
      <c r="D59" s="944">
        <v>0.25</v>
      </c>
      <c r="E59" s="641"/>
      <c r="F59" s="885" t="e">
        <f t="shared" si="15"/>
        <v>#DIV/0!</v>
      </c>
      <c r="G59" s="3005"/>
      <c r="H59" s="886" t="str">
        <f>项目基本情况!B37</f>
        <v>三级</v>
      </c>
      <c r="I59" s="890">
        <f>SUMIF(修正!A57:A68,H59,修正!D57:D68)</f>
        <v>0.25</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三级</v>
      </c>
      <c r="I63" s="890">
        <f>SUMIF(修正!A57:A68,H63,修正!G57:G68)</f>
        <v>0.15</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47.88</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2025-6-1</v>
      </c>
      <c r="D67" s="691">
        <f>EDATE(C67,-3)</f>
        <v>45717</v>
      </c>
      <c r="E67" s="691">
        <f>EDATE(D67,-3)</f>
        <v>45627</v>
      </c>
      <c r="F67" s="691">
        <f t="shared" ref="F67:O67" si="18">EDATE(E67,-3)</f>
        <v>45536</v>
      </c>
      <c r="G67" s="691">
        <f t="shared" si="18"/>
        <v>45444</v>
      </c>
      <c r="H67" s="691">
        <f t="shared" si="18"/>
        <v>45352</v>
      </c>
      <c r="I67" s="691">
        <f t="shared" si="18"/>
        <v>45261</v>
      </c>
      <c r="J67" s="691">
        <f t="shared" si="18"/>
        <v>45170</v>
      </c>
      <c r="K67" s="691">
        <f t="shared" si="18"/>
        <v>45078</v>
      </c>
      <c r="L67" s="691">
        <f t="shared" si="18"/>
        <v>44986</v>
      </c>
      <c r="M67" s="691">
        <f t="shared" si="18"/>
        <v>44896</v>
      </c>
      <c r="N67" s="691">
        <f t="shared" si="18"/>
        <v>44805</v>
      </c>
      <c r="O67" s="691">
        <f t="shared" si="18"/>
        <v>44713</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8"/>
      <c r="C69" s="1181" t="str">
        <f>YEAR(C67)&amp;"-"&amp;ROUNDUP(MONTH(C67)/3,0)</f>
        <v>2025-2</v>
      </c>
      <c r="D69" s="1181" t="str">
        <f>YEAR(D67)&amp;"-"&amp;ROUNDUP(MONTH(D67)/3,0)</f>
        <v>2025-1</v>
      </c>
      <c r="E69" s="1181" t="str">
        <f t="shared" ref="E69:O69" si="19">YEAR(E67)&amp;"-"&amp;ROUNDUP(MONTH(E67)/3,0)</f>
        <v>2024-4</v>
      </c>
      <c r="F69" s="1181" t="str">
        <f t="shared" si="19"/>
        <v>2024-3</v>
      </c>
      <c r="G69" s="1181" t="str">
        <f t="shared" si="19"/>
        <v>2024-2</v>
      </c>
      <c r="H69" s="1181" t="str">
        <f t="shared" si="19"/>
        <v>2024-1</v>
      </c>
      <c r="I69" s="1181" t="str">
        <f t="shared" si="19"/>
        <v>2023-4</v>
      </c>
      <c r="J69" s="1181" t="str">
        <f t="shared" si="19"/>
        <v>2023-3</v>
      </c>
      <c r="K69" s="1181" t="str">
        <f t="shared" si="19"/>
        <v>2023-2</v>
      </c>
      <c r="L69" s="1181" t="str">
        <f t="shared" si="19"/>
        <v>2023-1</v>
      </c>
      <c r="M69" s="1181" t="str">
        <f t="shared" si="19"/>
        <v>2022-4</v>
      </c>
      <c r="N69" s="1181" t="str">
        <f t="shared" si="19"/>
        <v>2022-3</v>
      </c>
      <c r="O69" s="1181"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02" t="s">
        <v>1770</v>
      </c>
      <c r="D4" s="3703"/>
      <c r="E4" s="3704" t="s">
        <v>1771</v>
      </c>
      <c r="F4" s="3705"/>
      <c r="G4" s="3702" t="s">
        <v>1772</v>
      </c>
      <c r="H4" s="3703"/>
      <c r="I4" s="3702" t="s">
        <v>1773</v>
      </c>
      <c r="J4" s="3703"/>
      <c r="K4" s="559" t="s">
        <v>1774</v>
      </c>
      <c r="L4" s="2713"/>
      <c r="M4" s="2714"/>
      <c r="N4" s="2714"/>
      <c r="O4" s="2714"/>
      <c r="P4" s="3706" t="s">
        <v>1775</v>
      </c>
      <c r="Q4" s="3707"/>
      <c r="R4" s="3712" t="s">
        <v>1771</v>
      </c>
      <c r="S4" s="3713"/>
      <c r="T4" s="3712" t="s">
        <v>1772</v>
      </c>
      <c r="U4" s="3713"/>
      <c r="V4" s="3697" t="s">
        <v>1773</v>
      </c>
      <c r="W4" s="3697"/>
      <c r="X4" s="1354"/>
      <c r="Y4" s="3712" t="s">
        <v>1775</v>
      </c>
      <c r="Z4" s="3713"/>
      <c r="AA4" s="3699" t="s">
        <v>1771</v>
      </c>
      <c r="AB4" s="3700" t="s">
        <v>1772</v>
      </c>
      <c r="AC4" s="3699" t="s">
        <v>1773</v>
      </c>
    </row>
    <row r="5" spans="1:29" ht="15">
      <c r="A5" s="358"/>
      <c r="B5" s="359"/>
      <c r="C5" s="3778" t="s">
        <v>1673</v>
      </c>
      <c r="D5" s="3721"/>
      <c r="E5" s="3779" t="s">
        <v>1674</v>
      </c>
      <c r="F5" s="3729"/>
      <c r="G5" s="3778" t="s">
        <v>1675</v>
      </c>
      <c r="H5" s="3721"/>
      <c r="I5" s="3778" t="s">
        <v>1676</v>
      </c>
      <c r="J5" s="3721"/>
      <c r="K5" s="559"/>
      <c r="L5" s="2713"/>
      <c r="M5" s="2714"/>
      <c r="N5" s="2714"/>
      <c r="O5" s="2714"/>
      <c r="P5" s="3708"/>
      <c r="Q5" s="3709"/>
      <c r="R5" s="3714"/>
      <c r="S5" s="3715"/>
      <c r="T5" s="3714"/>
      <c r="U5" s="3715"/>
      <c r="V5" s="3697"/>
      <c r="W5" s="3697"/>
      <c r="X5" s="1354"/>
      <c r="Y5" s="3714"/>
      <c r="Z5" s="3715"/>
      <c r="AA5" s="3700"/>
      <c r="AB5" s="3700"/>
      <c r="AC5" s="3700"/>
    </row>
    <row r="6" spans="1:29" ht="15.75" thickBot="1">
      <c r="A6" s="360"/>
      <c r="B6" s="361"/>
      <c r="C6" s="3800" t="s">
        <v>1919</v>
      </c>
      <c r="D6" s="3801"/>
      <c r="E6" s="3802" t="s">
        <v>1919</v>
      </c>
      <c r="F6" s="3803"/>
      <c r="G6" s="3800" t="s">
        <v>1919</v>
      </c>
      <c r="H6" s="3801"/>
      <c r="I6" s="3800" t="s">
        <v>1919</v>
      </c>
      <c r="J6" s="3801"/>
      <c r="K6" s="559" t="s">
        <v>1678</v>
      </c>
      <c r="L6" s="2713"/>
      <c r="M6" s="2714"/>
      <c r="N6" s="2714"/>
      <c r="O6" s="2714"/>
      <c r="P6" s="3710"/>
      <c r="Q6" s="3711"/>
      <c r="R6" s="3714"/>
      <c r="S6" s="3715"/>
      <c r="T6" s="3716"/>
      <c r="U6" s="3717"/>
      <c r="V6" s="3697"/>
      <c r="W6" s="3697"/>
      <c r="X6" s="1354"/>
      <c r="Y6" s="3716"/>
      <c r="Z6" s="3717"/>
      <c r="AA6" s="3701"/>
      <c r="AB6" s="3701"/>
      <c r="AC6" s="3701"/>
    </row>
    <row r="7" spans="1:29" s="108" customFormat="1" ht="15.75" thickBot="1">
      <c r="A7" s="362" t="s">
        <v>1679</v>
      </c>
      <c r="B7" s="363"/>
      <c r="C7" s="364">
        <f>'数据-取费表'!B2</f>
        <v>45821</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22" t="s">
        <v>1680</v>
      </c>
      <c r="Q7" s="3724"/>
      <c r="R7" s="700" t="s">
        <v>14</v>
      </c>
      <c r="S7" s="701">
        <f t="shared" ref="S7:S15" si="0">F7</f>
        <v>0</v>
      </c>
      <c r="T7" s="700" t="s">
        <v>14</v>
      </c>
      <c r="U7" s="701">
        <f t="shared" ref="U7:U15" si="1">H7</f>
        <v>0</v>
      </c>
      <c r="V7" s="700" t="s">
        <v>14</v>
      </c>
      <c r="W7" s="701">
        <f t="shared" ref="W7:W15" si="2">J7</f>
        <v>0</v>
      </c>
      <c r="X7" s="702"/>
      <c r="Y7" s="3722" t="s">
        <v>1680</v>
      </c>
      <c r="Z7" s="3723"/>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22" t="s">
        <v>1683</v>
      </c>
      <c r="Q8" s="3723"/>
      <c r="R8" s="700" t="s">
        <v>14</v>
      </c>
      <c r="S8" s="701">
        <f t="shared" si="0"/>
        <v>0</v>
      </c>
      <c r="T8" s="700" t="s">
        <v>14</v>
      </c>
      <c r="U8" s="701">
        <f t="shared" si="1"/>
        <v>0</v>
      </c>
      <c r="V8" s="700" t="s">
        <v>14</v>
      </c>
      <c r="W8" s="701">
        <f t="shared" si="2"/>
        <v>0</v>
      </c>
      <c r="X8" s="702"/>
      <c r="Y8" s="3722" t="s">
        <v>1683</v>
      </c>
      <c r="Z8" s="3723"/>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683" t="s">
        <v>1686</v>
      </c>
      <c r="Q9" s="1342" t="str">
        <f t="shared" ref="Q9:Q15" si="6">B9</f>
        <v>用途</v>
      </c>
      <c r="R9" s="700" t="s">
        <v>14</v>
      </c>
      <c r="S9" s="701">
        <f t="shared" si="0"/>
        <v>100</v>
      </c>
      <c r="T9" s="700" t="s">
        <v>14</v>
      </c>
      <c r="U9" s="701">
        <f t="shared" si="1"/>
        <v>100</v>
      </c>
      <c r="V9" s="700" t="s">
        <v>14</v>
      </c>
      <c r="W9" s="701">
        <f t="shared" si="2"/>
        <v>100</v>
      </c>
      <c r="X9" s="702"/>
      <c r="Y9" s="3590"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140</v>
      </c>
      <c r="G10" s="383"/>
      <c r="H10" s="127">
        <f>ROUND(100/'数据-取费表'!G16,0)</f>
        <v>140</v>
      </c>
      <c r="I10" s="383"/>
      <c r="J10" s="127">
        <f>ROUND(100/'数据-取费表'!G16,0)</f>
        <v>140</v>
      </c>
      <c r="K10" s="619"/>
      <c r="L10" s="2717"/>
      <c r="M10" s="2718"/>
      <c r="N10" s="2718"/>
      <c r="O10" s="2771"/>
      <c r="P10" s="3683"/>
      <c r="Q10" s="1342" t="str">
        <f t="shared" si="6"/>
        <v>土地使用年限（年）</v>
      </c>
      <c r="R10" s="700" t="s">
        <v>14</v>
      </c>
      <c r="S10" s="701">
        <f t="shared" si="0"/>
        <v>140</v>
      </c>
      <c r="T10" s="700" t="s">
        <v>14</v>
      </c>
      <c r="U10" s="701">
        <f t="shared" si="1"/>
        <v>140</v>
      </c>
      <c r="V10" s="700" t="s">
        <v>14</v>
      </c>
      <c r="W10" s="701">
        <f t="shared" si="2"/>
        <v>140</v>
      </c>
      <c r="X10" s="702"/>
      <c r="Y10" s="3590"/>
      <c r="Z10" s="52" t="str">
        <f t="shared" si="7"/>
        <v>土地使用年限（年）</v>
      </c>
      <c r="AA10" s="703">
        <f t="shared" si="3"/>
        <v>0.7142857142857143</v>
      </c>
      <c r="AB10" s="703">
        <f t="shared" si="4"/>
        <v>0.7142857142857143</v>
      </c>
      <c r="AC10" s="703">
        <f t="shared" si="5"/>
        <v>0.7142857142857143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683"/>
      <c r="Q11" s="1342" t="str">
        <f t="shared" si="6"/>
        <v>容积率</v>
      </c>
      <c r="R11" s="700" t="s">
        <v>14</v>
      </c>
      <c r="S11" s="701" t="e">
        <f t="shared" si="0"/>
        <v>#N/A</v>
      </c>
      <c r="T11" s="700" t="s">
        <v>14</v>
      </c>
      <c r="U11" s="701" t="e">
        <f t="shared" si="1"/>
        <v>#N/A</v>
      </c>
      <c r="V11" s="700" t="s">
        <v>14</v>
      </c>
      <c r="W11" s="701" t="e">
        <f t="shared" si="2"/>
        <v>#N/A</v>
      </c>
      <c r="X11" s="702"/>
      <c r="Y11" s="3590"/>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683"/>
      <c r="Q12" s="1342">
        <f t="shared" si="6"/>
        <v>111</v>
      </c>
      <c r="R12" s="700" t="s">
        <v>14</v>
      </c>
      <c r="S12" s="701">
        <f t="shared" si="0"/>
        <v>100</v>
      </c>
      <c r="T12" s="700" t="s">
        <v>14</v>
      </c>
      <c r="U12" s="701">
        <f t="shared" si="1"/>
        <v>100</v>
      </c>
      <c r="V12" s="700" t="s">
        <v>14</v>
      </c>
      <c r="W12" s="701">
        <f t="shared" si="2"/>
        <v>100</v>
      </c>
      <c r="X12" s="702"/>
      <c r="Y12" s="3590"/>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683"/>
      <c r="Q13" s="1342">
        <f t="shared" si="6"/>
        <v>111</v>
      </c>
      <c r="R13" s="700" t="s">
        <v>14</v>
      </c>
      <c r="S13" s="701">
        <f t="shared" si="0"/>
        <v>100</v>
      </c>
      <c r="T13" s="700" t="s">
        <v>14</v>
      </c>
      <c r="U13" s="701">
        <f t="shared" si="1"/>
        <v>100</v>
      </c>
      <c r="V13" s="700" t="s">
        <v>14</v>
      </c>
      <c r="W13" s="701">
        <f t="shared" si="2"/>
        <v>100</v>
      </c>
      <c r="X13" s="702"/>
      <c r="Y13" s="3590"/>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683"/>
      <c r="Q14" s="1342">
        <f t="shared" si="6"/>
        <v>111</v>
      </c>
      <c r="R14" s="700" t="s">
        <v>14</v>
      </c>
      <c r="S14" s="701">
        <f t="shared" si="0"/>
        <v>100</v>
      </c>
      <c r="T14" s="700" t="s">
        <v>14</v>
      </c>
      <c r="U14" s="701">
        <f t="shared" si="1"/>
        <v>100</v>
      </c>
      <c r="V14" s="700" t="s">
        <v>14</v>
      </c>
      <c r="W14" s="701">
        <f t="shared" si="2"/>
        <v>100</v>
      </c>
      <c r="X14" s="702"/>
      <c r="Y14" s="3590"/>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690" t="s">
        <v>1691</v>
      </c>
      <c r="Q15" s="1351" t="str">
        <f t="shared" si="6"/>
        <v>产业集聚程度</v>
      </c>
      <c r="R15" s="704" t="s">
        <v>14</v>
      </c>
      <c r="S15" s="705">
        <f t="shared" si="0"/>
        <v>100</v>
      </c>
      <c r="T15" s="704" t="s">
        <v>14</v>
      </c>
      <c r="U15" s="705">
        <f t="shared" si="1"/>
        <v>100</v>
      </c>
      <c r="V15" s="704" t="s">
        <v>14</v>
      </c>
      <c r="W15" s="705">
        <f t="shared" si="2"/>
        <v>100</v>
      </c>
      <c r="X15" s="1354"/>
      <c r="Y15" s="3690"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0"/>
      <c r="M16" s="2714"/>
      <c r="N16" s="2714"/>
      <c r="O16" s="2772"/>
      <c r="P16" s="3691"/>
      <c r="Q16" s="1351"/>
      <c r="R16" s="704"/>
      <c r="S16" s="705"/>
      <c r="T16" s="704"/>
      <c r="U16" s="705"/>
      <c r="V16" s="704"/>
      <c r="W16" s="705"/>
      <c r="X16" s="1354"/>
      <c r="Y16" s="3691"/>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691"/>
      <c r="Q17" s="1351" t="str">
        <f>B17</f>
        <v>交通便捷度</v>
      </c>
      <c r="R17" s="704" t="s">
        <v>14</v>
      </c>
      <c r="S17" s="705">
        <f>F17</f>
        <v>100</v>
      </c>
      <c r="T17" s="704" t="s">
        <v>14</v>
      </c>
      <c r="U17" s="705">
        <f>H17</f>
        <v>100</v>
      </c>
      <c r="V17" s="704" t="s">
        <v>14</v>
      </c>
      <c r="W17" s="705">
        <f>J17</f>
        <v>100</v>
      </c>
      <c r="X17" s="1354"/>
      <c r="Y17" s="3691"/>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0"/>
      <c r="M18" s="2714"/>
      <c r="N18" s="2714"/>
      <c r="O18" s="2772"/>
      <c r="P18" s="3691"/>
      <c r="Q18" s="1351"/>
      <c r="R18" s="704"/>
      <c r="S18" s="705"/>
      <c r="T18" s="704"/>
      <c r="U18" s="705"/>
      <c r="V18" s="704"/>
      <c r="W18" s="705"/>
      <c r="X18" s="1354"/>
      <c r="Y18" s="3691"/>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691"/>
      <c r="Q19" s="1351" t="str">
        <f t="shared" ref="Q19:Q33" si="8">B19</f>
        <v>区域土地利用方向</v>
      </c>
      <c r="R19" s="704" t="s">
        <v>14</v>
      </c>
      <c r="S19" s="705">
        <f>F19</f>
        <v>100</v>
      </c>
      <c r="T19" s="704" t="s">
        <v>14</v>
      </c>
      <c r="U19" s="705">
        <f>H19</f>
        <v>100</v>
      </c>
      <c r="V19" s="704" t="s">
        <v>14</v>
      </c>
      <c r="W19" s="705">
        <f>J19</f>
        <v>100</v>
      </c>
      <c r="X19" s="1354"/>
      <c r="Y19" s="3691"/>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0"/>
      <c r="M20" s="2714"/>
      <c r="N20" s="2714"/>
      <c r="O20" s="2772"/>
      <c r="P20" s="3691"/>
      <c r="Q20" s="1351"/>
      <c r="R20" s="704"/>
      <c r="S20" s="705"/>
      <c r="T20" s="704"/>
      <c r="U20" s="705"/>
      <c r="V20" s="704"/>
      <c r="W20" s="705"/>
      <c r="X20" s="1354"/>
      <c r="Y20" s="3691"/>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691"/>
      <c r="Q21" s="1351" t="str">
        <f t="shared" si="8"/>
        <v>环境状况</v>
      </c>
      <c r="R21" s="704" t="s">
        <v>14</v>
      </c>
      <c r="S21" s="705">
        <f>F21</f>
        <v>100</v>
      </c>
      <c r="T21" s="704" t="s">
        <v>14</v>
      </c>
      <c r="U21" s="705">
        <f>H21</f>
        <v>100</v>
      </c>
      <c r="V21" s="704" t="s">
        <v>14</v>
      </c>
      <c r="W21" s="705">
        <f>J21</f>
        <v>100</v>
      </c>
      <c r="X21" s="1354"/>
      <c r="Y21" s="3691"/>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0"/>
      <c r="M22" s="2714"/>
      <c r="N22" s="2714"/>
      <c r="O22" s="2772"/>
      <c r="P22" s="3691"/>
      <c r="Q22" s="1351"/>
      <c r="R22" s="704"/>
      <c r="S22" s="705"/>
      <c r="T22" s="704"/>
      <c r="U22" s="705"/>
      <c r="V22" s="704"/>
      <c r="W22" s="705"/>
      <c r="X22" s="1354"/>
      <c r="Y22" s="3691"/>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691"/>
      <c r="Q23" s="1342" t="str">
        <f t="shared" si="8"/>
        <v>公共配套设施</v>
      </c>
      <c r="R23" s="700" t="s">
        <v>14</v>
      </c>
      <c r="S23" s="701">
        <f>F23</f>
        <v>100</v>
      </c>
      <c r="T23" s="700" t="s">
        <v>14</v>
      </c>
      <c r="U23" s="701">
        <f>H23</f>
        <v>100</v>
      </c>
      <c r="V23" s="700" t="s">
        <v>14</v>
      </c>
      <c r="W23" s="701">
        <f>J23</f>
        <v>100</v>
      </c>
      <c r="X23" s="702"/>
      <c r="Y23" s="3691"/>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5"/>
      <c r="M24" s="2716"/>
      <c r="N24" s="2716"/>
      <c r="O24" s="2770"/>
      <c r="P24" s="3691"/>
      <c r="Q24" s="1342"/>
      <c r="R24" s="700"/>
      <c r="S24" s="701"/>
      <c r="T24" s="700"/>
      <c r="U24" s="701"/>
      <c r="V24" s="700"/>
      <c r="W24" s="701"/>
      <c r="X24" s="702"/>
      <c r="Y24" s="3691"/>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691"/>
      <c r="Q25" s="1342" t="str">
        <f t="shared" ref="Q25" si="9">B25</f>
        <v>基础设施水平</v>
      </c>
      <c r="R25" s="700" t="s">
        <v>14</v>
      </c>
      <c r="S25" s="701">
        <f>F25</f>
        <v>100</v>
      </c>
      <c r="T25" s="700" t="s">
        <v>14</v>
      </c>
      <c r="U25" s="701">
        <f>H25</f>
        <v>100</v>
      </c>
      <c r="V25" s="700" t="s">
        <v>14</v>
      </c>
      <c r="W25" s="701">
        <f>J25</f>
        <v>100</v>
      </c>
      <c r="X25" s="702"/>
      <c r="Y25" s="3691"/>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5"/>
      <c r="M26" s="2716"/>
      <c r="N26" s="2716"/>
      <c r="O26" s="2770"/>
      <c r="P26" s="3691"/>
      <c r="Q26" s="1342"/>
      <c r="R26" s="700"/>
      <c r="S26" s="701"/>
      <c r="T26" s="700"/>
      <c r="U26" s="701"/>
      <c r="V26" s="700"/>
      <c r="W26" s="701"/>
      <c r="X26" s="702"/>
      <c r="Y26" s="3691"/>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691"/>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1"/>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691"/>
      <c r="Q28" s="1351" t="str">
        <f t="shared" si="8"/>
        <v>毗邻道路的类型与等级</v>
      </c>
      <c r="R28" s="704" t="s">
        <v>14</v>
      </c>
      <c r="S28" s="705">
        <f t="shared" si="10"/>
        <v>100</v>
      </c>
      <c r="T28" s="704" t="s">
        <v>14</v>
      </c>
      <c r="U28" s="705">
        <f t="shared" si="11"/>
        <v>100</v>
      </c>
      <c r="V28" s="704" t="s">
        <v>14</v>
      </c>
      <c r="W28" s="705">
        <f t="shared" si="12"/>
        <v>100</v>
      </c>
      <c r="X28" s="1354"/>
      <c r="Y28" s="3691"/>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0"/>
      <c r="M29" s="2714"/>
      <c r="N29" s="2714"/>
      <c r="O29" s="2772"/>
      <c r="P29" s="3691"/>
      <c r="Q29" s="1351"/>
      <c r="R29" s="704"/>
      <c r="S29" s="705"/>
      <c r="T29" s="704"/>
      <c r="U29" s="705"/>
      <c r="V29" s="704"/>
      <c r="W29" s="705"/>
      <c r="X29" s="1354"/>
      <c r="Y29" s="3691"/>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691"/>
      <c r="Q30" s="1351" t="str">
        <f t="shared" si="8"/>
        <v>土地级别</v>
      </c>
      <c r="R30" s="704" t="s">
        <v>14</v>
      </c>
      <c r="S30" s="705">
        <f t="shared" si="10"/>
        <v>100</v>
      </c>
      <c r="T30" s="704" t="s">
        <v>14</v>
      </c>
      <c r="U30" s="705">
        <f t="shared" si="11"/>
        <v>100</v>
      </c>
      <c r="V30" s="704" t="s">
        <v>14</v>
      </c>
      <c r="W30" s="705">
        <f t="shared" si="12"/>
        <v>100</v>
      </c>
      <c r="X30" s="1354"/>
      <c r="Y30" s="3691"/>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1"/>
      <c r="Q31" s="1351">
        <f t="shared" si="8"/>
        <v>111</v>
      </c>
      <c r="R31" s="704" t="s">
        <v>14</v>
      </c>
      <c r="S31" s="705">
        <f t="shared" si="10"/>
        <v>100</v>
      </c>
      <c r="T31" s="704" t="s">
        <v>14</v>
      </c>
      <c r="U31" s="705">
        <f t="shared" si="11"/>
        <v>100</v>
      </c>
      <c r="V31" s="704" t="s">
        <v>14</v>
      </c>
      <c r="W31" s="705">
        <f t="shared" si="12"/>
        <v>100</v>
      </c>
      <c r="X31" s="1354"/>
      <c r="Y31" s="3691"/>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95" t="s">
        <v>1696</v>
      </c>
      <c r="Q32" s="1351">
        <f t="shared" si="8"/>
        <v>111</v>
      </c>
      <c r="R32" s="704" t="s">
        <v>14</v>
      </c>
      <c r="S32" s="705">
        <f t="shared" si="10"/>
        <v>100</v>
      </c>
      <c r="T32" s="704" t="s">
        <v>14</v>
      </c>
      <c r="U32" s="705">
        <f t="shared" si="11"/>
        <v>100</v>
      </c>
      <c r="V32" s="704" t="s">
        <v>14</v>
      </c>
      <c r="W32" s="705">
        <f t="shared" si="12"/>
        <v>100</v>
      </c>
      <c r="X32" s="1354"/>
      <c r="Y32" s="3695"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695"/>
      <c r="Q33" s="1351">
        <f t="shared" si="8"/>
        <v>111</v>
      </c>
      <c r="R33" s="707" t="s">
        <v>14</v>
      </c>
      <c r="S33" s="708">
        <f t="shared" si="10"/>
        <v>100</v>
      </c>
      <c r="T33" s="707" t="s">
        <v>14</v>
      </c>
      <c r="U33" s="708">
        <f t="shared" si="11"/>
        <v>100</v>
      </c>
      <c r="V33" s="707" t="s">
        <v>14</v>
      </c>
      <c r="W33" s="708">
        <f t="shared" si="12"/>
        <v>100</v>
      </c>
      <c r="X33" s="709"/>
      <c r="Y33" s="3695"/>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695"/>
      <c r="Q34" s="1351" t="str">
        <f>B34</f>
        <v>宗地面积</v>
      </c>
      <c r="R34" s="704" t="s">
        <v>14</v>
      </c>
      <c r="S34" s="705" t="e">
        <f t="shared" si="10"/>
        <v>#N/A</v>
      </c>
      <c r="T34" s="704" t="s">
        <v>14</v>
      </c>
      <c r="U34" s="705" t="e">
        <f t="shared" si="11"/>
        <v>#N/A</v>
      </c>
      <c r="V34" s="704" t="s">
        <v>14</v>
      </c>
      <c r="W34" s="705" t="e">
        <f t="shared" si="12"/>
        <v>#N/A</v>
      </c>
      <c r="X34" s="1354"/>
      <c r="Y34" s="3695"/>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695"/>
      <c r="Q35" s="1351" t="str">
        <f t="shared" ref="Q35:Q40" si="14">B35</f>
        <v>宗地形状</v>
      </c>
      <c r="R35" s="704" t="s">
        <v>14</v>
      </c>
      <c r="S35" s="705">
        <f t="shared" si="10"/>
        <v>100</v>
      </c>
      <c r="T35" s="704" t="s">
        <v>14</v>
      </c>
      <c r="U35" s="705">
        <f t="shared" si="11"/>
        <v>100</v>
      </c>
      <c r="V35" s="704" t="s">
        <v>14</v>
      </c>
      <c r="W35" s="705">
        <f t="shared" si="12"/>
        <v>100</v>
      </c>
      <c r="X35" s="1354"/>
      <c r="Y35" s="3695"/>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695"/>
      <c r="Q36" s="1351" t="str">
        <f t="shared" si="14"/>
        <v>宗地开发程度</v>
      </c>
      <c r="R36" s="700" t="s">
        <v>14</v>
      </c>
      <c r="S36" s="701">
        <f t="shared" si="10"/>
        <v>100</v>
      </c>
      <c r="T36" s="700" t="s">
        <v>14</v>
      </c>
      <c r="U36" s="701">
        <f t="shared" si="11"/>
        <v>100</v>
      </c>
      <c r="V36" s="700" t="s">
        <v>14</v>
      </c>
      <c r="W36" s="701">
        <f t="shared" si="12"/>
        <v>100</v>
      </c>
      <c r="X36" s="702"/>
      <c r="Y36" s="3695"/>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695" t="s">
        <v>1696</v>
      </c>
      <c r="Q37" s="1351" t="str">
        <f t="shared" si="14"/>
        <v>工程地质条件</v>
      </c>
      <c r="R37" s="704" t="s">
        <v>14</v>
      </c>
      <c r="S37" s="705">
        <f t="shared" si="10"/>
        <v>100</v>
      </c>
      <c r="T37" s="704" t="s">
        <v>14</v>
      </c>
      <c r="U37" s="705">
        <f t="shared" si="11"/>
        <v>100</v>
      </c>
      <c r="V37" s="704" t="s">
        <v>14</v>
      </c>
      <c r="W37" s="705">
        <f t="shared" si="12"/>
        <v>100</v>
      </c>
      <c r="X37" s="1354"/>
      <c r="Y37" s="3695"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695"/>
      <c r="Q38" s="1351">
        <f t="shared" si="14"/>
        <v>111</v>
      </c>
      <c r="R38" s="704" t="s">
        <v>14</v>
      </c>
      <c r="S38" s="705">
        <f t="shared" si="10"/>
        <v>100</v>
      </c>
      <c r="T38" s="704" t="s">
        <v>14</v>
      </c>
      <c r="U38" s="705">
        <f t="shared" si="11"/>
        <v>100</v>
      </c>
      <c r="V38" s="704" t="s">
        <v>14</v>
      </c>
      <c r="W38" s="705">
        <f t="shared" si="12"/>
        <v>100</v>
      </c>
      <c r="X38" s="1354"/>
      <c r="Y38" s="3695"/>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695"/>
      <c r="Q39" s="1351">
        <f t="shared" si="14"/>
        <v>111</v>
      </c>
      <c r="R39" s="704" t="s">
        <v>14</v>
      </c>
      <c r="S39" s="705">
        <f t="shared" si="10"/>
        <v>100</v>
      </c>
      <c r="T39" s="704" t="s">
        <v>14</v>
      </c>
      <c r="U39" s="705">
        <f t="shared" si="11"/>
        <v>100</v>
      </c>
      <c r="V39" s="704" t="s">
        <v>14</v>
      </c>
      <c r="W39" s="705">
        <f t="shared" si="12"/>
        <v>100</v>
      </c>
      <c r="X39" s="1354"/>
      <c r="Y39" s="3695"/>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695"/>
      <c r="Q40" s="1351">
        <f t="shared" si="14"/>
        <v>111</v>
      </c>
      <c r="R40" s="707" t="s">
        <v>14</v>
      </c>
      <c r="S40" s="708">
        <f t="shared" si="10"/>
        <v>100</v>
      </c>
      <c r="T40" s="707" t="s">
        <v>14</v>
      </c>
      <c r="U40" s="708">
        <f t="shared" si="11"/>
        <v>100</v>
      </c>
      <c r="V40" s="707" t="s">
        <v>14</v>
      </c>
      <c r="W40" s="708">
        <f t="shared" si="12"/>
        <v>100</v>
      </c>
      <c r="X40" s="709"/>
      <c r="Y40" s="3695"/>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2"/>
      <c r="M41" s="2714"/>
      <c r="N41" s="2714"/>
      <c r="O41" s="2723"/>
      <c r="P41" s="3683" t="str">
        <f>A41</f>
        <v>成交单价</v>
      </c>
      <c r="Q41" s="3683"/>
      <c r="R41" s="3697">
        <f>E41</f>
        <v>0</v>
      </c>
      <c r="S41" s="3697"/>
      <c r="T41" s="3697">
        <f>G41</f>
        <v>0</v>
      </c>
      <c r="U41" s="3697"/>
      <c r="V41" s="3697">
        <f>I41</f>
        <v>0</v>
      </c>
      <c r="W41" s="3697"/>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2"/>
      <c r="M42" s="2714"/>
      <c r="N42" s="2714"/>
      <c r="O42" s="2723"/>
      <c r="P42" s="3683" t="str">
        <f>A42</f>
        <v>比较价值（元/平方米）</v>
      </c>
      <c r="Q42" s="3683"/>
      <c r="R42" s="3797" t="e">
        <f>ROUND(PRODUCT(R41,AA7:AA40),0)</f>
        <v>#DIV/0!</v>
      </c>
      <c r="S42" s="3797"/>
      <c r="T42" s="3797" t="e">
        <f>ROUND(PRODUCT(T41,AB7:AB40),0)</f>
        <v>#DIV/0!</v>
      </c>
      <c r="U42" s="3797"/>
      <c r="V42" s="3797" t="e">
        <f>ROUND(PRODUCT(V41,AC7:AC40),0)</f>
        <v>#DIV/0!</v>
      </c>
      <c r="W42" s="3797"/>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685" t="str">
        <f>A43</f>
        <v>估价对象XX用房的比较价值（楼面单价，元/平方米）</v>
      </c>
      <c r="Q43" s="3686"/>
      <c r="R43" s="3798" t="e">
        <f>ROUND(IF(D42="简单平均",AVERAGE(R42:W42),R42*F42+T42*H42+V42*J42),0)</f>
        <v>#DIV/0!</v>
      </c>
      <c r="S43" s="3798"/>
      <c r="T43" s="3798"/>
      <c r="U43" s="3798"/>
      <c r="V43" s="3798"/>
      <c r="W43" s="3798"/>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2" t="s">
        <v>1883</v>
      </c>
      <c r="D50" s="1983" t="s">
        <v>1884</v>
      </c>
      <c r="E50" s="633" t="s">
        <v>1885</v>
      </c>
      <c r="F50" s="634" t="s">
        <v>1886</v>
      </c>
      <c r="G50" s="3702" t="s">
        <v>1887</v>
      </c>
      <c r="H50" s="3799"/>
      <c r="I50" s="1355" t="s">
        <v>1923</v>
      </c>
      <c r="J50" s="1355">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3">
        <v>1</v>
      </c>
      <c r="E51" s="637">
        <f>'数据-汇总表'!E8+'数据-汇总表'!E9</f>
        <v>47.88</v>
      </c>
      <c r="F51" s="638" t="e">
        <f t="shared" ref="F51:F60" si="15">ROUND(B51*E51/10000,0)</f>
        <v>#DIV/0!</v>
      </c>
      <c r="G51" s="3698"/>
      <c r="H51" s="3683"/>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t="e">
        <f>ROUND($C$43*C52*D52,0)</f>
        <v>#DIV/0!</v>
      </c>
      <c r="C52" s="171">
        <f t="shared" ref="C52:C60" si="16">IF($C$50="北京市系数",I52,J52)</f>
        <v>0.6</v>
      </c>
      <c r="D52" s="944">
        <v>0.25</v>
      </c>
      <c r="E52" s="641"/>
      <c r="F52" s="638" t="e">
        <f t="shared" si="15"/>
        <v>#DIV/0!</v>
      </c>
      <c r="G52" s="3004" t="s">
        <v>1892</v>
      </c>
      <c r="H52" s="886" t="str">
        <f>项目基本情况!B37</f>
        <v>三级</v>
      </c>
      <c r="I52" s="772">
        <f>SUMIF(修正!A57:A68,H52,修正!B57:B68)</f>
        <v>0.6</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t="e">
        <f t="shared" ref="B53:B60" si="17">ROUND($C$43*C53*D53,0)</f>
        <v>#DIV/0!</v>
      </c>
      <c r="C53" s="171">
        <f t="shared" si="16"/>
        <v>0.3</v>
      </c>
      <c r="D53" s="944">
        <v>0.25</v>
      </c>
      <c r="E53" s="641"/>
      <c r="F53" s="638" t="e">
        <f t="shared" si="15"/>
        <v>#DIV/0!</v>
      </c>
      <c r="G53" s="3005"/>
      <c r="H53" s="886" t="str">
        <f>项目基本情况!B37</f>
        <v>三级</v>
      </c>
      <c r="I53" s="772">
        <f>SUMIF(修正!A57:A68,H53,修正!C57:C68)</f>
        <v>0.3</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t="e">
        <f t="shared" si="17"/>
        <v>#DIV/0!</v>
      </c>
      <c r="C54" s="171">
        <f t="shared" si="16"/>
        <v>0.25</v>
      </c>
      <c r="D54" s="944">
        <v>0.25</v>
      </c>
      <c r="E54" s="641"/>
      <c r="F54" s="638" t="e">
        <f t="shared" si="15"/>
        <v>#DIV/0!</v>
      </c>
      <c r="G54" s="3005"/>
      <c r="H54" s="886" t="str">
        <f>项目基本情况!B37</f>
        <v>三级</v>
      </c>
      <c r="I54" s="772">
        <f>SUMIF(修正!A57:A68,H54,修正!D57:D68)</f>
        <v>0.25</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三级</v>
      </c>
      <c r="I59" s="772">
        <f>SUMIF(修正!A57:A68,H59,修正!G57:G68)</f>
        <v>0.15</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2025-6-1</v>
      </c>
      <c r="D63" s="691">
        <f>EDATE(C63,-3)</f>
        <v>45717</v>
      </c>
      <c r="E63" s="691">
        <f>EDATE(D63,-3)</f>
        <v>45627</v>
      </c>
      <c r="F63" s="691">
        <f t="shared" ref="F63:O63" si="18">EDATE(E63,-3)</f>
        <v>45536</v>
      </c>
      <c r="G63" s="691">
        <f t="shared" si="18"/>
        <v>45444</v>
      </c>
      <c r="H63" s="691">
        <f t="shared" si="18"/>
        <v>45352</v>
      </c>
      <c r="I63" s="691">
        <f t="shared" si="18"/>
        <v>45261</v>
      </c>
      <c r="J63" s="691">
        <f t="shared" si="18"/>
        <v>45170</v>
      </c>
      <c r="K63" s="691">
        <f t="shared" si="18"/>
        <v>45078</v>
      </c>
      <c r="L63" s="691">
        <f t="shared" si="18"/>
        <v>44986</v>
      </c>
      <c r="M63" s="691">
        <f t="shared" si="18"/>
        <v>44896</v>
      </c>
      <c r="N63" s="691">
        <f t="shared" si="18"/>
        <v>44805</v>
      </c>
      <c r="O63" s="691">
        <f t="shared" si="18"/>
        <v>44713</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8"/>
      <c r="C65" s="1181" t="str">
        <f>YEAR(C63)&amp;"-"&amp;ROUNDUP(MONTH(C63)/3,0)</f>
        <v>2025-2</v>
      </c>
      <c r="D65" s="1181" t="str">
        <f t="shared" ref="D65:O65" si="19">YEAR(D63)&amp;"-"&amp;ROUNDUP(MONTH(D63)/3,0)</f>
        <v>2025-1</v>
      </c>
      <c r="E65" s="1181" t="str">
        <f t="shared" si="19"/>
        <v>2024-4</v>
      </c>
      <c r="F65" s="1181" t="str">
        <f t="shared" si="19"/>
        <v>2024-3</v>
      </c>
      <c r="G65" s="1181" t="str">
        <f t="shared" si="19"/>
        <v>2024-2</v>
      </c>
      <c r="H65" s="1181" t="str">
        <f t="shared" si="19"/>
        <v>2024-1</v>
      </c>
      <c r="I65" s="1181" t="str">
        <f t="shared" si="19"/>
        <v>2023-4</v>
      </c>
      <c r="J65" s="1181" t="str">
        <f t="shared" si="19"/>
        <v>2023-3</v>
      </c>
      <c r="K65" s="1181" t="str">
        <f t="shared" si="19"/>
        <v>2023-2</v>
      </c>
      <c r="L65" s="1181" t="str">
        <f t="shared" si="19"/>
        <v>2023-1</v>
      </c>
      <c r="M65" s="1181" t="str">
        <f t="shared" si="19"/>
        <v>2022-4</v>
      </c>
      <c r="N65" s="1181" t="str">
        <f t="shared" si="19"/>
        <v>2022-3</v>
      </c>
      <c r="O65" s="1181"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807" t="s">
        <v>2084</v>
      </c>
      <c r="D1" s="3808"/>
      <c r="E1" s="3808"/>
      <c r="F1" s="3808"/>
      <c r="G1" s="3808"/>
      <c r="H1" s="3808"/>
      <c r="I1" s="3808"/>
      <c r="J1" s="3808"/>
      <c r="K1" s="3808"/>
      <c r="L1" s="3808"/>
      <c r="M1" s="3808"/>
      <c r="N1" s="3808"/>
      <c r="O1" s="3808"/>
      <c r="P1" s="3808"/>
      <c r="Q1" s="3808"/>
      <c r="R1" s="3808"/>
      <c r="S1" s="3809"/>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804" t="s">
        <v>27</v>
      </c>
      <c r="D22" s="3805"/>
      <c r="E22" s="3805"/>
      <c r="F22" s="3805"/>
      <c r="G22" s="3805"/>
      <c r="H22" s="3805"/>
      <c r="I22" s="3805"/>
      <c r="J22" s="3805"/>
      <c r="K22" s="3805"/>
      <c r="L22" s="3805"/>
      <c r="M22" s="3805"/>
      <c r="N22" s="3805"/>
      <c r="O22" s="3805"/>
      <c r="P22" s="3805"/>
      <c r="Q22" s="3806"/>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1"/>
      <c r="G1" s="2791"/>
      <c r="H1" s="2791"/>
      <c r="I1" s="2791"/>
      <c r="J1" s="2791"/>
      <c r="K1" s="2791"/>
      <c r="L1" s="2791"/>
      <c r="M1" s="2791"/>
      <c r="N1" s="2791"/>
      <c r="O1" s="2791"/>
      <c r="P1" s="2791"/>
    </row>
    <row r="2" spans="1:16" ht="15.75">
      <c r="A2" s="2144" t="s">
        <v>2073</v>
      </c>
      <c r="B2" s="2601">
        <f ca="1">SUMIF(B6:B13,"&lt;&gt;#ref!",B6:B13)</f>
        <v>86</v>
      </c>
      <c r="C2" s="2144" t="s">
        <v>2074</v>
      </c>
      <c r="D2" s="2144" t="s">
        <v>2075</v>
      </c>
      <c r="E2" s="2611">
        <f ca="1">SUMIF(E6:E13,"&lt;&gt;#ref!",E6:E13)</f>
        <v>0</v>
      </c>
      <c r="F2" s="2791"/>
      <c r="G2" s="2791"/>
      <c r="H2" s="2791"/>
      <c r="I2" s="2791"/>
      <c r="J2" s="2791"/>
      <c r="K2" s="2791"/>
      <c r="L2" s="2791"/>
      <c r="M2" s="2791"/>
      <c r="N2" s="2791"/>
      <c r="O2" s="2791"/>
      <c r="P2" s="2791"/>
    </row>
    <row r="3" spans="1:16" ht="15.75">
      <c r="A3" s="2144" t="s">
        <v>2076</v>
      </c>
      <c r="B3" s="2601" t="e">
        <f ca="1">ROUND(B2*10000/E2,0)</f>
        <v>#DIV/0!</v>
      </c>
      <c r="C3" s="2144"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2077</v>
      </c>
      <c r="B5" s="2609" t="s">
        <v>2078</v>
      </c>
      <c r="C5" s="2145"/>
      <c r="D5" s="2791"/>
      <c r="E5" s="2610" t="s">
        <v>2079</v>
      </c>
      <c r="F5" s="2791"/>
      <c r="G5" s="2791"/>
      <c r="H5" s="2791"/>
      <c r="I5" s="2791"/>
      <c r="J5" s="2791"/>
      <c r="K5" s="2791"/>
      <c r="L5" s="2791"/>
      <c r="M5" s="2791"/>
      <c r="N5" s="2791"/>
      <c r="O5" s="2791"/>
      <c r="P5" s="2791"/>
    </row>
    <row r="6" spans="1:16" ht="15.75">
      <c r="A6" s="2608" t="s">
        <v>2080</v>
      </c>
      <c r="B6" s="2601">
        <f ca="1">SUMIF(INDIRECT("'"&amp;A6&amp;"'"&amp;"!A:A"),"总价",INDIRECT("'"&amp;A6&amp;"'"&amp;"!B:B"))</f>
        <v>86</v>
      </c>
      <c r="C6" s="2144" t="s">
        <v>2074</v>
      </c>
      <c r="D6" s="2791"/>
      <c r="E6" s="2611">
        <f ca="1">SUMIF(INDIRECT("'"&amp;A6&amp;"'"&amp;"!C:C"),"建筑面积",INDIRECT("'"&amp;A6&amp;"'"&amp;"!D:D"))</f>
        <v>0</v>
      </c>
      <c r="F6" s="2791"/>
      <c r="G6" s="2791"/>
      <c r="H6" s="2791"/>
      <c r="I6" s="2791"/>
      <c r="J6" s="2791"/>
      <c r="K6" s="2791"/>
      <c r="L6" s="2791"/>
      <c r="M6" s="2791"/>
      <c r="N6" s="2791"/>
      <c r="O6" s="2791"/>
      <c r="P6" s="2791"/>
    </row>
    <row r="7" spans="1:16" ht="15.75">
      <c r="A7" s="2608"/>
      <c r="B7" s="2601" t="e">
        <f ca="1">SUMIF(INDIRECT("'"&amp;A7&amp;"'"&amp;"!A:A"),"总价",INDIRECT("'"&amp;A7&amp;"'"&amp;"!B:B"))</f>
        <v>#REF!</v>
      </c>
      <c r="C7" s="2144" t="s">
        <v>2074</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4" t="s">
        <v>2074</v>
      </c>
      <c r="D8" s="2791"/>
      <c r="E8" s="2611" t="e">
        <f t="shared" ca="1" si="0"/>
        <v>#REF!</v>
      </c>
      <c r="F8" s="2791"/>
      <c r="G8" s="2791"/>
      <c r="H8" s="2791"/>
      <c r="I8" s="2791"/>
      <c r="J8" s="2791"/>
      <c r="K8" s="2791"/>
      <c r="L8" s="2791"/>
      <c r="M8" s="2791"/>
      <c r="N8" s="2791"/>
      <c r="O8" s="2791"/>
      <c r="P8" s="2791"/>
    </row>
    <row r="9" spans="1:16" ht="15.75">
      <c r="A9" s="2608"/>
      <c r="B9" s="2601" t="e">
        <f t="shared" ca="1" si="1"/>
        <v>#REF!</v>
      </c>
      <c r="C9" s="2144" t="s">
        <v>2074</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4" t="s">
        <v>2074</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4" t="s">
        <v>2074</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4" t="s">
        <v>2074</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4" t="s">
        <v>2074</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4" zoomScaleNormal="100" workbookViewId="0">
      <selection activeCell="F25" sqref="F25"/>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819" t="s">
        <v>2607</v>
      </c>
      <c r="B20" s="3814" t="s">
        <v>2628</v>
      </c>
      <c r="C20" s="3101" t="s">
        <v>2439</v>
      </c>
      <c r="D20" s="3102"/>
      <c r="E20" s="3103">
        <v>1</v>
      </c>
      <c r="F20" s="3104" t="s">
        <v>2440</v>
      </c>
      <c r="G20" s="3104"/>
    </row>
    <row r="21" spans="1:13" ht="19.5" customHeight="1">
      <c r="A21" s="3820"/>
      <c r="B21" s="3813"/>
      <c r="C21" s="3105" t="s">
        <v>2441</v>
      </c>
      <c r="D21" s="3106"/>
      <c r="E21" s="3107">
        <v>1</v>
      </c>
      <c r="F21" s="3104" t="s">
        <v>2442</v>
      </c>
      <c r="G21" s="3104"/>
    </row>
    <row r="22" spans="1:13" ht="19.5" customHeight="1">
      <c r="A22" s="3820"/>
      <c r="B22" s="3813"/>
      <c r="C22" s="3105" t="s">
        <v>2443</v>
      </c>
      <c r="D22" s="3106"/>
      <c r="E22" s="3107">
        <v>0.9</v>
      </c>
      <c r="F22" s="3104" t="s">
        <v>2444</v>
      </c>
      <c r="G22" s="3104"/>
    </row>
    <row r="23" spans="1:13" ht="19.5" customHeight="1">
      <c r="A23" s="3820"/>
      <c r="B23" s="3813"/>
      <c r="C23" s="3105" t="s">
        <v>2445</v>
      </c>
      <c r="D23" s="3106"/>
      <c r="E23" s="3107">
        <v>0.9</v>
      </c>
      <c r="F23" s="3104" t="s">
        <v>2446</v>
      </c>
      <c r="G23" s="3104"/>
    </row>
    <row r="24" spans="1:13" ht="19.5" customHeight="1">
      <c r="A24" s="3820"/>
      <c r="B24" s="3813"/>
      <c r="C24" s="3105" t="s">
        <v>2447</v>
      </c>
      <c r="D24" s="3106"/>
      <c r="E24" s="3107">
        <v>0.8</v>
      </c>
      <c r="F24" s="3104" t="s">
        <v>2448</v>
      </c>
      <c r="G24" s="3104"/>
    </row>
    <row r="25" spans="1:13" ht="19.5" customHeight="1" thickBot="1">
      <c r="A25" s="3821"/>
      <c r="B25" s="3815"/>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816" t="s">
        <v>2631</v>
      </c>
      <c r="B27" s="3814" t="s">
        <v>2612</v>
      </c>
      <c r="C27" s="3101" t="s">
        <v>2452</v>
      </c>
      <c r="D27" s="3102"/>
      <c r="E27" s="3103">
        <v>1</v>
      </c>
      <c r="F27" s="3104" t="s">
        <v>2453</v>
      </c>
      <c r="G27" s="3104"/>
    </row>
    <row r="28" spans="1:13" ht="19.5" customHeight="1">
      <c r="A28" s="3817"/>
      <c r="B28" s="3813"/>
      <c r="C28" s="3105" t="s">
        <v>2454</v>
      </c>
      <c r="D28" s="3106"/>
      <c r="E28" s="3107">
        <v>1</v>
      </c>
      <c r="F28" s="3104" t="s">
        <v>2455</v>
      </c>
      <c r="G28" s="3104"/>
    </row>
    <row r="29" spans="1:13" ht="19.5" customHeight="1">
      <c r="A29" s="3817"/>
      <c r="B29" s="3813"/>
      <c r="C29" s="3105" t="s">
        <v>2456</v>
      </c>
      <c r="D29" s="3106"/>
      <c r="E29" s="3107">
        <v>0.8</v>
      </c>
      <c r="F29" s="3104" t="s">
        <v>2457</v>
      </c>
      <c r="G29" s="3104"/>
    </row>
    <row r="30" spans="1:13" ht="19.5" customHeight="1">
      <c r="A30" s="3817"/>
      <c r="B30" s="3813"/>
      <c r="C30" s="3105" t="s">
        <v>2458</v>
      </c>
      <c r="D30" s="3106"/>
      <c r="E30" s="3107">
        <v>0.8</v>
      </c>
      <c r="F30" s="3104" t="s">
        <v>2459</v>
      </c>
      <c r="G30" s="3104"/>
    </row>
    <row r="31" spans="1:13" ht="19.5" customHeight="1">
      <c r="A31" s="3817"/>
      <c r="B31" s="3813"/>
      <c r="C31" s="3105" t="s">
        <v>2460</v>
      </c>
      <c r="D31" s="3106"/>
      <c r="E31" s="3107">
        <v>0.8</v>
      </c>
      <c r="F31" s="3104" t="s">
        <v>2461</v>
      </c>
      <c r="G31" s="3104"/>
    </row>
    <row r="32" spans="1:13" ht="19.5" customHeight="1">
      <c r="A32" s="3817"/>
      <c r="B32" s="3813"/>
      <c r="C32" s="3105" t="s">
        <v>2462</v>
      </c>
      <c r="D32" s="3106"/>
      <c r="E32" s="3107">
        <v>0.7</v>
      </c>
      <c r="F32" s="3104" t="s">
        <v>2463</v>
      </c>
      <c r="G32" s="3104"/>
    </row>
    <row r="33" spans="1:7" ht="19.5" customHeight="1">
      <c r="A33" s="3817"/>
      <c r="B33" s="3813"/>
      <c r="C33" s="3105" t="s">
        <v>2464</v>
      </c>
      <c r="D33" s="3106"/>
      <c r="E33" s="3107">
        <v>0.8</v>
      </c>
      <c r="F33" s="3104" t="s">
        <v>2465</v>
      </c>
      <c r="G33" s="3104"/>
    </row>
    <row r="34" spans="1:7" ht="19.5" customHeight="1">
      <c r="A34" s="3817"/>
      <c r="B34" s="3813"/>
      <c r="C34" s="3105" t="s">
        <v>2466</v>
      </c>
      <c r="D34" s="3106"/>
      <c r="E34" s="3107">
        <v>0.6</v>
      </c>
      <c r="F34" s="3104" t="s">
        <v>2467</v>
      </c>
      <c r="G34" s="3104"/>
    </row>
    <row r="35" spans="1:7" ht="19.5" customHeight="1">
      <c r="A35" s="3817"/>
      <c r="B35" s="3813"/>
      <c r="C35" s="3105" t="s">
        <v>2468</v>
      </c>
      <c r="D35" s="3106"/>
      <c r="E35" s="3107">
        <v>0.2</v>
      </c>
      <c r="F35" s="3104" t="s">
        <v>2469</v>
      </c>
      <c r="G35" s="3104"/>
    </row>
    <row r="36" spans="1:7" ht="19.5" customHeight="1">
      <c r="A36" s="3817"/>
      <c r="B36" s="3813"/>
      <c r="C36" s="3105" t="s">
        <v>2470</v>
      </c>
      <c r="D36" s="3106"/>
      <c r="E36" s="3107">
        <v>0.2</v>
      </c>
      <c r="F36" s="3104" t="s">
        <v>2471</v>
      </c>
      <c r="G36" s="3104"/>
    </row>
    <row r="37" spans="1:7" ht="19.5" customHeight="1">
      <c r="A37" s="3817"/>
      <c r="B37" s="3811" t="s">
        <v>2632</v>
      </c>
      <c r="C37" s="3105" t="s">
        <v>2472</v>
      </c>
      <c r="D37" s="3106"/>
      <c r="E37" s="3107">
        <v>0.6</v>
      </c>
      <c r="F37" s="3104" t="s">
        <v>2473</v>
      </c>
      <c r="G37" s="3104"/>
    </row>
    <row r="38" spans="1:7" ht="19.5" customHeight="1">
      <c r="A38" s="3817"/>
      <c r="B38" s="3813"/>
      <c r="C38" s="3105" t="s">
        <v>2474</v>
      </c>
      <c r="D38" s="3106"/>
      <c r="E38" s="3107">
        <v>0.6</v>
      </c>
      <c r="F38" s="3104" t="s">
        <v>2475</v>
      </c>
      <c r="G38" s="3104"/>
    </row>
    <row r="39" spans="1:7" ht="19.5" customHeight="1" thickBot="1">
      <c r="A39" s="3818"/>
      <c r="B39" s="3815"/>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819" t="s">
        <v>2610</v>
      </c>
      <c r="B41" s="3814" t="s">
        <v>2634</v>
      </c>
      <c r="C41" s="3101" t="s">
        <v>2479</v>
      </c>
      <c r="D41" s="3102"/>
      <c r="E41" s="3103">
        <v>1</v>
      </c>
      <c r="F41" s="3104" t="s">
        <v>2480</v>
      </c>
      <c r="G41" s="3104"/>
    </row>
    <row r="42" spans="1:7" ht="19.5" customHeight="1">
      <c r="A42" s="3820"/>
      <c r="B42" s="3813"/>
      <c r="C42" s="3105" t="s">
        <v>2481</v>
      </c>
      <c r="D42" s="3106"/>
      <c r="E42" s="3107">
        <v>1</v>
      </c>
      <c r="F42" s="3104" t="s">
        <v>2482</v>
      </c>
      <c r="G42" s="3104"/>
    </row>
    <row r="43" spans="1:7" ht="19.5" customHeight="1">
      <c r="A43" s="3820"/>
      <c r="B43" s="3812"/>
      <c r="C43" s="3105" t="s">
        <v>2483</v>
      </c>
      <c r="D43" s="3106"/>
      <c r="E43" s="3107">
        <v>1.5</v>
      </c>
      <c r="F43" s="3104" t="s">
        <v>2484</v>
      </c>
      <c r="G43" s="3104"/>
    </row>
    <row r="44" spans="1:7" ht="19.5" customHeight="1">
      <c r="A44" s="3820"/>
      <c r="B44" s="3116" t="s">
        <v>2635</v>
      </c>
      <c r="C44" s="3105" t="s">
        <v>2636</v>
      </c>
      <c r="D44" s="3106"/>
      <c r="E44" s="3107">
        <v>2</v>
      </c>
      <c r="F44" s="3104" t="s">
        <v>2485</v>
      </c>
      <c r="G44" s="3104"/>
    </row>
    <row r="45" spans="1:7" ht="19.5" customHeight="1">
      <c r="A45" s="3820"/>
      <c r="B45" s="3811" t="s">
        <v>2637</v>
      </c>
      <c r="C45" s="3105" t="s">
        <v>2486</v>
      </c>
      <c r="D45" s="3106"/>
      <c r="E45" s="3107">
        <v>1</v>
      </c>
      <c r="F45" s="3104" t="s">
        <v>2487</v>
      </c>
      <c r="G45" s="3104"/>
    </row>
    <row r="46" spans="1:7" ht="19.5" customHeight="1">
      <c r="A46" s="3820"/>
      <c r="B46" s="3813"/>
      <c r="C46" s="3105" t="s">
        <v>2488</v>
      </c>
      <c r="D46" s="3106"/>
      <c r="E46" s="3107">
        <v>1</v>
      </c>
      <c r="F46" s="3104" t="s">
        <v>2489</v>
      </c>
      <c r="G46" s="3104"/>
    </row>
    <row r="47" spans="1:7" ht="19.5" customHeight="1">
      <c r="A47" s="3820"/>
      <c r="B47" s="3813"/>
      <c r="C47" s="3105" t="s">
        <v>2490</v>
      </c>
      <c r="D47" s="3106"/>
      <c r="E47" s="3107">
        <v>1</v>
      </c>
      <c r="F47" s="3104" t="s">
        <v>2491</v>
      </c>
      <c r="G47" s="3104"/>
    </row>
    <row r="48" spans="1:7" ht="19.5" customHeight="1">
      <c r="A48" s="3820"/>
      <c r="B48" s="3813"/>
      <c r="C48" s="3105" t="s">
        <v>2492</v>
      </c>
      <c r="D48" s="3106"/>
      <c r="E48" s="3107">
        <v>1</v>
      </c>
      <c r="F48" s="3104" t="s">
        <v>2493</v>
      </c>
      <c r="G48" s="3104"/>
    </row>
    <row r="49" spans="1:7" ht="19.5" customHeight="1">
      <c r="A49" s="3820"/>
      <c r="B49" s="3813"/>
      <c r="C49" s="3105" t="s">
        <v>2494</v>
      </c>
      <c r="D49" s="3106"/>
      <c r="E49" s="3107">
        <v>1</v>
      </c>
      <c r="F49" s="3104" t="s">
        <v>2495</v>
      </c>
      <c r="G49" s="3104"/>
    </row>
    <row r="50" spans="1:7" ht="19.5" customHeight="1">
      <c r="A50" s="3820"/>
      <c r="B50" s="3813"/>
      <c r="C50" s="3105" t="s">
        <v>2496</v>
      </c>
      <c r="D50" s="3106"/>
      <c r="E50" s="3107">
        <v>1</v>
      </c>
      <c r="F50" s="3104" t="s">
        <v>2497</v>
      </c>
      <c r="G50" s="3104"/>
    </row>
    <row r="51" spans="1:7" ht="19.5" customHeight="1" thickBot="1">
      <c r="A51" s="3821"/>
      <c r="B51" s="3815"/>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811" t="s">
        <v>2651</v>
      </c>
      <c r="C73" s="3090" t="s">
        <v>2652</v>
      </c>
      <c r="D73" s="3090" t="s">
        <v>2653</v>
      </c>
      <c r="E73" s="3116">
        <v>0.2</v>
      </c>
      <c r="F73" s="3116">
        <v>25</v>
      </c>
    </row>
    <row r="74" spans="1:7" ht="24">
      <c r="A74" s="3116">
        <v>2</v>
      </c>
      <c r="B74" s="3813"/>
      <c r="C74" s="3090" t="s">
        <v>2654</v>
      </c>
      <c r="D74" s="3090" t="s">
        <v>2655</v>
      </c>
      <c r="E74" s="3116">
        <v>0.2</v>
      </c>
      <c r="F74" s="3116">
        <v>25</v>
      </c>
    </row>
    <row r="75" spans="1:7" ht="24">
      <c r="A75" s="3116">
        <v>3</v>
      </c>
      <c r="B75" s="3813"/>
      <c r="C75" s="3090" t="s">
        <v>2656</v>
      </c>
      <c r="D75" s="3090" t="s">
        <v>2657</v>
      </c>
      <c r="E75" s="3116">
        <v>0.2</v>
      </c>
      <c r="F75" s="3116">
        <v>25</v>
      </c>
    </row>
    <row r="76" spans="1:7" ht="13.5">
      <c r="A76" s="3116">
        <v>4</v>
      </c>
      <c r="B76" s="3813"/>
      <c r="C76" s="3090" t="s">
        <v>2658</v>
      </c>
      <c r="D76" s="3090" t="s">
        <v>2659</v>
      </c>
      <c r="E76" s="3116">
        <v>0.15</v>
      </c>
      <c r="F76" s="3116">
        <v>20</v>
      </c>
    </row>
    <row r="77" spans="1:7" ht="24">
      <c r="A77" s="3116">
        <v>5</v>
      </c>
      <c r="B77" s="3813"/>
      <c r="C77" s="3090" t="s">
        <v>2660</v>
      </c>
      <c r="D77" s="3090" t="s">
        <v>2661</v>
      </c>
      <c r="E77" s="3116">
        <v>0.15</v>
      </c>
      <c r="F77" s="3116">
        <v>20</v>
      </c>
    </row>
    <row r="78" spans="1:7" ht="24">
      <c r="A78" s="3116">
        <v>6</v>
      </c>
      <c r="B78" s="3813"/>
      <c r="C78" s="3090" t="s">
        <v>2662</v>
      </c>
      <c r="D78" s="3090" t="s">
        <v>2663</v>
      </c>
      <c r="E78" s="3116">
        <v>0.15</v>
      </c>
      <c r="F78" s="3116">
        <v>20</v>
      </c>
    </row>
    <row r="79" spans="1:7" ht="24">
      <c r="A79" s="3116">
        <v>7</v>
      </c>
      <c r="B79" s="3813"/>
      <c r="C79" s="3090" t="s">
        <v>2664</v>
      </c>
      <c r="D79" s="3090" t="s">
        <v>2665</v>
      </c>
      <c r="E79" s="3116">
        <v>0.15</v>
      </c>
      <c r="F79" s="3116">
        <v>20</v>
      </c>
    </row>
    <row r="80" spans="1:7" ht="24">
      <c r="A80" s="3116">
        <v>8</v>
      </c>
      <c r="B80" s="3813"/>
      <c r="C80" s="3090" t="s">
        <v>2666</v>
      </c>
      <c r="D80" s="3090" t="s">
        <v>2667</v>
      </c>
      <c r="E80" s="3116">
        <v>0.1</v>
      </c>
      <c r="F80" s="3116">
        <v>15</v>
      </c>
    </row>
    <row r="81" spans="1:6" ht="24">
      <c r="A81" s="3116">
        <v>9</v>
      </c>
      <c r="B81" s="3813"/>
      <c r="C81" s="3090" t="s">
        <v>2668</v>
      </c>
      <c r="D81" s="3090" t="s">
        <v>2669</v>
      </c>
      <c r="E81" s="3116">
        <v>0.1</v>
      </c>
      <c r="F81" s="3116">
        <v>15</v>
      </c>
    </row>
    <row r="82" spans="1:6" ht="24">
      <c r="A82" s="3116">
        <v>10</v>
      </c>
      <c r="B82" s="3813"/>
      <c r="C82" s="3090" t="s">
        <v>2670</v>
      </c>
      <c r="D82" s="3090" t="s">
        <v>2671</v>
      </c>
      <c r="E82" s="3116">
        <v>0.1</v>
      </c>
      <c r="F82" s="3116">
        <v>15</v>
      </c>
    </row>
    <row r="83" spans="1:6" ht="24">
      <c r="A83" s="3116">
        <v>11</v>
      </c>
      <c r="B83" s="3813"/>
      <c r="C83" s="3090" t="s">
        <v>2672</v>
      </c>
      <c r="D83" s="3090" t="s">
        <v>2673</v>
      </c>
      <c r="E83" s="3116">
        <v>0.1</v>
      </c>
      <c r="F83" s="3116">
        <v>15</v>
      </c>
    </row>
    <row r="84" spans="1:6" ht="24">
      <c r="A84" s="3116">
        <v>12</v>
      </c>
      <c r="B84" s="3813"/>
      <c r="C84" s="3090" t="s">
        <v>2674</v>
      </c>
      <c r="D84" s="3090" t="s">
        <v>2675</v>
      </c>
      <c r="E84" s="3116">
        <v>0.1</v>
      </c>
      <c r="F84" s="3116">
        <v>15</v>
      </c>
    </row>
    <row r="85" spans="1:6" ht="13.5">
      <c r="A85" s="3116">
        <v>13</v>
      </c>
      <c r="B85" s="3813"/>
      <c r="C85" s="3090" t="s">
        <v>2676</v>
      </c>
      <c r="D85" s="3090" t="s">
        <v>2677</v>
      </c>
      <c r="E85" s="3116">
        <v>0.1</v>
      </c>
      <c r="F85" s="3116">
        <v>15</v>
      </c>
    </row>
    <row r="86" spans="1:6" ht="13.5">
      <c r="A86" s="3116">
        <v>14</v>
      </c>
      <c r="B86" s="3813"/>
      <c r="C86" s="3090" t="s">
        <v>2678</v>
      </c>
      <c r="D86" s="3090" t="s">
        <v>2679</v>
      </c>
      <c r="E86" s="3116">
        <v>0.1</v>
      </c>
      <c r="F86" s="3116">
        <v>15</v>
      </c>
    </row>
    <row r="87" spans="1:6" ht="13.5">
      <c r="A87" s="3116">
        <v>15</v>
      </c>
      <c r="B87" s="3813"/>
      <c r="C87" s="3090" t="s">
        <v>2680</v>
      </c>
      <c r="D87" s="3090" t="s">
        <v>2681</v>
      </c>
      <c r="E87" s="3116">
        <v>0.1</v>
      </c>
      <c r="F87" s="3116">
        <v>15</v>
      </c>
    </row>
    <row r="88" spans="1:6" ht="24">
      <c r="A88" s="3116">
        <v>16</v>
      </c>
      <c r="B88" s="3813"/>
      <c r="C88" s="3090" t="s">
        <v>2682</v>
      </c>
      <c r="D88" s="3090" t="s">
        <v>2683</v>
      </c>
      <c r="E88" s="3116">
        <v>0.1</v>
      </c>
      <c r="F88" s="3116">
        <v>15</v>
      </c>
    </row>
    <row r="89" spans="1:6" ht="24">
      <c r="A89" s="3116">
        <v>17</v>
      </c>
      <c r="B89" s="3812"/>
      <c r="C89" s="3090" t="s">
        <v>2684</v>
      </c>
      <c r="D89" s="3090" t="s">
        <v>2685</v>
      </c>
      <c r="E89" s="3116">
        <v>0.1</v>
      </c>
      <c r="F89" s="3116">
        <v>15</v>
      </c>
    </row>
    <row r="90" spans="1:6" ht="13.5">
      <c r="A90" s="3116">
        <v>18</v>
      </c>
      <c r="B90" s="3811" t="s">
        <v>2686</v>
      </c>
      <c r="C90" s="3090" t="s">
        <v>2687</v>
      </c>
      <c r="D90" s="3090" t="s">
        <v>2688</v>
      </c>
      <c r="E90" s="3116">
        <v>0.2</v>
      </c>
      <c r="F90" s="3116">
        <v>25</v>
      </c>
    </row>
    <row r="91" spans="1:6" ht="24">
      <c r="A91" s="3116">
        <v>19</v>
      </c>
      <c r="B91" s="3813"/>
      <c r="C91" s="3090" t="s">
        <v>2689</v>
      </c>
      <c r="D91" s="3090" t="s">
        <v>2690</v>
      </c>
      <c r="E91" s="3116">
        <v>0.2</v>
      </c>
      <c r="F91" s="3116">
        <v>25</v>
      </c>
    </row>
    <row r="92" spans="1:6" ht="13.5">
      <c r="A92" s="3116">
        <v>20</v>
      </c>
      <c r="B92" s="3813"/>
      <c r="C92" s="3090" t="s">
        <v>2691</v>
      </c>
      <c r="D92" s="3090" t="s">
        <v>2692</v>
      </c>
      <c r="E92" s="3116">
        <v>0.15</v>
      </c>
      <c r="F92" s="3116">
        <v>20</v>
      </c>
    </row>
    <row r="93" spans="1:6" ht="13.5">
      <c r="A93" s="3116">
        <v>21</v>
      </c>
      <c r="B93" s="3813"/>
      <c r="C93" s="3090" t="s">
        <v>2693</v>
      </c>
      <c r="D93" s="3090" t="s">
        <v>2694</v>
      </c>
      <c r="E93" s="3116">
        <v>0.15</v>
      </c>
      <c r="F93" s="3116">
        <v>20</v>
      </c>
    </row>
    <row r="94" spans="1:6" ht="13.5">
      <c r="A94" s="3116">
        <v>22</v>
      </c>
      <c r="B94" s="3813"/>
      <c r="C94" s="3090" t="s">
        <v>2695</v>
      </c>
      <c r="D94" s="3090" t="s">
        <v>2696</v>
      </c>
      <c r="E94" s="3116">
        <v>0.15</v>
      </c>
      <c r="F94" s="3116">
        <v>20</v>
      </c>
    </row>
    <row r="95" spans="1:6" ht="36">
      <c r="A95" s="3116">
        <v>23</v>
      </c>
      <c r="B95" s="3813"/>
      <c r="C95" s="3090" t="s">
        <v>2697</v>
      </c>
      <c r="D95" s="3090" t="s">
        <v>2698</v>
      </c>
      <c r="E95" s="3116">
        <v>0.15</v>
      </c>
      <c r="F95" s="3116">
        <v>20</v>
      </c>
    </row>
    <row r="96" spans="1:6" ht="13.5">
      <c r="A96" s="3116">
        <v>24</v>
      </c>
      <c r="B96" s="3813"/>
      <c r="C96" s="3090" t="s">
        <v>2699</v>
      </c>
      <c r="D96" s="3090" t="s">
        <v>2700</v>
      </c>
      <c r="E96" s="3116">
        <v>0.1</v>
      </c>
      <c r="F96" s="3116">
        <v>15</v>
      </c>
    </row>
    <row r="97" spans="1:6" ht="13.5">
      <c r="A97" s="3116">
        <v>25</v>
      </c>
      <c r="B97" s="3813"/>
      <c r="C97" s="3090" t="s">
        <v>2701</v>
      </c>
      <c r="D97" s="3090" t="s">
        <v>2702</v>
      </c>
      <c r="E97" s="3116">
        <v>0.1</v>
      </c>
      <c r="F97" s="3116">
        <v>15</v>
      </c>
    </row>
    <row r="98" spans="1:6" ht="24">
      <c r="A98" s="3116">
        <v>26</v>
      </c>
      <c r="B98" s="3813"/>
      <c r="C98" s="3090" t="s">
        <v>2703</v>
      </c>
      <c r="D98" s="3090" t="s">
        <v>2704</v>
      </c>
      <c r="E98" s="3116">
        <v>0.1</v>
      </c>
      <c r="F98" s="3116">
        <v>15</v>
      </c>
    </row>
    <row r="99" spans="1:6" ht="24">
      <c r="A99" s="3116">
        <v>27</v>
      </c>
      <c r="B99" s="3813"/>
      <c r="C99" s="3090" t="s">
        <v>2705</v>
      </c>
      <c r="D99" s="3090" t="s">
        <v>2706</v>
      </c>
      <c r="E99" s="3116">
        <v>0.1</v>
      </c>
      <c r="F99" s="3116">
        <v>15</v>
      </c>
    </row>
    <row r="100" spans="1:6" ht="13.5">
      <c r="A100" s="3116">
        <v>28</v>
      </c>
      <c r="B100" s="3813"/>
      <c r="C100" s="3090" t="s">
        <v>2707</v>
      </c>
      <c r="D100" s="3090" t="s">
        <v>2708</v>
      </c>
      <c r="E100" s="3116">
        <v>0.1</v>
      </c>
      <c r="F100" s="3116">
        <v>15</v>
      </c>
    </row>
    <row r="101" spans="1:6" ht="13.5">
      <c r="A101" s="3116">
        <v>29</v>
      </c>
      <c r="B101" s="3813"/>
      <c r="C101" s="3090" t="s">
        <v>2709</v>
      </c>
      <c r="D101" s="3090" t="s">
        <v>2710</v>
      </c>
      <c r="E101" s="3116">
        <v>0.1</v>
      </c>
      <c r="F101" s="3116">
        <v>15</v>
      </c>
    </row>
    <row r="102" spans="1:6" ht="13.5">
      <c r="A102" s="3116">
        <v>30</v>
      </c>
      <c r="B102" s="3813"/>
      <c r="C102" s="3090" t="s">
        <v>2711</v>
      </c>
      <c r="D102" s="3090" t="s">
        <v>2712</v>
      </c>
      <c r="E102" s="3116">
        <v>0.1</v>
      </c>
      <c r="F102" s="3116">
        <v>15</v>
      </c>
    </row>
    <row r="103" spans="1:6" ht="24">
      <c r="A103" s="3116">
        <v>31</v>
      </c>
      <c r="B103" s="3813"/>
      <c r="C103" s="3090" t="s">
        <v>2713</v>
      </c>
      <c r="D103" s="3090" t="s">
        <v>2714</v>
      </c>
      <c r="E103" s="3116">
        <v>0.1</v>
      </c>
      <c r="F103" s="3116">
        <v>15</v>
      </c>
    </row>
    <row r="104" spans="1:6" ht="24">
      <c r="A104" s="3116">
        <v>32</v>
      </c>
      <c r="B104" s="3813"/>
      <c r="C104" s="3090" t="s">
        <v>2715</v>
      </c>
      <c r="D104" s="3090" t="s">
        <v>2716</v>
      </c>
      <c r="E104" s="3116">
        <v>0.1</v>
      </c>
      <c r="F104" s="3116">
        <v>15</v>
      </c>
    </row>
    <row r="105" spans="1:6" ht="24">
      <c r="A105" s="3116">
        <v>33</v>
      </c>
      <c r="B105" s="3813"/>
      <c r="C105" s="3090" t="s">
        <v>2717</v>
      </c>
      <c r="D105" s="3090" t="s">
        <v>2718</v>
      </c>
      <c r="E105" s="3116">
        <v>0.1</v>
      </c>
      <c r="F105" s="3116">
        <v>15</v>
      </c>
    </row>
    <row r="106" spans="1:6" ht="24">
      <c r="A106" s="3116">
        <v>34</v>
      </c>
      <c r="B106" s="3812"/>
      <c r="C106" s="3090" t="s">
        <v>2719</v>
      </c>
      <c r="D106" s="3090" t="s">
        <v>2720</v>
      </c>
      <c r="E106" s="3116">
        <v>0.1</v>
      </c>
      <c r="F106" s="3116">
        <v>15</v>
      </c>
    </row>
    <row r="107" spans="1:6" ht="24">
      <c r="A107" s="3116">
        <v>35</v>
      </c>
      <c r="B107" s="3811" t="s">
        <v>2721</v>
      </c>
      <c r="C107" s="3116" t="s">
        <v>2722</v>
      </c>
      <c r="D107" s="3090" t="s">
        <v>2723</v>
      </c>
      <c r="E107" s="3116">
        <v>0.15</v>
      </c>
      <c r="F107" s="3116">
        <v>20</v>
      </c>
    </row>
    <row r="108" spans="1:6" ht="13.5">
      <c r="A108" s="3116">
        <v>36</v>
      </c>
      <c r="B108" s="3813"/>
      <c r="C108" s="3116" t="s">
        <v>2724</v>
      </c>
      <c r="D108" s="3090" t="s">
        <v>2725</v>
      </c>
      <c r="E108" s="3116">
        <v>0.15</v>
      </c>
      <c r="F108" s="3116">
        <v>20</v>
      </c>
    </row>
    <row r="109" spans="1:6" ht="13.5">
      <c r="A109" s="3116">
        <v>37</v>
      </c>
      <c r="B109" s="3813"/>
      <c r="C109" s="3116" t="s">
        <v>2726</v>
      </c>
      <c r="D109" s="3090" t="s">
        <v>2727</v>
      </c>
      <c r="E109" s="3116">
        <v>0.15</v>
      </c>
      <c r="F109" s="3116">
        <v>20</v>
      </c>
    </row>
    <row r="110" spans="1:6" ht="13.5">
      <c r="A110" s="3116">
        <v>38</v>
      </c>
      <c r="B110" s="3813"/>
      <c r="C110" s="3116" t="s">
        <v>2728</v>
      </c>
      <c r="D110" s="3090" t="s">
        <v>2729</v>
      </c>
      <c r="E110" s="3116">
        <v>0.1</v>
      </c>
      <c r="F110" s="3116">
        <v>15</v>
      </c>
    </row>
    <row r="111" spans="1:6" ht="24">
      <c r="A111" s="3116">
        <v>39</v>
      </c>
      <c r="B111" s="3813"/>
      <c r="C111" s="3116" t="s">
        <v>2730</v>
      </c>
      <c r="D111" s="3090" t="s">
        <v>2731</v>
      </c>
      <c r="E111" s="3116">
        <v>0.1</v>
      </c>
      <c r="F111" s="3116">
        <v>15</v>
      </c>
    </row>
    <row r="112" spans="1:6" ht="24">
      <c r="A112" s="3116">
        <v>40</v>
      </c>
      <c r="B112" s="3812"/>
      <c r="C112" s="3116" t="s">
        <v>2732</v>
      </c>
      <c r="D112" s="3090" t="s">
        <v>2733</v>
      </c>
      <c r="E112" s="3116">
        <v>0.1</v>
      </c>
      <c r="F112" s="3116">
        <v>15</v>
      </c>
    </row>
    <row r="113" spans="1:6" ht="13.5">
      <c r="A113" s="3116">
        <v>41</v>
      </c>
      <c r="B113" s="3810" t="s">
        <v>2734</v>
      </c>
      <c r="C113" s="3116" t="s">
        <v>2735</v>
      </c>
      <c r="D113" s="3090" t="s">
        <v>2736</v>
      </c>
      <c r="E113" s="3116">
        <v>0.1</v>
      </c>
      <c r="F113" s="3116">
        <v>15</v>
      </c>
    </row>
    <row r="114" spans="1:6" ht="13.5">
      <c r="A114" s="3116">
        <v>42</v>
      </c>
      <c r="B114" s="3810"/>
      <c r="C114" s="3116" t="s">
        <v>2737</v>
      </c>
      <c r="D114" s="3090" t="s">
        <v>2738</v>
      </c>
      <c r="E114" s="3116">
        <v>0.1</v>
      </c>
      <c r="F114" s="3116">
        <v>15</v>
      </c>
    </row>
    <row r="115" spans="1:6" ht="24">
      <c r="A115" s="3116">
        <v>43</v>
      </c>
      <c r="B115" s="3810"/>
      <c r="C115" s="3116" t="s">
        <v>2739</v>
      </c>
      <c r="D115" s="3090" t="s">
        <v>2740</v>
      </c>
      <c r="E115" s="3116">
        <v>0.1</v>
      </c>
      <c r="F115" s="3116">
        <v>15</v>
      </c>
    </row>
    <row r="116" spans="1:6" ht="13.5">
      <c r="A116" s="3116">
        <v>44</v>
      </c>
      <c r="B116" s="3811" t="s">
        <v>2741</v>
      </c>
      <c r="C116" s="3116" t="s">
        <v>2742</v>
      </c>
      <c r="D116" s="3090" t="s">
        <v>2743</v>
      </c>
      <c r="E116" s="3116">
        <v>0.1</v>
      </c>
      <c r="F116" s="3116">
        <v>15</v>
      </c>
    </row>
    <row r="117" spans="1:6" ht="24">
      <c r="A117" s="3116">
        <v>45</v>
      </c>
      <c r="B117" s="3812"/>
      <c r="C117" s="3090" t="s">
        <v>2744</v>
      </c>
      <c r="D117" s="3090" t="s">
        <v>2745</v>
      </c>
      <c r="E117" s="3116">
        <v>0.1</v>
      </c>
      <c r="F117" s="3116">
        <v>15</v>
      </c>
    </row>
    <row r="118" spans="1:6" ht="24">
      <c r="A118" s="3116">
        <v>46</v>
      </c>
      <c r="B118" s="3811" t="s">
        <v>2746</v>
      </c>
      <c r="C118" s="3116" t="s">
        <v>2747</v>
      </c>
      <c r="D118" s="3090" t="s">
        <v>2748</v>
      </c>
      <c r="E118" s="3116">
        <v>0.1</v>
      </c>
      <c r="F118" s="3116">
        <v>15</v>
      </c>
    </row>
    <row r="119" spans="1:6" ht="24">
      <c r="A119" s="3116">
        <v>47</v>
      </c>
      <c r="B119" s="3812"/>
      <c r="C119" s="3116" t="s">
        <v>2749</v>
      </c>
      <c r="D119" s="3090" t="s">
        <v>2750</v>
      </c>
      <c r="E119" s="3116">
        <v>0.1</v>
      </c>
      <c r="F119" s="3116">
        <v>15</v>
      </c>
    </row>
    <row r="120" spans="1:6" ht="13.5">
      <c r="A120" s="3116">
        <v>48</v>
      </c>
      <c r="B120" s="3811" t="s">
        <v>2751</v>
      </c>
      <c r="C120" s="3116" t="s">
        <v>2752</v>
      </c>
      <c r="D120" s="3090" t="s">
        <v>2753</v>
      </c>
      <c r="E120" s="3116">
        <v>0.1</v>
      </c>
      <c r="F120" s="3116">
        <v>15</v>
      </c>
    </row>
    <row r="121" spans="1:6" ht="13.5">
      <c r="A121" s="3116">
        <v>49</v>
      </c>
      <c r="B121" s="3812"/>
      <c r="C121" s="3116" t="s">
        <v>2754</v>
      </c>
      <c r="D121" s="3090" t="s">
        <v>2755</v>
      </c>
      <c r="E121" s="3116">
        <v>0.1</v>
      </c>
      <c r="F121" s="3116">
        <v>15</v>
      </c>
    </row>
    <row r="122" spans="1:6" ht="24">
      <c r="A122" s="3116">
        <v>50</v>
      </c>
      <c r="B122" s="3810" t="s">
        <v>2756</v>
      </c>
      <c r="C122" s="3116" t="s">
        <v>2757</v>
      </c>
      <c r="D122" s="3090" t="s">
        <v>2758</v>
      </c>
      <c r="E122" s="3116">
        <v>0.1</v>
      </c>
      <c r="F122" s="3116">
        <v>15</v>
      </c>
    </row>
    <row r="123" spans="1:6" ht="24">
      <c r="A123" s="3116">
        <v>51</v>
      </c>
      <c r="B123" s="3810"/>
      <c r="C123" s="3116" t="s">
        <v>2759</v>
      </c>
      <c r="D123" s="3090" t="s">
        <v>2760</v>
      </c>
      <c r="E123" s="3116">
        <v>0.1</v>
      </c>
      <c r="F123" s="3116">
        <v>15</v>
      </c>
    </row>
    <row r="124" spans="1:6" ht="24">
      <c r="A124" s="3116">
        <v>52</v>
      </c>
      <c r="B124" s="3810" t="s">
        <v>2761</v>
      </c>
      <c r="C124" s="3116" t="s">
        <v>2762</v>
      </c>
      <c r="D124" s="3090" t="s">
        <v>2763</v>
      </c>
      <c r="E124" s="3116">
        <v>0.1</v>
      </c>
      <c r="F124" s="3116">
        <v>15</v>
      </c>
    </row>
    <row r="125" spans="1:6" ht="24">
      <c r="A125" s="3116">
        <v>53</v>
      </c>
      <c r="B125" s="3810"/>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810" t="s">
        <v>2769</v>
      </c>
      <c r="C127" s="3116" t="s">
        <v>2770</v>
      </c>
      <c r="D127" s="3090" t="s">
        <v>2771</v>
      </c>
      <c r="E127" s="3116">
        <v>0.1</v>
      </c>
      <c r="F127" s="3116">
        <v>15</v>
      </c>
    </row>
    <row r="128" spans="1:6" ht="13.5">
      <c r="A128" s="3116">
        <v>56</v>
      </c>
      <c r="B128" s="3810"/>
      <c r="C128" s="3116" t="s">
        <v>2772</v>
      </c>
      <c r="D128" s="3090" t="s">
        <v>2773</v>
      </c>
      <c r="E128" s="3116">
        <v>0.1</v>
      </c>
      <c r="F128" s="3116">
        <v>15</v>
      </c>
    </row>
    <row r="129" spans="1:6" ht="24">
      <c r="A129" s="3116">
        <v>57</v>
      </c>
      <c r="B129" s="3810"/>
      <c r="C129" s="3116" t="s">
        <v>2774</v>
      </c>
      <c r="D129" s="3090" t="s">
        <v>2775</v>
      </c>
      <c r="E129" s="3116">
        <v>0.1</v>
      </c>
      <c r="F129" s="3116">
        <v>15</v>
      </c>
    </row>
    <row r="130" spans="1:6" ht="24">
      <c r="A130" s="3116">
        <v>58</v>
      </c>
      <c r="B130" s="3810" t="s">
        <v>2776</v>
      </c>
      <c r="C130" s="3116" t="s">
        <v>2777</v>
      </c>
      <c r="D130" s="3090" t="s">
        <v>2778</v>
      </c>
      <c r="E130" s="3116">
        <v>0.1</v>
      </c>
      <c r="F130" s="3116">
        <v>15</v>
      </c>
    </row>
    <row r="131" spans="1:6" ht="13.5">
      <c r="A131" s="3116">
        <v>59</v>
      </c>
      <c r="B131" s="3810"/>
      <c r="C131" s="3116" t="s">
        <v>2779</v>
      </c>
      <c r="D131" s="3090" t="s">
        <v>2780</v>
      </c>
      <c r="E131" s="3116">
        <v>0.1</v>
      </c>
      <c r="F131" s="3116">
        <v>15</v>
      </c>
    </row>
    <row r="132" spans="1:6" ht="13.5">
      <c r="A132" s="3116">
        <v>60</v>
      </c>
      <c r="B132" s="3811" t="s">
        <v>2781</v>
      </c>
      <c r="C132" s="3116" t="s">
        <v>2782</v>
      </c>
      <c r="D132" s="3090" t="s">
        <v>2783</v>
      </c>
      <c r="E132" s="3116">
        <v>0.1</v>
      </c>
      <c r="F132" s="3116">
        <v>15</v>
      </c>
    </row>
    <row r="133" spans="1:6" ht="13.5">
      <c r="A133" s="3116">
        <v>61</v>
      </c>
      <c r="B133" s="3812"/>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810" t="s">
        <v>2789</v>
      </c>
      <c r="C135" s="3116" t="s">
        <v>2790</v>
      </c>
      <c r="D135" s="3090" t="s">
        <v>2791</v>
      </c>
      <c r="E135" s="3116">
        <v>0.1</v>
      </c>
      <c r="F135" s="3116">
        <v>15</v>
      </c>
    </row>
    <row r="136" spans="1:6" ht="13.5">
      <c r="A136" s="3116">
        <v>64</v>
      </c>
      <c r="B136" s="3810"/>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2798</v>
      </c>
      <c r="B1" s="3125"/>
      <c r="C1" s="3125"/>
      <c r="D1" s="3125"/>
      <c r="E1" s="3125"/>
      <c r="F1" s="3125"/>
      <c r="G1" s="3125"/>
      <c r="H1" s="3125"/>
      <c r="I1" s="3125"/>
      <c r="J1" s="3125"/>
      <c r="K1" s="3125"/>
      <c r="L1" s="3125"/>
      <c r="M1" s="3125"/>
      <c r="N1" s="748"/>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49">
        <f>SUMPRODUCT((A95:A184=ROUNDDOWN(基准地价修正!G3,1))*(B94:M94=基准地价修正!G2)*(B95:M184))</f>
        <v>1</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49">
        <f>SUMPRODUCT((A371:A460=ROUNDDOWN(基准地价修正!G3,1))*(B370:M370=基准地价修正!G2)*(B371:M460))</f>
        <v>0.95120000000000005</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5"/>
      <c r="C2" s="3505"/>
      <c r="D2" s="3505"/>
      <c r="E2" s="3505"/>
    </row>
    <row r="3" spans="1:5" ht="18">
      <c r="A3" s="3506" t="str">
        <f>IF(项目基本情况!B9="房地产市场价值","估价结果一览表（市场价值不需“结果表-1”）","估价结果一览表")</f>
        <v>估价结果一览表</v>
      </c>
      <c r="B3" s="3506"/>
      <c r="C3" s="3506"/>
      <c r="D3" s="3506"/>
      <c r="E3" s="3506"/>
    </row>
    <row r="4" spans="1:5" ht="19.5" thickBot="1">
      <c r="A4" s="1492"/>
      <c r="B4" s="3504" t="s">
        <v>917</v>
      </c>
      <c r="C4" s="3504"/>
      <c r="D4" s="3504"/>
      <c r="E4" s="1492"/>
    </row>
    <row r="5" spans="1:5" ht="16.5" thickTop="1">
      <c r="A5" s="1490"/>
      <c r="B5" s="3502" t="s">
        <v>909</v>
      </c>
      <c r="C5" s="1493" t="s">
        <v>910</v>
      </c>
      <c r="D5" s="849">
        <f ca="1">结果表!H101</f>
        <v>220</v>
      </c>
      <c r="E5" s="1490"/>
    </row>
    <row r="6" spans="1:5" ht="15.75">
      <c r="A6" s="1490"/>
      <c r="B6" s="3502"/>
      <c r="C6" s="1493" t="s">
        <v>911</v>
      </c>
      <c r="D6" s="849" t="str">
        <f ca="1">NUMBERSTRING(INT(D5*10000),2)&amp;"元整"</f>
        <v>贰佰贰拾万元整</v>
      </c>
      <c r="E6" s="1490"/>
    </row>
    <row r="7" spans="1:5" ht="15.75">
      <c r="A7" s="1490"/>
      <c r="B7" s="3507"/>
      <c r="C7" s="1494" t="s">
        <v>912</v>
      </c>
      <c r="D7" s="850">
        <f ca="1">结果表!H102</f>
        <v>45852</v>
      </c>
      <c r="E7" s="1490"/>
    </row>
    <row r="8" spans="1:5" ht="15.75">
      <c r="A8" s="1490"/>
      <c r="B8" s="3508" t="str">
        <f>结果表!E103</f>
        <v>2.估价师知悉的法定优先受偿款</v>
      </c>
      <c r="C8" s="1495" t="s">
        <v>913</v>
      </c>
      <c r="D8" s="850">
        <f>结果表!H103</f>
        <v>0</v>
      </c>
      <c r="E8" s="1490"/>
    </row>
    <row r="9" spans="1:5" ht="15.75">
      <c r="A9" s="1490"/>
      <c r="B9" s="3510"/>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01" t="str">
        <f>结果表!E107</f>
        <v>3.房地产抵押价值</v>
      </c>
      <c r="C13" s="1498" t="s">
        <v>910</v>
      </c>
      <c r="D13" s="852">
        <f ca="1">结果表!H107</f>
        <v>220</v>
      </c>
      <c r="E13" s="1490"/>
    </row>
    <row r="14" spans="1:5" ht="15.75">
      <c r="A14" s="1490"/>
      <c r="B14" s="3502"/>
      <c r="C14" s="1493" t="s">
        <v>911</v>
      </c>
      <c r="D14" s="849" t="str">
        <f ca="1">NUMBERSTRING(INT(D13*10000),2)&amp;"元整"</f>
        <v>贰佰贰拾万元整</v>
      </c>
      <c r="E14" s="1490"/>
    </row>
    <row r="15" spans="1:5" ht="15">
      <c r="A15" s="1490"/>
      <c r="B15" s="3507"/>
      <c r="C15" s="1494" t="s">
        <v>921</v>
      </c>
      <c r="D15" s="858">
        <f ca="1">结果表!H108</f>
        <v>45852</v>
      </c>
      <c r="E15" s="1490"/>
    </row>
    <row r="16" spans="1:5" ht="15">
      <c r="A16" s="1490"/>
      <c r="B16" s="3508" t="str">
        <f>结果表!E109</f>
        <v>——</v>
      </c>
      <c r="C16" s="1498" t="s">
        <v>922</v>
      </c>
      <c r="D16" s="1499" t="str">
        <f>结果表!H109</f>
        <v>——</v>
      </c>
      <c r="E16" s="1490"/>
    </row>
    <row r="17" spans="1:5" ht="15.75">
      <c r="A17" s="1490"/>
      <c r="B17" s="3509"/>
      <c r="C17" s="1493" t="s">
        <v>923</v>
      </c>
      <c r="D17" s="849" t="e">
        <f>NUMBERSTRING(INT(D16*10000),2)&amp;"元整"</f>
        <v>#VALUE!</v>
      </c>
      <c r="E17" s="1490"/>
    </row>
    <row r="18" spans="1:5" ht="15">
      <c r="A18" s="1490"/>
      <c r="B18" s="3510"/>
      <c r="C18" s="1494" t="s">
        <v>912</v>
      </c>
      <c r="D18" s="858" t="str">
        <f>结果表!H110</f>
        <v>——</v>
      </c>
      <c r="E18" s="1490"/>
    </row>
    <row r="19" spans="1:5" ht="15.75">
      <c r="A19" s="1490"/>
      <c r="B19" s="3501" t="str">
        <f>结果表!E111</f>
        <v>——</v>
      </c>
      <c r="C19" s="1498" t="s">
        <v>910</v>
      </c>
      <c r="D19" s="850" t="str">
        <f>结果表!H111</f>
        <v>——</v>
      </c>
      <c r="E19" s="1490"/>
    </row>
    <row r="20" spans="1:5" ht="15.75">
      <c r="A20" s="1490"/>
      <c r="B20" s="3502"/>
      <c r="C20" s="1493" t="s">
        <v>923</v>
      </c>
      <c r="D20" s="849" t="e">
        <f>NUMBERSTRING(INT(D19*10000),2)&amp;"元整"</f>
        <v>#VALUE!</v>
      </c>
      <c r="E20" s="1490"/>
    </row>
    <row r="21" spans="1:5" ht="15.75" thickBot="1">
      <c r="A21" s="1490"/>
      <c r="B21" s="3503"/>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27854</v>
      </c>
      <c r="C2" s="2" t="s">
        <v>106</v>
      </c>
      <c r="D2" s="199"/>
      <c r="E2" s="199"/>
      <c r="F2" s="199"/>
      <c r="G2" s="199"/>
    </row>
    <row r="3" spans="1:7" s="200" customFormat="1" ht="18" customHeight="1" thickBot="1">
      <c r="A3" s="203" t="s">
        <v>58</v>
      </c>
      <c r="B3" s="204">
        <f ca="1">ROUND(B2*10000/'数据-汇总表'!E3,0)</f>
        <v>5817460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v>
      </c>
      <c r="D10" s="844">
        <f>'数据-汇总表'!E6</f>
        <v>47.88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v>
      </c>
      <c r="D19" s="848">
        <f>'数据-汇总表'!E3</f>
        <v>47.88</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1274</v>
      </c>
      <c r="D22" s="235">
        <f ca="1">C26</f>
        <v>5.9999999999999995E-4</v>
      </c>
      <c r="E22" s="236" t="s">
        <v>99</v>
      </c>
      <c r="F22" s="237">
        <f ca="1">'数据-取费表'!B40</f>
        <v>0.03</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1255</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3184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3184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27828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22</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v>
      </c>
      <c r="D37" s="217">
        <f>'数据-汇总表'!E3</f>
        <v>47.88</v>
      </c>
      <c r="E37" s="249">
        <f>'数据-取费表'!B35</f>
        <v>200</v>
      </c>
      <c r="F37" s="259"/>
      <c r="G37" s="261" t="s">
        <v>92</v>
      </c>
    </row>
    <row r="38" spans="1:7" ht="13.5" customHeight="1">
      <c r="A38" s="779" t="s">
        <v>354</v>
      </c>
      <c r="B38" s="215" t="s">
        <v>36</v>
      </c>
      <c r="C38" s="220">
        <f>ROUND(C34*F38,0)</f>
        <v>1</v>
      </c>
      <c r="D38" s="220"/>
      <c r="E38" s="220"/>
      <c r="F38" s="259">
        <f>'数据-取费表'!B36</f>
        <v>2.5000000000000001E-2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v>
      </c>
      <c r="D42" s="238"/>
      <c r="E42" s="238"/>
      <c r="F42" s="239"/>
      <c r="G42" s="3735" t="s">
        <v>94</v>
      </c>
    </row>
    <row r="43" spans="1:7" ht="13.5" customHeight="1">
      <c r="A43" s="779" t="s">
        <v>347</v>
      </c>
      <c r="B43" s="215" t="s">
        <v>426</v>
      </c>
      <c r="C43" s="238">
        <f ca="1">ROUND(IF('数据-取费表'!B22&lt;=1,C39*F22*'数据-取费表'!B21/2,C39*(POWER((1+F22),'数据-取费表'!B21/2)-1)),0)</f>
        <v>0</v>
      </c>
      <c r="D43" s="238"/>
      <c r="E43" s="238"/>
      <c r="F43" s="239"/>
      <c r="G43" s="3736"/>
    </row>
    <row r="44" spans="1:7" ht="13.5" customHeight="1">
      <c r="A44" s="779" t="s">
        <v>348</v>
      </c>
      <c r="B44" s="215" t="s">
        <v>428</v>
      </c>
      <c r="C44" s="238">
        <f ca="1">ROUND(IF('数据-取费表'!B22&lt;=1,C40*F22*'数据-取费表'!B21/2,C40*(POWER((1+F22),'数据-取费表'!B21/2)-1)),4)</f>
        <v>5.9999999999999995E-4</v>
      </c>
      <c r="D44" s="238"/>
      <c r="E44" s="238"/>
      <c r="F44" s="239"/>
      <c r="G44" s="3737"/>
    </row>
    <row r="45" spans="1:7" s="214" customFormat="1" ht="13.5" customHeight="1">
      <c r="A45" s="776" t="s">
        <v>341</v>
      </c>
      <c r="B45" s="244" t="s">
        <v>85</v>
      </c>
      <c r="C45" s="245">
        <f>C46</f>
        <v>4</v>
      </c>
      <c r="D45" s="235">
        <f>C47</f>
        <v>3.0000000000000001E-3</v>
      </c>
      <c r="E45" s="236" t="s">
        <v>102</v>
      </c>
      <c r="F45" s="246"/>
      <c r="G45" s="247" t="s">
        <v>434</v>
      </c>
    </row>
    <row r="46" spans="1:7" s="214" customFormat="1" ht="13.5" customHeight="1">
      <c r="A46" s="779" t="s">
        <v>349</v>
      </c>
      <c r="B46" s="248" t="s">
        <v>427</v>
      </c>
      <c r="C46" s="249">
        <f>ROUND((C33+C39)*F27,0)</f>
        <v>4</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34</v>
      </c>
      <c r="D49" s="232"/>
      <c r="E49" s="232"/>
      <c r="F49" s="264"/>
      <c r="G49" s="234" t="s">
        <v>435</v>
      </c>
    </row>
    <row r="50" spans="1:7" s="258" customFormat="1" ht="24">
      <c r="A50" s="776" t="s">
        <v>344</v>
      </c>
      <c r="B50" s="210" t="s">
        <v>97</v>
      </c>
      <c r="C50" s="232"/>
      <c r="D50" s="232"/>
      <c r="E50" s="232"/>
      <c r="F50" s="264">
        <f>IF('数据-取费表'!B24=0,'数据-取费表'!N16,1)</f>
        <v>0.75</v>
      </c>
      <c r="G50" s="247" t="s">
        <v>98</v>
      </c>
    </row>
    <row r="51" spans="1:7" ht="16.5" customHeight="1">
      <c r="A51" s="776" t="s">
        <v>345</v>
      </c>
      <c r="B51" s="210" t="s">
        <v>105</v>
      </c>
      <c r="C51" s="232">
        <f ca="1">ROUND(C49*F50,0)</f>
        <v>26</v>
      </c>
      <c r="D51" s="232"/>
      <c r="E51" s="232"/>
      <c r="F51" s="264"/>
      <c r="G51" s="234" t="s">
        <v>37</v>
      </c>
    </row>
    <row r="52" spans="1:7" s="208" customFormat="1" ht="16.5" thickBot="1">
      <c r="A52" s="265" t="s">
        <v>38</v>
      </c>
      <c r="B52" s="266"/>
      <c r="C52" s="267">
        <f ca="1">C31+C51</f>
        <v>27854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22" t="s">
        <v>3181</v>
      </c>
      <c r="B1" s="3822"/>
    </row>
    <row r="2" spans="1:7" ht="14.25" thickBot="1">
      <c r="A2" s="3253"/>
      <c r="B2" s="3253"/>
    </row>
    <row r="3" spans="1:7" ht="14.25" thickBot="1">
      <c r="A3" s="3253"/>
      <c r="B3" s="3253"/>
      <c r="C3" s="3254" t="s">
        <v>2811</v>
      </c>
      <c r="D3" s="3254" t="s">
        <v>2867</v>
      </c>
      <c r="E3" s="3254" t="s">
        <v>2813</v>
      </c>
      <c r="F3" s="3254" t="s">
        <v>2868</v>
      </c>
      <c r="G3" s="3254" t="s">
        <v>2631</v>
      </c>
    </row>
    <row r="4" spans="1:7" ht="14.25" thickBot="1">
      <c r="A4" s="3255" t="s">
        <v>2866</v>
      </c>
      <c r="B4" s="3256" t="s">
        <v>2872</v>
      </c>
      <c r="C4" s="3254"/>
      <c r="D4" s="3254"/>
      <c r="E4" s="3254"/>
      <c r="F4" s="3254"/>
      <c r="G4" s="3254"/>
    </row>
    <row r="5" spans="1:7">
      <c r="A5" s="3257" t="s">
        <v>2840</v>
      </c>
      <c r="B5" s="3258" t="s">
        <v>2854</v>
      </c>
      <c r="C5" s="3259">
        <v>9.8000000000000004E-2</v>
      </c>
      <c r="D5" s="3259">
        <v>8.6999999999999994E-2</v>
      </c>
      <c r="E5" s="3259">
        <v>8.6999999999999994E-2</v>
      </c>
      <c r="F5" s="3259">
        <v>9.8000000000000004E-2</v>
      </c>
      <c r="G5" s="3260">
        <v>9.5000000000000001E-2</v>
      </c>
    </row>
    <row r="6" spans="1:7">
      <c r="A6" s="3261" t="s">
        <v>144</v>
      </c>
      <c r="B6" s="3262" t="s">
        <v>2869</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2855</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2905</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2923</v>
      </c>
      <c r="C29" s="3271"/>
      <c r="D29" s="3267">
        <v>5.1999999999999998E-2</v>
      </c>
      <c r="E29" s="3267">
        <v>7.0000000000000007E-2</v>
      </c>
      <c r="F29" s="3271"/>
      <c r="G29" s="3269">
        <v>7.0999999999999994E-2</v>
      </c>
    </row>
    <row r="30" spans="1:7">
      <c r="A30" s="3272" t="s">
        <v>296</v>
      </c>
      <c r="B30" s="3258" t="s">
        <v>2856</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2842</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2926</v>
      </c>
      <c r="C50" s="3263">
        <v>9.8000000000000004E-2</v>
      </c>
      <c r="D50" s="3263">
        <v>7.2999999999999995E-2</v>
      </c>
      <c r="E50" s="3263">
        <v>7.0999999999999994E-2</v>
      </c>
      <c r="F50" s="3274"/>
      <c r="G50" s="3264">
        <v>7.2999999999999995E-2</v>
      </c>
    </row>
    <row r="51" spans="1:7">
      <c r="A51" s="3273" t="s">
        <v>296</v>
      </c>
      <c r="B51" s="3262" t="s">
        <v>2928</v>
      </c>
      <c r="C51" s="3263">
        <v>9.9000000000000005E-2</v>
      </c>
      <c r="D51" s="3263">
        <v>8.5000000000000006E-2</v>
      </c>
      <c r="E51" s="3263">
        <v>6.3E-2</v>
      </c>
      <c r="F51" s="3274"/>
      <c r="G51" s="3264">
        <v>9.6000000000000002E-2</v>
      </c>
    </row>
    <row r="52" spans="1:7">
      <c r="A52" s="3273" t="s">
        <v>296</v>
      </c>
      <c r="B52" s="3262" t="s">
        <v>2932</v>
      </c>
      <c r="C52" s="3263">
        <v>7.3999999999999996E-2</v>
      </c>
      <c r="D52" s="3263">
        <v>9.6000000000000002E-2</v>
      </c>
      <c r="E52" s="3263">
        <v>0.05</v>
      </c>
      <c r="F52" s="3274"/>
      <c r="G52" s="3264">
        <v>9.8000000000000004E-2</v>
      </c>
    </row>
    <row r="53" spans="1:7">
      <c r="A53" s="3273" t="s">
        <v>296</v>
      </c>
      <c r="B53" s="3262" t="s">
        <v>2937</v>
      </c>
      <c r="C53" s="3263">
        <v>8.5999999999999993E-2</v>
      </c>
      <c r="D53" s="3274"/>
      <c r="E53" s="3263">
        <v>9.1999999999999998E-2</v>
      </c>
      <c r="F53" s="3274"/>
      <c r="G53" s="3275"/>
    </row>
    <row r="54" spans="1:7" ht="14.25" thickBot="1">
      <c r="A54" s="3276" t="s">
        <v>296</v>
      </c>
      <c r="B54" s="3266" t="s">
        <v>2940</v>
      </c>
      <c r="C54" s="3267">
        <v>9.6000000000000002E-2</v>
      </c>
      <c r="D54" s="3268"/>
      <c r="E54" s="3277"/>
      <c r="F54" s="3268"/>
      <c r="G54" s="3278"/>
    </row>
    <row r="55" spans="1:7">
      <c r="A55" s="3272" t="s">
        <v>110</v>
      </c>
      <c r="B55" s="3258" t="s">
        <v>2857</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2938</v>
      </c>
      <c r="C78" s="3263">
        <v>0.1</v>
      </c>
      <c r="D78" s="3263">
        <v>8.5000000000000006E-2</v>
      </c>
      <c r="E78" s="3263">
        <v>9.6000000000000002E-2</v>
      </c>
      <c r="F78" s="3274"/>
      <c r="G78" s="3264">
        <v>9.6000000000000002E-2</v>
      </c>
    </row>
    <row r="79" spans="1:7">
      <c r="A79" s="3273" t="s">
        <v>110</v>
      </c>
      <c r="B79" s="3262" t="s">
        <v>2941</v>
      </c>
      <c r="C79" s="3263">
        <v>0.05</v>
      </c>
      <c r="D79" s="3263">
        <v>9.6000000000000002E-2</v>
      </c>
      <c r="E79" s="3263">
        <v>9.5000000000000001E-2</v>
      </c>
      <c r="F79" s="3274"/>
      <c r="G79" s="3264">
        <v>9.8000000000000004E-2</v>
      </c>
    </row>
    <row r="80" spans="1:7">
      <c r="A80" s="3273" t="s">
        <v>110</v>
      </c>
      <c r="B80" s="3262" t="s">
        <v>2945</v>
      </c>
      <c r="C80" s="3263">
        <v>8.5999999999999993E-2</v>
      </c>
      <c r="D80" s="3279"/>
      <c r="E80" s="3263">
        <v>0.1</v>
      </c>
      <c r="F80" s="3274"/>
      <c r="G80" s="3275"/>
    </row>
    <row r="81" spans="1:7">
      <c r="A81" s="3273" t="s">
        <v>110</v>
      </c>
      <c r="B81" s="3262" t="s">
        <v>2950</v>
      </c>
      <c r="C81" s="3263">
        <v>9.6000000000000002E-2</v>
      </c>
      <c r="D81" s="3274"/>
      <c r="E81" s="3263">
        <v>9.8000000000000004E-2</v>
      </c>
      <c r="F81" s="3274"/>
      <c r="G81" s="3275"/>
    </row>
    <row r="82" spans="1:7">
      <c r="A82" s="3273" t="s">
        <v>110</v>
      </c>
      <c r="B82" s="3262" t="s">
        <v>2957</v>
      </c>
      <c r="C82" s="3279"/>
      <c r="D82" s="3274"/>
      <c r="E82" s="3263">
        <v>7.6999999999999999E-2</v>
      </c>
      <c r="F82" s="3274"/>
      <c r="G82" s="3275"/>
    </row>
    <row r="83" spans="1:7">
      <c r="A83" s="3273" t="s">
        <v>110</v>
      </c>
      <c r="B83" s="3262" t="s">
        <v>2963</v>
      </c>
      <c r="C83" s="3274"/>
      <c r="D83" s="3274"/>
      <c r="E83" s="3274"/>
      <c r="F83" s="3263">
        <v>0.1</v>
      </c>
      <c r="G83" s="3280"/>
    </row>
    <row r="84" spans="1:7">
      <c r="A84" s="3273" t="s">
        <v>110</v>
      </c>
      <c r="B84" s="3262" t="s">
        <v>2970</v>
      </c>
      <c r="C84" s="3274"/>
      <c r="D84" s="3274"/>
      <c r="E84" s="3274"/>
      <c r="F84" s="3263">
        <v>0.1</v>
      </c>
      <c r="G84" s="3280"/>
    </row>
    <row r="85" spans="1:7">
      <c r="A85" s="3273" t="s">
        <v>110</v>
      </c>
      <c r="B85" s="3262" t="s">
        <v>2977</v>
      </c>
      <c r="C85" s="3274"/>
      <c r="D85" s="3274"/>
      <c r="E85" s="3274"/>
      <c r="F85" s="3263">
        <v>0.1</v>
      </c>
      <c r="G85" s="3280"/>
    </row>
    <row r="86" spans="1:7" ht="14.25" thickBot="1">
      <c r="A86" s="3276" t="s">
        <v>110</v>
      </c>
      <c r="B86" s="3266" t="s">
        <v>2982</v>
      </c>
      <c r="C86" s="3267">
        <v>9.8000000000000004E-2</v>
      </c>
      <c r="D86" s="3267">
        <v>9.8000000000000004E-2</v>
      </c>
      <c r="E86" s="3267">
        <v>9.6000000000000002E-2</v>
      </c>
      <c r="F86" s="3277"/>
      <c r="G86" s="3269">
        <v>0.1</v>
      </c>
    </row>
    <row r="87" spans="1:7">
      <c r="A87" s="3272" t="s">
        <v>303</v>
      </c>
      <c r="B87" s="3258" t="s">
        <v>2858</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2951</v>
      </c>
      <c r="C113" s="3263">
        <v>0.1</v>
      </c>
      <c r="D113" s="3263">
        <v>0.1</v>
      </c>
      <c r="E113" s="3274"/>
      <c r="F113" s="3274"/>
      <c r="G113" s="3264">
        <v>0.1</v>
      </c>
    </row>
    <row r="114" spans="1:7">
      <c r="A114" s="3273" t="s">
        <v>303</v>
      </c>
      <c r="B114" s="3262" t="s">
        <v>2958</v>
      </c>
      <c r="C114" s="3263">
        <v>9.7000000000000003E-2</v>
      </c>
      <c r="D114" s="3263">
        <v>9.7000000000000003E-2</v>
      </c>
      <c r="E114" s="3274"/>
      <c r="F114" s="3274"/>
      <c r="G114" s="3264">
        <v>9.9000000000000005E-2</v>
      </c>
    </row>
    <row r="115" spans="1:7">
      <c r="A115" s="3273" t="s">
        <v>303</v>
      </c>
      <c r="B115" s="3262" t="s">
        <v>2964</v>
      </c>
      <c r="C115" s="3263">
        <v>0.1</v>
      </c>
      <c r="D115" s="3263">
        <v>0.1</v>
      </c>
      <c r="E115" s="3274"/>
      <c r="F115" s="3274"/>
      <c r="G115" s="3264">
        <v>0.1</v>
      </c>
    </row>
    <row r="116" spans="1:7">
      <c r="A116" s="3273" t="s">
        <v>303</v>
      </c>
      <c r="B116" s="3262" t="s">
        <v>2971</v>
      </c>
      <c r="C116" s="3263">
        <v>0.1</v>
      </c>
      <c r="D116" s="3263">
        <v>0.1</v>
      </c>
      <c r="E116" s="3274"/>
      <c r="F116" s="3274"/>
      <c r="G116" s="3264">
        <v>0.1</v>
      </c>
    </row>
    <row r="117" spans="1:7">
      <c r="A117" s="3273" t="s">
        <v>303</v>
      </c>
      <c r="B117" s="3262" t="s">
        <v>2978</v>
      </c>
      <c r="C117" s="3263">
        <v>9.7000000000000003E-2</v>
      </c>
      <c r="D117" s="3263">
        <v>9.7000000000000003E-2</v>
      </c>
      <c r="E117" s="3274"/>
      <c r="F117" s="3274"/>
      <c r="G117" s="3264">
        <v>9.7000000000000003E-2</v>
      </c>
    </row>
    <row r="118" spans="1:7">
      <c r="A118" s="3273" t="s">
        <v>303</v>
      </c>
      <c r="B118" s="3262" t="s">
        <v>2983</v>
      </c>
      <c r="C118" s="3263">
        <v>0.1</v>
      </c>
      <c r="D118" s="3263">
        <v>0.1</v>
      </c>
      <c r="E118" s="3274"/>
      <c r="F118" s="3274"/>
      <c r="G118" s="3264">
        <v>0.1</v>
      </c>
    </row>
    <row r="119" spans="1:7">
      <c r="A119" s="3273" t="s">
        <v>303</v>
      </c>
      <c r="B119" s="3262" t="s">
        <v>2987</v>
      </c>
      <c r="C119" s="3263">
        <v>5.0999999999999997E-2</v>
      </c>
      <c r="D119" s="3263">
        <v>5.1999999999999998E-2</v>
      </c>
      <c r="E119" s="3274"/>
      <c r="F119" s="3279"/>
      <c r="G119" s="3264">
        <v>0.06</v>
      </c>
    </row>
    <row r="120" spans="1:7">
      <c r="A120" s="3273" t="s">
        <v>303</v>
      </c>
      <c r="B120" s="3262" t="s">
        <v>2991</v>
      </c>
      <c r="C120" s="3274"/>
      <c r="D120" s="3274"/>
      <c r="E120" s="3274"/>
      <c r="F120" s="3263">
        <v>0.1</v>
      </c>
      <c r="G120" s="3280"/>
    </row>
    <row r="121" spans="1:7">
      <c r="A121" s="3273" t="s">
        <v>303</v>
      </c>
      <c r="B121" s="3262" t="s">
        <v>2996</v>
      </c>
      <c r="C121" s="3274"/>
      <c r="D121" s="3274"/>
      <c r="E121" s="3274"/>
      <c r="F121" s="3263">
        <v>0.1</v>
      </c>
      <c r="G121" s="3280"/>
    </row>
    <row r="122" spans="1:7">
      <c r="A122" s="3273" t="s">
        <v>303</v>
      </c>
      <c r="B122" s="3262" t="s">
        <v>3001</v>
      </c>
      <c r="C122" s="3263">
        <v>0.1</v>
      </c>
      <c r="D122" s="3263">
        <v>0.1</v>
      </c>
      <c r="E122" s="3263">
        <v>9.8000000000000004E-2</v>
      </c>
      <c r="F122" s="3263">
        <v>0.1</v>
      </c>
      <c r="G122" s="3264">
        <v>0.1</v>
      </c>
    </row>
    <row r="123" spans="1:7">
      <c r="A123" s="3273" t="s">
        <v>303</v>
      </c>
      <c r="B123" s="3262" t="s">
        <v>3006</v>
      </c>
      <c r="C123" s="3263">
        <v>0.1</v>
      </c>
      <c r="D123" s="3263">
        <v>0.1</v>
      </c>
      <c r="E123" s="3263">
        <v>9.8000000000000004E-2</v>
      </c>
      <c r="F123" s="3263">
        <v>0.1</v>
      </c>
      <c r="G123" s="3264">
        <v>0.1</v>
      </c>
    </row>
    <row r="124" spans="1:7">
      <c r="A124" s="3273" t="s">
        <v>303</v>
      </c>
      <c r="B124" s="3262" t="s">
        <v>3011</v>
      </c>
      <c r="C124" s="3263">
        <v>0.1</v>
      </c>
      <c r="D124" s="3263">
        <v>0.1</v>
      </c>
      <c r="E124" s="3263">
        <v>9.8000000000000004E-2</v>
      </c>
      <c r="F124" s="3279"/>
      <c r="G124" s="3264">
        <v>0.1</v>
      </c>
    </row>
    <row r="125" spans="1:7">
      <c r="A125" s="3273" t="s">
        <v>303</v>
      </c>
      <c r="B125" s="3262" t="s">
        <v>3016</v>
      </c>
      <c r="C125" s="3263">
        <v>9.8000000000000004E-2</v>
      </c>
      <c r="D125" s="3263">
        <v>9.8000000000000004E-2</v>
      </c>
      <c r="E125" s="3263">
        <v>9.6000000000000002E-2</v>
      </c>
      <c r="F125" s="3279"/>
      <c r="G125" s="3264">
        <v>0.1</v>
      </c>
    </row>
    <row r="126" spans="1:7" ht="14.25" thickBot="1">
      <c r="A126" s="3276" t="s">
        <v>303</v>
      </c>
      <c r="B126" s="3266" t="s">
        <v>3182</v>
      </c>
      <c r="C126" s="3267">
        <v>0.1</v>
      </c>
      <c r="D126" s="3267">
        <v>0.1</v>
      </c>
      <c r="E126" s="3267">
        <v>9.8000000000000004E-2</v>
      </c>
      <c r="F126" s="3267">
        <v>0.1</v>
      </c>
      <c r="G126" s="3269">
        <v>0.1</v>
      </c>
    </row>
    <row r="127" spans="1:7">
      <c r="A127" s="3272" t="s">
        <v>29</v>
      </c>
      <c r="B127" s="3258" t="s">
        <v>2859</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2929</v>
      </c>
      <c r="C148" s="3263">
        <v>0.13</v>
      </c>
      <c r="D148" s="3263">
        <v>0.13</v>
      </c>
      <c r="E148" s="3263">
        <v>0.13</v>
      </c>
      <c r="F148" s="3274"/>
      <c r="G148" s="3264">
        <v>0.13</v>
      </c>
    </row>
    <row r="149" spans="1:7">
      <c r="A149" s="3273" t="s">
        <v>29</v>
      </c>
      <c r="B149" s="3262" t="s">
        <v>2933</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2952</v>
      </c>
      <c r="C153" s="3263">
        <v>0.13</v>
      </c>
      <c r="D153" s="3263">
        <v>0.13</v>
      </c>
      <c r="E153" s="3263">
        <v>0.13</v>
      </c>
      <c r="F153" s="3263">
        <v>0.13</v>
      </c>
      <c r="G153" s="3264">
        <v>0.13</v>
      </c>
    </row>
    <row r="154" spans="1:7">
      <c r="A154" s="3273" t="s">
        <v>29</v>
      </c>
      <c r="B154" s="3262" t="s">
        <v>2959</v>
      </c>
      <c r="C154" s="3263">
        <v>0.121</v>
      </c>
      <c r="D154" s="3263">
        <v>0.121</v>
      </c>
      <c r="E154" s="3263">
        <v>0.105</v>
      </c>
      <c r="F154" s="3263">
        <v>0.121</v>
      </c>
      <c r="G154" s="3264">
        <v>0.123</v>
      </c>
    </row>
    <row r="155" spans="1:7">
      <c r="A155" s="3273" t="s">
        <v>29</v>
      </c>
      <c r="B155" s="3262" t="s">
        <v>2965</v>
      </c>
      <c r="C155" s="3263">
        <v>0.1</v>
      </c>
      <c r="D155" s="3263">
        <v>0.1</v>
      </c>
      <c r="E155" s="3263">
        <v>0.1</v>
      </c>
      <c r="F155" s="3263">
        <v>0.1</v>
      </c>
      <c r="G155" s="3264">
        <v>0.1</v>
      </c>
    </row>
    <row r="156" spans="1:7">
      <c r="A156" s="3273" t="s">
        <v>29</v>
      </c>
      <c r="B156" s="3262" t="s">
        <v>2972</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2992</v>
      </c>
      <c r="C160" s="3263">
        <v>0.13</v>
      </c>
      <c r="D160" s="3263">
        <v>0.13</v>
      </c>
      <c r="E160" s="3263">
        <v>0.124</v>
      </c>
      <c r="F160" s="3263">
        <v>0.126</v>
      </c>
      <c r="G160" s="3264">
        <v>0.13</v>
      </c>
    </row>
    <row r="161" spans="1:7">
      <c r="A161" s="3273" t="s">
        <v>29</v>
      </c>
      <c r="B161" s="3262" t="s">
        <v>2997</v>
      </c>
      <c r="C161" s="3263">
        <v>0.13</v>
      </c>
      <c r="D161" s="3263">
        <v>0.13</v>
      </c>
      <c r="E161" s="3263">
        <v>0.124</v>
      </c>
      <c r="F161" s="3263">
        <v>0.127</v>
      </c>
      <c r="G161" s="3264">
        <v>0.13</v>
      </c>
    </row>
    <row r="162" spans="1:7">
      <c r="A162" s="3273" t="s">
        <v>29</v>
      </c>
      <c r="B162" s="3262" t="s">
        <v>3002</v>
      </c>
      <c r="C162" s="3263">
        <v>0.1</v>
      </c>
      <c r="D162" s="3263">
        <v>0.1</v>
      </c>
      <c r="E162" s="3263">
        <v>0.1</v>
      </c>
      <c r="F162" s="3263">
        <v>0.121</v>
      </c>
      <c r="G162" s="3264">
        <v>0.105</v>
      </c>
    </row>
    <row r="163" spans="1:7">
      <c r="A163" s="3273" t="s">
        <v>29</v>
      </c>
      <c r="B163" s="3262" t="s">
        <v>3007</v>
      </c>
      <c r="C163" s="3263">
        <v>0.1</v>
      </c>
      <c r="D163" s="3263">
        <v>0.1</v>
      </c>
      <c r="E163" s="3263">
        <v>0.1</v>
      </c>
      <c r="F163" s="3263">
        <v>0.1</v>
      </c>
      <c r="G163" s="3264">
        <v>0.1</v>
      </c>
    </row>
    <row r="164" spans="1:7">
      <c r="A164" s="3273" t="s">
        <v>29</v>
      </c>
      <c r="B164" s="3262" t="s">
        <v>3012</v>
      </c>
      <c r="C164" s="3279"/>
      <c r="D164" s="3279"/>
      <c r="E164" s="3279"/>
      <c r="F164" s="3263">
        <v>0.1</v>
      </c>
      <c r="G164" s="3275"/>
    </row>
    <row r="165" spans="1:7">
      <c r="A165" s="3273" t="s">
        <v>29</v>
      </c>
      <c r="B165" s="3262" t="s">
        <v>3183</v>
      </c>
      <c r="C165" s="3263">
        <v>0.126</v>
      </c>
      <c r="D165" s="3263">
        <v>0.126</v>
      </c>
      <c r="E165" s="3263">
        <v>0.11899999999999999</v>
      </c>
      <c r="F165" s="3263">
        <v>0.13</v>
      </c>
      <c r="G165" s="3264">
        <v>0.128</v>
      </c>
    </row>
    <row r="166" spans="1:7">
      <c r="A166" s="3273" t="s">
        <v>29</v>
      </c>
      <c r="B166" s="3262" t="s">
        <v>3022</v>
      </c>
      <c r="C166" s="3263">
        <v>0.129</v>
      </c>
      <c r="D166" s="3263">
        <v>0.129</v>
      </c>
      <c r="E166" s="3263">
        <v>0.123</v>
      </c>
      <c r="F166" s="3263">
        <v>0.128</v>
      </c>
      <c r="G166" s="3264">
        <v>0.13</v>
      </c>
    </row>
    <row r="167" spans="1:7">
      <c r="A167" s="3273" t="s">
        <v>29</v>
      </c>
      <c r="B167" s="3262" t="s">
        <v>3026</v>
      </c>
      <c r="C167" s="3263">
        <v>0.125</v>
      </c>
      <c r="D167" s="3263">
        <v>0.125</v>
      </c>
      <c r="E167" s="3263">
        <v>0.11700000000000001</v>
      </c>
      <c r="F167" s="3263">
        <v>0.13</v>
      </c>
      <c r="G167" s="3264">
        <v>0.126</v>
      </c>
    </row>
    <row r="168" spans="1:7">
      <c r="A168" s="3273" t="s">
        <v>29</v>
      </c>
      <c r="B168" s="3262" t="s">
        <v>3031</v>
      </c>
      <c r="C168" s="3263">
        <v>0.128</v>
      </c>
      <c r="D168" s="3263">
        <v>0.128</v>
      </c>
      <c r="E168" s="3263">
        <v>0.123</v>
      </c>
      <c r="F168" s="3274"/>
      <c r="G168" s="3264">
        <v>0.13</v>
      </c>
    </row>
    <row r="169" spans="1:7">
      <c r="A169" s="3273" t="s">
        <v>29</v>
      </c>
      <c r="B169" s="3262" t="s">
        <v>3184</v>
      </c>
      <c r="C169" s="3279"/>
      <c r="D169" s="3279"/>
      <c r="E169" s="3279"/>
      <c r="F169" s="3263">
        <v>0.05</v>
      </c>
      <c r="G169" s="3275"/>
    </row>
    <row r="170" spans="1:7">
      <c r="A170" s="3273" t="s">
        <v>29</v>
      </c>
      <c r="B170" s="3262" t="s">
        <v>3185</v>
      </c>
      <c r="C170" s="3279"/>
      <c r="D170" s="3279"/>
      <c r="E170" s="3279"/>
      <c r="F170" s="3263">
        <v>0.05</v>
      </c>
      <c r="G170" s="3275"/>
    </row>
    <row r="171" spans="1:7">
      <c r="A171" s="3273" t="s">
        <v>29</v>
      </c>
      <c r="B171" s="3262" t="s">
        <v>3186</v>
      </c>
      <c r="C171" s="3279"/>
      <c r="D171" s="3279"/>
      <c r="E171" s="3279"/>
      <c r="F171" s="3263">
        <v>0.05</v>
      </c>
      <c r="G171" s="3280"/>
    </row>
    <row r="172" spans="1:7">
      <c r="A172" s="3273" t="s">
        <v>29</v>
      </c>
      <c r="B172" s="3262" t="s">
        <v>3187</v>
      </c>
      <c r="C172" s="3279"/>
      <c r="D172" s="3279"/>
      <c r="E172" s="3279"/>
      <c r="F172" s="3263">
        <v>0.05</v>
      </c>
      <c r="G172" s="3280"/>
    </row>
    <row r="173" spans="1:7">
      <c r="A173" s="3273" t="s">
        <v>29</v>
      </c>
      <c r="B173" s="3262" t="s">
        <v>3188</v>
      </c>
      <c r="C173" s="3279"/>
      <c r="D173" s="3279"/>
      <c r="E173" s="3279"/>
      <c r="F173" s="3263">
        <v>0.05</v>
      </c>
      <c r="G173" s="3275"/>
    </row>
    <row r="174" spans="1:7">
      <c r="A174" s="3273" t="s">
        <v>29</v>
      </c>
      <c r="B174" s="3262" t="s">
        <v>3189</v>
      </c>
      <c r="C174" s="3279"/>
      <c r="D174" s="3279"/>
      <c r="E174" s="3279"/>
      <c r="F174" s="3263">
        <v>0.05</v>
      </c>
      <c r="G174" s="3275"/>
    </row>
    <row r="175" spans="1:7">
      <c r="A175" s="3273" t="s">
        <v>29</v>
      </c>
      <c r="B175" s="3262" t="s">
        <v>3190</v>
      </c>
      <c r="C175" s="3279"/>
      <c r="D175" s="3279"/>
      <c r="E175" s="3279"/>
      <c r="F175" s="3263">
        <v>0.05</v>
      </c>
      <c r="G175" s="3275"/>
    </row>
    <row r="176" spans="1:7">
      <c r="A176" s="3273" t="s">
        <v>29</v>
      </c>
      <c r="B176" s="3262" t="s">
        <v>3191</v>
      </c>
      <c r="C176" s="3279"/>
      <c r="D176" s="3279"/>
      <c r="E176" s="3279"/>
      <c r="F176" s="3263">
        <v>0.05</v>
      </c>
      <c r="G176" s="3275"/>
    </row>
    <row r="177" spans="1:7">
      <c r="A177" s="3273" t="s">
        <v>29</v>
      </c>
      <c r="B177" s="3262" t="s">
        <v>3192</v>
      </c>
      <c r="C177" s="3274"/>
      <c r="D177" s="3274"/>
      <c r="E177" s="3274"/>
      <c r="F177" s="3263">
        <v>0.05</v>
      </c>
      <c r="G177" s="3280"/>
    </row>
    <row r="178" spans="1:7">
      <c r="A178" s="3273" t="s">
        <v>29</v>
      </c>
      <c r="B178" s="3262" t="s">
        <v>3193</v>
      </c>
      <c r="C178" s="3274"/>
      <c r="D178" s="3274"/>
      <c r="E178" s="3274"/>
      <c r="F178" s="3263">
        <v>0.05</v>
      </c>
      <c r="G178" s="3280"/>
    </row>
    <row r="179" spans="1:7">
      <c r="A179" s="3273" t="s">
        <v>29</v>
      </c>
      <c r="B179" s="3262" t="s">
        <v>3194</v>
      </c>
      <c r="C179" s="3274"/>
      <c r="D179" s="3274"/>
      <c r="E179" s="3274"/>
      <c r="F179" s="3263">
        <v>0.05</v>
      </c>
      <c r="G179" s="3280"/>
    </row>
    <row r="180" spans="1:7">
      <c r="A180" s="3273" t="s">
        <v>29</v>
      </c>
      <c r="B180" s="3262" t="s">
        <v>3195</v>
      </c>
      <c r="C180" s="3274"/>
      <c r="D180" s="3274"/>
      <c r="E180" s="3274"/>
      <c r="F180" s="3263">
        <v>0.05</v>
      </c>
      <c r="G180" s="3280"/>
    </row>
    <row r="181" spans="1:7">
      <c r="A181" s="3273" t="s">
        <v>29</v>
      </c>
      <c r="B181" s="3262" t="s">
        <v>3196</v>
      </c>
      <c r="C181" s="3274"/>
      <c r="D181" s="3274"/>
      <c r="E181" s="3274"/>
      <c r="F181" s="3263">
        <v>0.05</v>
      </c>
      <c r="G181" s="3280"/>
    </row>
    <row r="182" spans="1:7">
      <c r="A182" s="3273" t="s">
        <v>29</v>
      </c>
      <c r="B182" s="3262" t="s">
        <v>3197</v>
      </c>
      <c r="C182" s="3274"/>
      <c r="D182" s="3274"/>
      <c r="E182" s="3274"/>
      <c r="F182" s="3263">
        <v>0.05</v>
      </c>
      <c r="G182" s="3280"/>
    </row>
    <row r="183" spans="1:7">
      <c r="A183" s="3273" t="s">
        <v>29</v>
      </c>
      <c r="B183" s="3262" t="s">
        <v>3198</v>
      </c>
      <c r="C183" s="3274"/>
      <c r="D183" s="3274"/>
      <c r="E183" s="3274"/>
      <c r="F183" s="3263">
        <v>0.05</v>
      </c>
      <c r="G183" s="3280"/>
    </row>
    <row r="184" spans="1:7">
      <c r="A184" s="3273" t="s">
        <v>29</v>
      </c>
      <c r="B184" s="3262" t="s">
        <v>3199</v>
      </c>
      <c r="C184" s="3274"/>
      <c r="D184" s="3274"/>
      <c r="E184" s="3274"/>
      <c r="F184" s="3263">
        <v>0.05</v>
      </c>
      <c r="G184" s="3280"/>
    </row>
    <row r="185" spans="1:7">
      <c r="A185" s="3273" t="s">
        <v>29</v>
      </c>
      <c r="B185" s="3262" t="s">
        <v>3200</v>
      </c>
      <c r="C185" s="3274"/>
      <c r="D185" s="3274"/>
      <c r="E185" s="3274"/>
      <c r="F185" s="3263">
        <v>0.05</v>
      </c>
      <c r="G185" s="3280"/>
    </row>
    <row r="186" spans="1:7">
      <c r="A186" s="3273" t="s">
        <v>29</v>
      </c>
      <c r="B186" s="3262" t="s">
        <v>3201</v>
      </c>
      <c r="C186" s="3274"/>
      <c r="D186" s="3274"/>
      <c r="E186" s="3274"/>
      <c r="F186" s="3263">
        <v>0.05</v>
      </c>
      <c r="G186" s="3280"/>
    </row>
    <row r="187" spans="1:7">
      <c r="A187" s="3273" t="s">
        <v>29</v>
      </c>
      <c r="B187" s="3262" t="s">
        <v>3202</v>
      </c>
      <c r="C187" s="3274"/>
      <c r="D187" s="3274"/>
      <c r="E187" s="3274"/>
      <c r="F187" s="3263">
        <v>0.05</v>
      </c>
      <c r="G187" s="3280"/>
    </row>
    <row r="188" spans="1:7">
      <c r="A188" s="3273" t="s">
        <v>29</v>
      </c>
      <c r="B188" s="3262" t="s">
        <v>3203</v>
      </c>
      <c r="C188" s="3274"/>
      <c r="D188" s="3274"/>
      <c r="E188" s="3274"/>
      <c r="F188" s="3263">
        <v>0.05</v>
      </c>
      <c r="G188" s="3280"/>
    </row>
    <row r="189" spans="1:7" ht="14.25" thickBot="1">
      <c r="A189" s="3276" t="s">
        <v>29</v>
      </c>
      <c r="B189" s="3266" t="s">
        <v>3204</v>
      </c>
      <c r="C189" s="3268"/>
      <c r="D189" s="3268"/>
      <c r="E189" s="3268"/>
      <c r="F189" s="3267">
        <v>0.05</v>
      </c>
      <c r="G189" s="3281"/>
    </row>
    <row r="190" spans="1:7">
      <c r="A190" s="3272" t="s">
        <v>304</v>
      </c>
      <c r="B190" s="3258" t="s">
        <v>2860</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2896</v>
      </c>
      <c r="C199" s="3263">
        <v>0.13</v>
      </c>
      <c r="D199" s="3263">
        <v>0.13</v>
      </c>
      <c r="E199" s="3263">
        <v>0.13</v>
      </c>
      <c r="F199" s="3263">
        <v>0.13</v>
      </c>
      <c r="G199" s="3264">
        <v>0.13</v>
      </c>
    </row>
    <row r="200" spans="1:7">
      <c r="A200" s="3273" t="s">
        <v>304</v>
      </c>
      <c r="B200" s="3262" t="s">
        <v>2899</v>
      </c>
      <c r="C200" s="3279"/>
      <c r="D200" s="3279"/>
      <c r="E200" s="3279"/>
      <c r="F200" s="3263">
        <v>0.13</v>
      </c>
      <c r="G200" s="3275"/>
    </row>
    <row r="201" spans="1:7">
      <c r="A201" s="3273" t="s">
        <v>304</v>
      </c>
      <c r="B201" s="3262" t="s">
        <v>2904</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2907</v>
      </c>
      <c r="C203" s="3263">
        <v>0.129</v>
      </c>
      <c r="D203" s="3263">
        <v>0.129</v>
      </c>
      <c r="E203" s="3263">
        <v>0.13</v>
      </c>
      <c r="F203" s="3263">
        <v>0.13</v>
      </c>
      <c r="G203" s="3264">
        <v>0.13</v>
      </c>
    </row>
    <row r="204" spans="1:7">
      <c r="A204" s="3273" t="s">
        <v>304</v>
      </c>
      <c r="B204" s="3262" t="s">
        <v>2910</v>
      </c>
      <c r="C204" s="3263">
        <v>0.129</v>
      </c>
      <c r="D204" s="3263">
        <v>0.129</v>
      </c>
      <c r="E204" s="3263">
        <v>0.123</v>
      </c>
      <c r="F204" s="3263">
        <v>0.13</v>
      </c>
      <c r="G204" s="3264">
        <v>0.13</v>
      </c>
    </row>
    <row r="205" spans="1:7">
      <c r="A205" s="3273" t="s">
        <v>304</v>
      </c>
      <c r="B205" s="3262" t="s">
        <v>2912</v>
      </c>
      <c r="C205" s="3263">
        <v>0.13</v>
      </c>
      <c r="D205" s="3263">
        <v>0.13</v>
      </c>
      <c r="E205" s="3263">
        <v>0.13</v>
      </c>
      <c r="F205" s="3263">
        <v>0.13</v>
      </c>
      <c r="G205" s="3264">
        <v>0.13</v>
      </c>
    </row>
    <row r="206" spans="1:7">
      <c r="A206" s="3273" t="s">
        <v>304</v>
      </c>
      <c r="B206" s="3262" t="s">
        <v>2915</v>
      </c>
      <c r="C206" s="3263">
        <v>0.13</v>
      </c>
      <c r="D206" s="3263">
        <v>0.13</v>
      </c>
      <c r="E206" s="3263">
        <v>0.13</v>
      </c>
      <c r="F206" s="3263">
        <v>0.128</v>
      </c>
      <c r="G206" s="3264">
        <v>0.13</v>
      </c>
    </row>
    <row r="207" spans="1:7">
      <c r="A207" s="3273" t="s">
        <v>304</v>
      </c>
      <c r="B207" s="3262" t="s">
        <v>2917</v>
      </c>
      <c r="C207" s="3263">
        <v>0.13</v>
      </c>
      <c r="D207" s="3263">
        <v>0.13</v>
      </c>
      <c r="E207" s="3263">
        <v>0.13</v>
      </c>
      <c r="F207" s="3263">
        <v>0.13</v>
      </c>
      <c r="G207" s="3264">
        <v>0.13</v>
      </c>
    </row>
    <row r="208" spans="1:7">
      <c r="A208" s="3273" t="s">
        <v>304</v>
      </c>
      <c r="B208" s="3262" t="s">
        <v>2920</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2927</v>
      </c>
      <c r="C210" s="3263">
        <v>0.121</v>
      </c>
      <c r="D210" s="3263">
        <v>0.121</v>
      </c>
      <c r="E210" s="3263">
        <v>0.125</v>
      </c>
      <c r="F210" s="3263">
        <v>0.13</v>
      </c>
      <c r="G210" s="3264">
        <v>0.123</v>
      </c>
    </row>
    <row r="211" spans="1:7">
      <c r="A211" s="3273" t="s">
        <v>304</v>
      </c>
      <c r="B211" s="3262" t="s">
        <v>2930</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2942</v>
      </c>
      <c r="C214" s="3263">
        <v>0.128</v>
      </c>
      <c r="D214" s="3263">
        <v>0.128</v>
      </c>
      <c r="E214" s="3263">
        <v>0.13</v>
      </c>
      <c r="F214" s="3263">
        <v>0.13</v>
      </c>
      <c r="G214" s="3264">
        <v>0.13</v>
      </c>
    </row>
    <row r="215" spans="1:7">
      <c r="A215" s="3273" t="s">
        <v>304</v>
      </c>
      <c r="B215" s="3262" t="s">
        <v>2946</v>
      </c>
      <c r="C215" s="3263">
        <v>0.13</v>
      </c>
      <c r="D215" s="3263">
        <v>0.13</v>
      </c>
      <c r="E215" s="3263">
        <v>0.13</v>
      </c>
      <c r="F215" s="3263">
        <v>0.129</v>
      </c>
      <c r="G215" s="3264">
        <v>0.13</v>
      </c>
    </row>
    <row r="216" spans="1:7">
      <c r="A216" s="3273" t="s">
        <v>304</v>
      </c>
      <c r="B216" s="3262" t="s">
        <v>2953</v>
      </c>
      <c r="C216" s="3263">
        <v>0.13</v>
      </c>
      <c r="D216" s="3263">
        <v>0.13</v>
      </c>
      <c r="E216" s="3263">
        <v>0.13</v>
      </c>
      <c r="F216" s="3263">
        <v>0.13</v>
      </c>
      <c r="G216" s="3264">
        <v>0.13</v>
      </c>
    </row>
    <row r="217" spans="1:7">
      <c r="A217" s="3273" t="s">
        <v>304</v>
      </c>
      <c r="B217" s="3262" t="s">
        <v>2960</v>
      </c>
      <c r="C217" s="3263">
        <v>0.129</v>
      </c>
      <c r="D217" s="3263">
        <v>0.129</v>
      </c>
      <c r="E217" s="3263">
        <v>0.13</v>
      </c>
      <c r="F217" s="3263">
        <v>0.13</v>
      </c>
      <c r="G217" s="3264">
        <v>0.13</v>
      </c>
    </row>
    <row r="218" spans="1:7">
      <c r="A218" s="3273" t="s">
        <v>304</v>
      </c>
      <c r="B218" s="3262" t="s">
        <v>2966</v>
      </c>
      <c r="C218" s="3274"/>
      <c r="D218" s="3274"/>
      <c r="E218" s="3274"/>
      <c r="F218" s="3263">
        <v>0.05</v>
      </c>
      <c r="G218" s="3280"/>
    </row>
    <row r="219" spans="1:7">
      <c r="A219" s="3273" t="s">
        <v>304</v>
      </c>
      <c r="B219" s="3262" t="s">
        <v>2973</v>
      </c>
      <c r="C219" s="3274"/>
      <c r="D219" s="3274"/>
      <c r="E219" s="3274"/>
      <c r="F219" s="3263">
        <v>0.05</v>
      </c>
      <c r="G219" s="3280"/>
    </row>
    <row r="220" spans="1:7">
      <c r="A220" s="3273" t="s">
        <v>304</v>
      </c>
      <c r="B220" s="3262" t="s">
        <v>2979</v>
      </c>
      <c r="C220" s="3274"/>
      <c r="D220" s="3274"/>
      <c r="E220" s="3274"/>
      <c r="F220" s="3263">
        <v>0.05</v>
      </c>
      <c r="G220" s="3280"/>
    </row>
    <row r="221" spans="1:7">
      <c r="A221" s="3273" t="s">
        <v>304</v>
      </c>
      <c r="B221" s="3262" t="s">
        <v>2984</v>
      </c>
      <c r="C221" s="3274"/>
      <c r="D221" s="3274"/>
      <c r="E221" s="3274"/>
      <c r="F221" s="3263">
        <v>0.05</v>
      </c>
      <c r="G221" s="3280"/>
    </row>
    <row r="222" spans="1:7">
      <c r="A222" s="3273" t="s">
        <v>304</v>
      </c>
      <c r="B222" s="3262" t="s">
        <v>2988</v>
      </c>
      <c r="C222" s="3274"/>
      <c r="D222" s="3274"/>
      <c r="E222" s="3274"/>
      <c r="F222" s="3263">
        <v>0.05</v>
      </c>
      <c r="G222" s="3280"/>
    </row>
    <row r="223" spans="1:7">
      <c r="A223" s="3273" t="s">
        <v>304</v>
      </c>
      <c r="B223" s="3262" t="s">
        <v>2993</v>
      </c>
      <c r="C223" s="3274"/>
      <c r="D223" s="3274"/>
      <c r="E223" s="3274"/>
      <c r="F223" s="3263">
        <v>0.05</v>
      </c>
      <c r="G223" s="3280"/>
    </row>
    <row r="224" spans="1:7">
      <c r="A224" s="3273" t="s">
        <v>304</v>
      </c>
      <c r="B224" s="3262" t="s">
        <v>2998</v>
      </c>
      <c r="C224" s="3274"/>
      <c r="D224" s="3274"/>
      <c r="E224" s="3274"/>
      <c r="F224" s="3263">
        <v>0.05</v>
      </c>
      <c r="G224" s="3280"/>
    </row>
    <row r="225" spans="1:7">
      <c r="A225" s="3273" t="s">
        <v>304</v>
      </c>
      <c r="B225" s="3262" t="s">
        <v>3003</v>
      </c>
      <c r="C225" s="3274"/>
      <c r="D225" s="3274"/>
      <c r="E225" s="3274"/>
      <c r="F225" s="3263">
        <v>0.05</v>
      </c>
      <c r="G225" s="3280"/>
    </row>
    <row r="226" spans="1:7">
      <c r="A226" s="3273" t="s">
        <v>304</v>
      </c>
      <c r="B226" s="3262" t="s">
        <v>3205</v>
      </c>
      <c r="C226" s="3274"/>
      <c r="D226" s="3274"/>
      <c r="E226" s="3274"/>
      <c r="F226" s="3263">
        <v>0.05</v>
      </c>
      <c r="G226" s="3280"/>
    </row>
    <row r="227" spans="1:7">
      <c r="A227" s="3273" t="s">
        <v>304</v>
      </c>
      <c r="B227" s="3262" t="s">
        <v>3206</v>
      </c>
      <c r="C227" s="3274"/>
      <c r="D227" s="3274"/>
      <c r="E227" s="3274"/>
      <c r="F227" s="3263">
        <v>0.05</v>
      </c>
      <c r="G227" s="3280"/>
    </row>
    <row r="228" spans="1:7">
      <c r="A228" s="3273" t="s">
        <v>304</v>
      </c>
      <c r="B228" s="3262" t="s">
        <v>3207</v>
      </c>
      <c r="C228" s="3274"/>
      <c r="D228" s="3274"/>
      <c r="E228" s="3274"/>
      <c r="F228" s="3263">
        <v>0.05</v>
      </c>
      <c r="G228" s="3280"/>
    </row>
    <row r="229" spans="1:7">
      <c r="A229" s="3273" t="s">
        <v>304</v>
      </c>
      <c r="B229" s="3262" t="s">
        <v>3208</v>
      </c>
      <c r="C229" s="3274"/>
      <c r="D229" s="3274"/>
      <c r="E229" s="3274"/>
      <c r="F229" s="3263">
        <v>0.05</v>
      </c>
      <c r="G229" s="3280"/>
    </row>
    <row r="230" spans="1:7">
      <c r="A230" s="3273" t="s">
        <v>304</v>
      </c>
      <c r="B230" s="3262" t="s">
        <v>3209</v>
      </c>
      <c r="C230" s="3274"/>
      <c r="D230" s="3274"/>
      <c r="E230" s="3274"/>
      <c r="F230" s="3263">
        <v>0.05</v>
      </c>
      <c r="G230" s="3280"/>
    </row>
    <row r="231" spans="1:7">
      <c r="A231" s="3273" t="s">
        <v>304</v>
      </c>
      <c r="B231" s="3262" t="s">
        <v>3210</v>
      </c>
      <c r="C231" s="3274"/>
      <c r="D231" s="3274"/>
      <c r="E231" s="3274"/>
      <c r="F231" s="3263">
        <v>0.05</v>
      </c>
      <c r="G231" s="3280"/>
    </row>
    <row r="232" spans="1:7">
      <c r="A232" s="3273" t="s">
        <v>304</v>
      </c>
      <c r="B232" s="3262" t="s">
        <v>3211</v>
      </c>
      <c r="C232" s="3274"/>
      <c r="D232" s="3274"/>
      <c r="E232" s="3274"/>
      <c r="F232" s="3263">
        <v>0.05</v>
      </c>
      <c r="G232" s="3280"/>
    </row>
    <row r="233" spans="1:7" ht="14.25" thickBot="1">
      <c r="A233" s="3276" t="s">
        <v>304</v>
      </c>
      <c r="B233" s="3266" t="s">
        <v>3212</v>
      </c>
      <c r="C233" s="3268"/>
      <c r="D233" s="3268"/>
      <c r="E233" s="3268"/>
      <c r="F233" s="3267">
        <v>0.05</v>
      </c>
      <c r="G233" s="3281"/>
    </row>
    <row r="234" spans="1:7">
      <c r="A234" s="3272" t="s">
        <v>305</v>
      </c>
      <c r="B234" s="3258" t="s">
        <v>2861</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2881</v>
      </c>
      <c r="C238" s="3263">
        <v>0.14899999999999999</v>
      </c>
      <c r="D238" s="3263">
        <v>0.14899999999999999</v>
      </c>
      <c r="E238" s="3263">
        <v>0.15</v>
      </c>
      <c r="F238" s="3263">
        <v>0.15</v>
      </c>
      <c r="G238" s="3264">
        <v>0.15</v>
      </c>
    </row>
    <row r="239" spans="1:7">
      <c r="A239" s="3273" t="s">
        <v>305</v>
      </c>
      <c r="B239" s="3262" t="s">
        <v>2885</v>
      </c>
      <c r="C239" s="3263">
        <v>0.15</v>
      </c>
      <c r="D239" s="3263">
        <v>0.15</v>
      </c>
      <c r="E239" s="3263">
        <v>0.15</v>
      </c>
      <c r="F239" s="3263">
        <v>0.15</v>
      </c>
      <c r="G239" s="3264">
        <v>0.15</v>
      </c>
    </row>
    <row r="240" spans="1:7">
      <c r="A240" s="3273" t="s">
        <v>305</v>
      </c>
      <c r="B240" s="3262" t="s">
        <v>2890</v>
      </c>
      <c r="C240" s="3263">
        <v>0.15</v>
      </c>
      <c r="D240" s="3263">
        <v>0.15</v>
      </c>
      <c r="E240" s="3263">
        <v>0.15</v>
      </c>
      <c r="F240" s="3263">
        <v>0.15</v>
      </c>
      <c r="G240" s="3264">
        <v>0.15</v>
      </c>
    </row>
    <row r="241" spans="1:7">
      <c r="A241" s="3273" t="s">
        <v>305</v>
      </c>
      <c r="B241" s="3262" t="s">
        <v>2894</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2900</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2908</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2913</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2921</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2934</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2943</v>
      </c>
      <c r="C258" s="3263">
        <v>0.14299999999999999</v>
      </c>
      <c r="D258" s="3263">
        <v>0.14299999999999999</v>
      </c>
      <c r="E258" s="3263">
        <v>0.15</v>
      </c>
      <c r="F258" s="3263">
        <v>0.14799999999999999</v>
      </c>
      <c r="G258" s="3264">
        <v>0.14599999999999999</v>
      </c>
    </row>
    <row r="259" spans="1:7">
      <c r="A259" s="3273" t="s">
        <v>305</v>
      </c>
      <c r="B259" s="3262" t="s">
        <v>2947</v>
      </c>
      <c r="C259" s="3263">
        <v>0.14399999999999999</v>
      </c>
      <c r="D259" s="3263">
        <v>0.14399999999999999</v>
      </c>
      <c r="E259" s="3263">
        <v>0.14899999999999999</v>
      </c>
      <c r="F259" s="3263">
        <v>0.14699999999999999</v>
      </c>
      <c r="G259" s="3264">
        <v>0.14599999999999999</v>
      </c>
    </row>
    <row r="260" spans="1:7">
      <c r="A260" s="3273" t="s">
        <v>305</v>
      </c>
      <c r="B260" s="3262" t="s">
        <v>2954</v>
      </c>
      <c r="C260" s="3263">
        <v>0.109</v>
      </c>
      <c r="D260" s="3263">
        <v>0.111</v>
      </c>
      <c r="E260" s="3263">
        <v>0.13100000000000001</v>
      </c>
      <c r="F260" s="3263">
        <v>0.126</v>
      </c>
      <c r="G260" s="3264">
        <v>0.11899999999999999</v>
      </c>
    </row>
    <row r="261" spans="1:7">
      <c r="A261" s="3273" t="s">
        <v>305</v>
      </c>
      <c r="B261" s="3262" t="s">
        <v>2961</v>
      </c>
      <c r="C261" s="3263">
        <v>0.1</v>
      </c>
      <c r="D261" s="3263">
        <v>0.1</v>
      </c>
      <c r="E261" s="3263">
        <v>0.11799999999999999</v>
      </c>
      <c r="F261" s="3263">
        <v>0.108</v>
      </c>
      <c r="G261" s="3264">
        <v>0.107</v>
      </c>
    </row>
    <row r="262" spans="1:7">
      <c r="A262" s="3273" t="s">
        <v>305</v>
      </c>
      <c r="B262" s="3262" t="s">
        <v>2967</v>
      </c>
      <c r="C262" s="3263">
        <v>0.1</v>
      </c>
      <c r="D262" s="3263">
        <v>0.1</v>
      </c>
      <c r="E262" s="3263">
        <v>0.1</v>
      </c>
      <c r="F262" s="3263">
        <v>0.14099999999999999</v>
      </c>
      <c r="G262" s="3264">
        <v>0.1</v>
      </c>
    </row>
    <row r="263" spans="1:7">
      <c r="A263" s="3273" t="s">
        <v>305</v>
      </c>
      <c r="B263" s="3262" t="s">
        <v>2974</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2985</v>
      </c>
      <c r="C265" s="3274"/>
      <c r="D265" s="3274"/>
      <c r="E265" s="3274"/>
      <c r="F265" s="3263">
        <v>0.05</v>
      </c>
      <c r="G265" s="3280"/>
    </row>
    <row r="266" spans="1:7">
      <c r="A266" s="3273" t="s">
        <v>305</v>
      </c>
      <c r="B266" s="3262" t="s">
        <v>2989</v>
      </c>
      <c r="C266" s="3274"/>
      <c r="D266" s="3274"/>
      <c r="E266" s="3274"/>
      <c r="F266" s="3263">
        <v>0.05</v>
      </c>
      <c r="G266" s="3280"/>
    </row>
    <row r="267" spans="1:7">
      <c r="A267" s="3273" t="s">
        <v>305</v>
      </c>
      <c r="B267" s="3262" t="s">
        <v>2994</v>
      </c>
      <c r="C267" s="3274"/>
      <c r="D267" s="3274"/>
      <c r="E267" s="3274"/>
      <c r="F267" s="3263">
        <v>0.05</v>
      </c>
      <c r="G267" s="3280"/>
    </row>
    <row r="268" spans="1:7">
      <c r="A268" s="3273" t="s">
        <v>305</v>
      </c>
      <c r="B268" s="3262" t="s">
        <v>2999</v>
      </c>
      <c r="C268" s="3274"/>
      <c r="D268" s="3274"/>
      <c r="E268" s="3274"/>
      <c r="F268" s="3263">
        <v>0.05</v>
      </c>
      <c r="G268" s="3280"/>
    </row>
    <row r="269" spans="1:7">
      <c r="A269" s="3273" t="s">
        <v>305</v>
      </c>
      <c r="B269" s="3262" t="s">
        <v>3004</v>
      </c>
      <c r="C269" s="3274"/>
      <c r="D269" s="3274"/>
      <c r="E269" s="3274"/>
      <c r="F269" s="3263">
        <v>0.05</v>
      </c>
      <c r="G269" s="3280"/>
    </row>
    <row r="270" spans="1:7">
      <c r="A270" s="3273" t="s">
        <v>305</v>
      </c>
      <c r="B270" s="3262" t="s">
        <v>3009</v>
      </c>
      <c r="C270" s="3274"/>
      <c r="D270" s="3274"/>
      <c r="E270" s="3274"/>
      <c r="F270" s="3263">
        <v>0.05</v>
      </c>
      <c r="G270" s="3280"/>
    </row>
    <row r="271" spans="1:7">
      <c r="A271" s="3273" t="s">
        <v>305</v>
      </c>
      <c r="B271" s="3262" t="s">
        <v>3213</v>
      </c>
      <c r="C271" s="3274"/>
      <c r="D271" s="3274"/>
      <c r="E271" s="3274"/>
      <c r="F271" s="3263">
        <v>0.05</v>
      </c>
      <c r="G271" s="3280"/>
    </row>
    <row r="272" spans="1:7">
      <c r="A272" s="3273" t="s">
        <v>305</v>
      </c>
      <c r="B272" s="3262" t="s">
        <v>3214</v>
      </c>
      <c r="C272" s="3274"/>
      <c r="D272" s="3274"/>
      <c r="E272" s="3274"/>
      <c r="F272" s="3263">
        <v>0.05</v>
      </c>
      <c r="G272" s="3280"/>
    </row>
    <row r="273" spans="1:7">
      <c r="A273" s="3273" t="s">
        <v>305</v>
      </c>
      <c r="B273" s="3262" t="s">
        <v>3215</v>
      </c>
      <c r="C273" s="3274"/>
      <c r="D273" s="3274"/>
      <c r="E273" s="3274"/>
      <c r="F273" s="3263">
        <v>0.05</v>
      </c>
      <c r="G273" s="3280"/>
    </row>
    <row r="274" spans="1:7">
      <c r="A274" s="3273" t="s">
        <v>305</v>
      </c>
      <c r="B274" s="3262" t="s">
        <v>3216</v>
      </c>
      <c r="C274" s="3274"/>
      <c r="D274" s="3274"/>
      <c r="E274" s="3274"/>
      <c r="F274" s="3263">
        <v>0.05</v>
      </c>
      <c r="G274" s="3280"/>
    </row>
    <row r="275" spans="1:7">
      <c r="A275" s="3273" t="s">
        <v>305</v>
      </c>
      <c r="B275" s="3262" t="s">
        <v>3217</v>
      </c>
      <c r="C275" s="3274"/>
      <c r="D275" s="3274"/>
      <c r="E275" s="3274"/>
      <c r="F275" s="3263">
        <v>0.05</v>
      </c>
      <c r="G275" s="3280"/>
    </row>
    <row r="276" spans="1:7" ht="14.25" thickBot="1">
      <c r="A276" s="3276" t="s">
        <v>305</v>
      </c>
      <c r="B276" s="3266" t="s">
        <v>3218</v>
      </c>
      <c r="C276" s="3268"/>
      <c r="D276" s="3268"/>
      <c r="E276" s="3268"/>
      <c r="F276" s="3267">
        <v>0.05</v>
      </c>
      <c r="G276" s="3281"/>
    </row>
    <row r="277" spans="1:7">
      <c r="A277" s="3272" t="s">
        <v>306</v>
      </c>
      <c r="B277" s="3258" t="s">
        <v>2862</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2874</v>
      </c>
      <c r="C279" s="3263">
        <v>0.15</v>
      </c>
      <c r="D279" s="3263">
        <v>0.15</v>
      </c>
      <c r="E279" s="3263">
        <v>0.15</v>
      </c>
      <c r="F279" s="3263">
        <v>0.15</v>
      </c>
      <c r="G279" s="3264">
        <v>0.15</v>
      </c>
    </row>
    <row r="280" spans="1:7">
      <c r="A280" s="3273" t="s">
        <v>306</v>
      </c>
      <c r="B280" s="3262" t="s">
        <v>2878</v>
      </c>
      <c r="C280" s="3263">
        <v>0.15</v>
      </c>
      <c r="D280" s="3263">
        <v>0.15</v>
      </c>
      <c r="E280" s="3263">
        <v>0.15</v>
      </c>
      <c r="F280" s="3263">
        <v>0.15</v>
      </c>
      <c r="G280" s="3264">
        <v>0.15</v>
      </c>
    </row>
    <row r="281" spans="1:7">
      <c r="A281" s="3273" t="s">
        <v>306</v>
      </c>
      <c r="B281" s="3262" t="s">
        <v>2882</v>
      </c>
      <c r="C281" s="3263">
        <v>0.15</v>
      </c>
      <c r="D281" s="3263">
        <v>0.15</v>
      </c>
      <c r="E281" s="3263">
        <v>0.15</v>
      </c>
      <c r="F281" s="3263">
        <v>0.15</v>
      </c>
      <c r="G281" s="3264">
        <v>0.15</v>
      </c>
    </row>
    <row r="282" spans="1:7">
      <c r="A282" s="3273" t="s">
        <v>306</v>
      </c>
      <c r="B282" s="3262" t="s">
        <v>2886</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2901</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2906</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2916</v>
      </c>
      <c r="C293" s="3263">
        <v>0.15</v>
      </c>
      <c r="D293" s="3263">
        <v>0.15</v>
      </c>
      <c r="E293" s="3263">
        <v>0.15</v>
      </c>
      <c r="F293" s="3263">
        <v>0.14499999999999999</v>
      </c>
      <c r="G293" s="3264">
        <v>0.15</v>
      </c>
    </row>
    <row r="294" spans="1:7">
      <c r="A294" s="3273" t="s">
        <v>306</v>
      </c>
      <c r="B294" s="3262" t="s">
        <v>2918</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2935</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2948</v>
      </c>
      <c r="C302" s="3263">
        <v>0.15</v>
      </c>
      <c r="D302" s="3263">
        <v>0.15</v>
      </c>
      <c r="E302" s="3263">
        <v>0.15</v>
      </c>
      <c r="F302" s="3263">
        <v>0.14699999999999999</v>
      </c>
      <c r="G302" s="3264">
        <v>0.15</v>
      </c>
    </row>
    <row r="303" spans="1:7">
      <c r="A303" s="3273" t="s">
        <v>306</v>
      </c>
      <c r="B303" s="3262" t="s">
        <v>2955</v>
      </c>
      <c r="C303" s="3263">
        <v>0.15</v>
      </c>
      <c r="D303" s="3263">
        <v>0.15</v>
      </c>
      <c r="E303" s="3263">
        <v>0.15</v>
      </c>
      <c r="F303" s="3263">
        <v>0.14199999999999999</v>
      </c>
      <c r="G303" s="3264">
        <v>0.15</v>
      </c>
    </row>
    <row r="304" spans="1:7">
      <c r="A304" s="3273" t="s">
        <v>306</v>
      </c>
      <c r="B304" s="3262" t="s">
        <v>2962</v>
      </c>
      <c r="C304" s="3263">
        <v>0.15</v>
      </c>
      <c r="D304" s="3263">
        <v>0.15</v>
      </c>
      <c r="E304" s="3263">
        <v>0.15</v>
      </c>
      <c r="F304" s="3263">
        <v>0.14499999999999999</v>
      </c>
      <c r="G304" s="3264">
        <v>0.15</v>
      </c>
    </row>
    <row r="305" spans="1:7">
      <c r="A305" s="3273" t="s">
        <v>306</v>
      </c>
      <c r="B305" s="3262" t="s">
        <v>2968</v>
      </c>
      <c r="C305" s="3263">
        <v>0.15</v>
      </c>
      <c r="D305" s="3263">
        <v>0.15</v>
      </c>
      <c r="E305" s="3263">
        <v>0.15</v>
      </c>
      <c r="F305" s="3263">
        <v>0.111</v>
      </c>
      <c r="G305" s="3264">
        <v>0.15</v>
      </c>
    </row>
    <row r="306" spans="1:7">
      <c r="A306" s="3273" t="s">
        <v>306</v>
      </c>
      <c r="B306" s="3262" t="s">
        <v>2975</v>
      </c>
      <c r="C306" s="3263">
        <v>0.15</v>
      </c>
      <c r="D306" s="3263">
        <v>0.15</v>
      </c>
      <c r="E306" s="3263">
        <v>0.15</v>
      </c>
      <c r="F306" s="3263">
        <v>0.126</v>
      </c>
      <c r="G306" s="3264">
        <v>0.15</v>
      </c>
    </row>
    <row r="307" spans="1:7">
      <c r="A307" s="3273" t="s">
        <v>306</v>
      </c>
      <c r="B307" s="3262" t="s">
        <v>2980</v>
      </c>
      <c r="C307" s="3263">
        <v>0.15</v>
      </c>
      <c r="D307" s="3263">
        <v>0.15</v>
      </c>
      <c r="E307" s="3263">
        <v>0.15</v>
      </c>
      <c r="F307" s="3263">
        <v>0.12</v>
      </c>
      <c r="G307" s="3264">
        <v>0.15</v>
      </c>
    </row>
    <row r="308" spans="1:7">
      <c r="A308" s="3273" t="s">
        <v>306</v>
      </c>
      <c r="B308" s="3262" t="s">
        <v>2986</v>
      </c>
      <c r="C308" s="3263">
        <v>0.15</v>
      </c>
      <c r="D308" s="3263">
        <v>0.15</v>
      </c>
      <c r="E308" s="3263">
        <v>0.15</v>
      </c>
      <c r="F308" s="3263">
        <v>0.13</v>
      </c>
      <c r="G308" s="3264">
        <v>0.15</v>
      </c>
    </row>
    <row r="309" spans="1:7">
      <c r="A309" s="3273" t="s">
        <v>306</v>
      </c>
      <c r="B309" s="3262" t="s">
        <v>2990</v>
      </c>
      <c r="C309" s="3263">
        <v>0.15</v>
      </c>
      <c r="D309" s="3263">
        <v>0.15</v>
      </c>
      <c r="E309" s="3263">
        <v>0.15</v>
      </c>
      <c r="F309" s="3263">
        <v>0.14099999999999999</v>
      </c>
      <c r="G309" s="3264">
        <v>0.15</v>
      </c>
    </row>
    <row r="310" spans="1:7">
      <c r="A310" s="3273" t="s">
        <v>306</v>
      </c>
      <c r="B310" s="3262" t="s">
        <v>2995</v>
      </c>
      <c r="C310" s="3263">
        <v>0.15</v>
      </c>
      <c r="D310" s="3263">
        <v>0.15</v>
      </c>
      <c r="E310" s="3263">
        <v>0.15</v>
      </c>
      <c r="F310" s="3263">
        <v>0.15</v>
      </c>
      <c r="G310" s="3264">
        <v>0.15</v>
      </c>
    </row>
    <row r="311" spans="1:7">
      <c r="A311" s="3273" t="s">
        <v>306</v>
      </c>
      <c r="B311" s="3262" t="s">
        <v>3000</v>
      </c>
      <c r="C311" s="3263">
        <v>0.13200000000000001</v>
      </c>
      <c r="D311" s="3263">
        <v>0.13300000000000001</v>
      </c>
      <c r="E311" s="3263">
        <v>0.14499999999999999</v>
      </c>
      <c r="F311" s="3263">
        <v>0.14199999999999999</v>
      </c>
      <c r="G311" s="3264">
        <v>0.14000000000000001</v>
      </c>
    </row>
    <row r="312" spans="1:7">
      <c r="A312" s="3273" t="s">
        <v>306</v>
      </c>
      <c r="B312" s="3262" t="s">
        <v>3005</v>
      </c>
      <c r="C312" s="3263">
        <v>0.13800000000000001</v>
      </c>
      <c r="D312" s="3263">
        <v>0.14000000000000001</v>
      </c>
      <c r="E312" s="3263">
        <v>0.14599999999999999</v>
      </c>
      <c r="F312" s="3263">
        <v>0.14899999999999999</v>
      </c>
      <c r="G312" s="3264">
        <v>0.14199999999999999</v>
      </c>
    </row>
    <row r="313" spans="1:7">
      <c r="A313" s="3273" t="s">
        <v>306</v>
      </c>
      <c r="B313" s="3262" t="s">
        <v>3010</v>
      </c>
      <c r="C313" s="3263">
        <v>0.125</v>
      </c>
      <c r="D313" s="3263">
        <v>0.127</v>
      </c>
      <c r="E313" s="3263">
        <v>0.14399999999999999</v>
      </c>
      <c r="F313" s="3263">
        <v>0.115</v>
      </c>
      <c r="G313" s="3264">
        <v>0.13600000000000001</v>
      </c>
    </row>
    <row r="314" spans="1:7">
      <c r="A314" s="3273" t="s">
        <v>306</v>
      </c>
      <c r="B314" s="3262" t="s">
        <v>3219</v>
      </c>
      <c r="C314" s="3279"/>
      <c r="D314" s="3279"/>
      <c r="E314" s="3279"/>
      <c r="F314" s="3263">
        <v>0.05</v>
      </c>
      <c r="G314" s="3280"/>
    </row>
    <row r="315" spans="1:7">
      <c r="A315" s="3273" t="s">
        <v>306</v>
      </c>
      <c r="B315" s="3262" t="s">
        <v>3220</v>
      </c>
      <c r="C315" s="3279"/>
      <c r="D315" s="3279"/>
      <c r="E315" s="3279"/>
      <c r="F315" s="3263">
        <v>0.05</v>
      </c>
      <c r="G315" s="3280"/>
    </row>
    <row r="316" spans="1:7">
      <c r="A316" s="3273" t="s">
        <v>306</v>
      </c>
      <c r="B316" s="3262" t="s">
        <v>3221</v>
      </c>
      <c r="C316" s="3274"/>
      <c r="D316" s="3274"/>
      <c r="E316" s="3274"/>
      <c r="F316" s="3263">
        <v>0.05</v>
      </c>
      <c r="G316" s="3280"/>
    </row>
    <row r="317" spans="1:7">
      <c r="A317" s="3273" t="s">
        <v>306</v>
      </c>
      <c r="B317" s="3262" t="s">
        <v>3222</v>
      </c>
      <c r="C317" s="3274"/>
      <c r="D317" s="3274"/>
      <c r="E317" s="3274"/>
      <c r="F317" s="3263">
        <v>0.05</v>
      </c>
      <c r="G317" s="3280"/>
    </row>
    <row r="318" spans="1:7">
      <c r="A318" s="3273" t="s">
        <v>306</v>
      </c>
      <c r="B318" s="3262" t="s">
        <v>3223</v>
      </c>
      <c r="C318" s="3274"/>
      <c r="D318" s="3274"/>
      <c r="E318" s="3274"/>
      <c r="F318" s="3263">
        <v>0.05</v>
      </c>
      <c r="G318" s="3280"/>
    </row>
    <row r="319" spans="1:7">
      <c r="A319" s="3273" t="s">
        <v>306</v>
      </c>
      <c r="B319" s="3262" t="s">
        <v>3224</v>
      </c>
      <c r="C319" s="3274"/>
      <c r="D319" s="3274"/>
      <c r="E319" s="3274"/>
      <c r="F319" s="3263">
        <v>0.05</v>
      </c>
      <c r="G319" s="3280"/>
    </row>
    <row r="320" spans="1:7">
      <c r="A320" s="3273" t="s">
        <v>306</v>
      </c>
      <c r="B320" s="3262" t="s">
        <v>3225</v>
      </c>
      <c r="C320" s="3274"/>
      <c r="D320" s="3274"/>
      <c r="E320" s="3274"/>
      <c r="F320" s="3263">
        <v>0.05</v>
      </c>
      <c r="G320" s="3280"/>
    </row>
    <row r="321" spans="1:7">
      <c r="A321" s="3273" t="s">
        <v>306</v>
      </c>
      <c r="B321" s="3262" t="s">
        <v>3226</v>
      </c>
      <c r="C321" s="3274"/>
      <c r="D321" s="3274"/>
      <c r="E321" s="3274"/>
      <c r="F321" s="3263">
        <v>0.05</v>
      </c>
      <c r="G321" s="3280"/>
    </row>
    <row r="322" spans="1:7">
      <c r="A322" s="3273" t="s">
        <v>306</v>
      </c>
      <c r="B322" s="3262" t="s">
        <v>3227</v>
      </c>
      <c r="C322" s="3274"/>
      <c r="D322" s="3274"/>
      <c r="E322" s="3274"/>
      <c r="F322" s="3263">
        <v>0.05</v>
      </c>
      <c r="G322" s="3280"/>
    </row>
    <row r="323" spans="1:7">
      <c r="A323" s="3273" t="s">
        <v>306</v>
      </c>
      <c r="B323" s="3262" t="s">
        <v>3228</v>
      </c>
      <c r="C323" s="3274"/>
      <c r="D323" s="3274"/>
      <c r="E323" s="3274"/>
      <c r="F323" s="3263">
        <v>0.05</v>
      </c>
      <c r="G323" s="3280"/>
    </row>
    <row r="324" spans="1:7">
      <c r="A324" s="3273" t="s">
        <v>306</v>
      </c>
      <c r="B324" s="3262" t="s">
        <v>3229</v>
      </c>
      <c r="C324" s="3274"/>
      <c r="D324" s="3274"/>
      <c r="E324" s="3274"/>
      <c r="F324" s="3263">
        <v>0.05</v>
      </c>
      <c r="G324" s="3280"/>
    </row>
    <row r="325" spans="1:7">
      <c r="A325" s="3273" t="s">
        <v>306</v>
      </c>
      <c r="B325" s="3262" t="s">
        <v>3230</v>
      </c>
      <c r="C325" s="3274"/>
      <c r="D325" s="3274"/>
      <c r="E325" s="3274"/>
      <c r="F325" s="3263">
        <v>0.05</v>
      </c>
      <c r="G325" s="3280"/>
    </row>
    <row r="326" spans="1:7" ht="14.25" thickBot="1">
      <c r="A326" s="3276" t="s">
        <v>306</v>
      </c>
      <c r="B326" s="3266" t="s">
        <v>3231</v>
      </c>
      <c r="C326" s="3268"/>
      <c r="D326" s="3268"/>
      <c r="E326" s="3268"/>
      <c r="F326" s="3267">
        <v>0.05</v>
      </c>
      <c r="G326" s="3281"/>
    </row>
    <row r="327" spans="1:7">
      <c r="A327" s="3272" t="s">
        <v>307</v>
      </c>
      <c r="B327" s="3258" t="s">
        <v>2863</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2875</v>
      </c>
      <c r="C329" s="3263">
        <v>0.15</v>
      </c>
      <c r="D329" s="3263">
        <v>0.15</v>
      </c>
      <c r="E329" s="3263">
        <v>0.15</v>
      </c>
      <c r="F329" s="3263">
        <v>0.15</v>
      </c>
      <c r="G329" s="3264">
        <v>0.15</v>
      </c>
    </row>
    <row r="330" spans="1:7">
      <c r="A330" s="3273" t="s">
        <v>307</v>
      </c>
      <c r="B330" s="3262" t="s">
        <v>2879</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2887</v>
      </c>
      <c r="C332" s="3263">
        <v>0.15</v>
      </c>
      <c r="D332" s="3263">
        <v>0.15</v>
      </c>
      <c r="E332" s="3263">
        <v>0.15</v>
      </c>
      <c r="F332" s="3263">
        <v>0.15</v>
      </c>
      <c r="G332" s="3264">
        <v>0.15</v>
      </c>
    </row>
    <row r="333" spans="1:7">
      <c r="A333" s="3273" t="s">
        <v>307</v>
      </c>
      <c r="B333" s="3262" t="s">
        <v>2891</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2897</v>
      </c>
      <c r="C336" s="3263">
        <v>0.15</v>
      </c>
      <c r="D336" s="3263">
        <v>0.15</v>
      </c>
      <c r="E336" s="3263">
        <v>0.15</v>
      </c>
      <c r="F336" s="3263">
        <v>0.14199999999999999</v>
      </c>
      <c r="G336" s="3264">
        <v>0.15</v>
      </c>
    </row>
    <row r="337" spans="1:7">
      <c r="A337" s="3273" t="s">
        <v>307</v>
      </c>
      <c r="B337" s="3262" t="s">
        <v>2902</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2909</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2914</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2922</v>
      </c>
      <c r="C345" s="3263">
        <v>0.15</v>
      </c>
      <c r="D345" s="3263">
        <v>0.15</v>
      </c>
      <c r="E345" s="3263">
        <v>0.15</v>
      </c>
      <c r="F345" s="3263">
        <v>0.13800000000000001</v>
      </c>
      <c r="G345" s="3264">
        <v>0.15</v>
      </c>
    </row>
    <row r="346" spans="1:7">
      <c r="A346" s="3273" t="s">
        <v>307</v>
      </c>
      <c r="B346" s="3262" t="s">
        <v>2924</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2931</v>
      </c>
      <c r="C348" s="3263">
        <v>0.15</v>
      </c>
      <c r="D348" s="3263">
        <v>0.15</v>
      </c>
      <c r="E348" s="3263">
        <v>0.15</v>
      </c>
      <c r="F348" s="3263">
        <v>0.14399999999999999</v>
      </c>
      <c r="G348" s="3264">
        <v>0.15</v>
      </c>
    </row>
    <row r="349" spans="1:7">
      <c r="A349" s="3273" t="s">
        <v>307</v>
      </c>
      <c r="B349" s="3262" t="s">
        <v>2936</v>
      </c>
      <c r="C349" s="3263">
        <v>0.15</v>
      </c>
      <c r="D349" s="3263">
        <v>0.15</v>
      </c>
      <c r="E349" s="3263">
        <v>0.15</v>
      </c>
      <c r="F349" s="3263">
        <v>0.15</v>
      </c>
      <c r="G349" s="3264">
        <v>0.15</v>
      </c>
    </row>
    <row r="350" spans="1:7">
      <c r="A350" s="3273" t="s">
        <v>307</v>
      </c>
      <c r="B350" s="3262" t="s">
        <v>2939</v>
      </c>
      <c r="C350" s="3263">
        <v>0.15</v>
      </c>
      <c r="D350" s="3263">
        <v>0.15</v>
      </c>
      <c r="E350" s="3263">
        <v>0.15</v>
      </c>
      <c r="F350" s="3263">
        <v>0.14699999999999999</v>
      </c>
      <c r="G350" s="3264">
        <v>0.15</v>
      </c>
    </row>
    <row r="351" spans="1:7">
      <c r="A351" s="3273" t="s">
        <v>307</v>
      </c>
      <c r="B351" s="3262" t="s">
        <v>2944</v>
      </c>
      <c r="C351" s="3263">
        <v>0.15</v>
      </c>
      <c r="D351" s="3263">
        <v>0.15</v>
      </c>
      <c r="E351" s="3263">
        <v>0.15</v>
      </c>
      <c r="F351" s="3263">
        <v>0.13</v>
      </c>
      <c r="G351" s="3264">
        <v>0.15</v>
      </c>
    </row>
    <row r="352" spans="1:7">
      <c r="A352" s="3273" t="s">
        <v>307</v>
      </c>
      <c r="B352" s="3262" t="s">
        <v>2949</v>
      </c>
      <c r="C352" s="3263">
        <v>0.15</v>
      </c>
      <c r="D352" s="3263">
        <v>0.15</v>
      </c>
      <c r="E352" s="3263">
        <v>0.15</v>
      </c>
      <c r="F352" s="3263">
        <v>0.14599999999999999</v>
      </c>
      <c r="G352" s="3264">
        <v>0.15</v>
      </c>
    </row>
    <row r="353" spans="1:7">
      <c r="A353" s="3273" t="s">
        <v>307</v>
      </c>
      <c r="B353" s="3262" t="s">
        <v>2956</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2969</v>
      </c>
      <c r="C355" s="3263">
        <v>0.15</v>
      </c>
      <c r="D355" s="3263">
        <v>0.15</v>
      </c>
      <c r="E355" s="3263">
        <v>0.15</v>
      </c>
      <c r="F355" s="3263">
        <v>0.15</v>
      </c>
      <c r="G355" s="3264">
        <v>0.15</v>
      </c>
    </row>
    <row r="356" spans="1:7">
      <c r="A356" s="3273" t="s">
        <v>307</v>
      </c>
      <c r="B356" s="3262" t="s">
        <v>2976</v>
      </c>
      <c r="C356" s="3263">
        <v>0.15</v>
      </c>
      <c r="D356" s="3263">
        <v>0.15</v>
      </c>
      <c r="E356" s="3263">
        <v>0.15</v>
      </c>
      <c r="F356" s="3263">
        <v>0.15</v>
      </c>
      <c r="G356" s="3264">
        <v>0.15</v>
      </c>
    </row>
    <row r="357" spans="1:7" ht="14.25" thickBot="1">
      <c r="A357" s="3276" t="s">
        <v>307</v>
      </c>
      <c r="B357" s="3266" t="s">
        <v>2981</v>
      </c>
      <c r="C357" s="3267">
        <v>0.126</v>
      </c>
      <c r="D357" s="3267">
        <v>0.127</v>
      </c>
      <c r="E357" s="3267">
        <v>0.14299999999999999</v>
      </c>
      <c r="F357" s="3267">
        <v>0.125</v>
      </c>
      <c r="G357" s="3269">
        <v>0.129</v>
      </c>
    </row>
    <row r="358" spans="1:7">
      <c r="A358" s="3272" t="s">
        <v>2850</v>
      </c>
      <c r="B358" s="3258" t="s">
        <v>2864</v>
      </c>
      <c r="C358" s="3259">
        <v>0.15</v>
      </c>
      <c r="D358" s="3259">
        <v>0.15</v>
      </c>
      <c r="E358" s="3259">
        <v>0.15</v>
      </c>
      <c r="F358" s="3259">
        <v>0.15</v>
      </c>
      <c r="G358" s="3260">
        <v>0.15</v>
      </c>
    </row>
    <row r="359" spans="1:7">
      <c r="A359" s="3273" t="s">
        <v>2850</v>
      </c>
      <c r="B359" s="3262" t="s">
        <v>2870</v>
      </c>
      <c r="C359" s="3263">
        <v>0.1</v>
      </c>
      <c r="D359" s="3263">
        <v>0.1</v>
      </c>
      <c r="E359" s="3263">
        <v>0.1</v>
      </c>
      <c r="F359" s="3263">
        <v>0.1</v>
      </c>
      <c r="G359" s="3264">
        <v>0.1</v>
      </c>
    </row>
    <row r="360" spans="1:7">
      <c r="A360" s="3273" t="s">
        <v>2850</v>
      </c>
      <c r="B360" s="3262" t="s">
        <v>2876</v>
      </c>
      <c r="C360" s="3263">
        <v>0.15</v>
      </c>
      <c r="D360" s="3263">
        <v>0.15</v>
      </c>
      <c r="E360" s="3263">
        <v>0.15</v>
      </c>
      <c r="F360" s="3263">
        <v>0.14899999999999999</v>
      </c>
      <c r="G360" s="3264">
        <v>0.15</v>
      </c>
    </row>
    <row r="361" spans="1:7">
      <c r="A361" s="3273" t="s">
        <v>2850</v>
      </c>
      <c r="B361" s="3262" t="s">
        <v>153</v>
      </c>
      <c r="C361" s="3263">
        <v>0.15</v>
      </c>
      <c r="D361" s="3263">
        <v>0.15</v>
      </c>
      <c r="E361" s="3263">
        <v>0.15</v>
      </c>
      <c r="F361" s="3263">
        <v>0.115</v>
      </c>
      <c r="G361" s="3264">
        <v>0.15</v>
      </c>
    </row>
    <row r="362" spans="1:7">
      <c r="A362" s="3273" t="s">
        <v>2850</v>
      </c>
      <c r="B362" s="3262" t="s">
        <v>2883</v>
      </c>
      <c r="C362" s="3263">
        <v>0.15</v>
      </c>
      <c r="D362" s="3263">
        <v>0.15</v>
      </c>
      <c r="E362" s="3263">
        <v>0.15</v>
      </c>
      <c r="F362" s="3263">
        <v>0.106</v>
      </c>
      <c r="G362" s="3264">
        <v>0.15</v>
      </c>
    </row>
    <row r="363" spans="1:7">
      <c r="A363" s="3273" t="s">
        <v>2850</v>
      </c>
      <c r="B363" s="3262" t="s">
        <v>2888</v>
      </c>
      <c r="C363" s="3263">
        <v>0.15</v>
      </c>
      <c r="D363" s="3263">
        <v>0.15</v>
      </c>
      <c r="E363" s="3263">
        <v>0.15</v>
      </c>
      <c r="F363" s="3263">
        <v>0.14699999999999999</v>
      </c>
      <c r="G363" s="3264">
        <v>0.15</v>
      </c>
    </row>
    <row r="364" spans="1:7">
      <c r="A364" s="3273" t="s">
        <v>2850</v>
      </c>
      <c r="B364" s="3262" t="s">
        <v>2892</v>
      </c>
      <c r="C364" s="3263">
        <v>0.15</v>
      </c>
      <c r="D364" s="3263">
        <v>0.15</v>
      </c>
      <c r="E364" s="3263">
        <v>0.15</v>
      </c>
      <c r="F364" s="3263">
        <v>0.14799999999999999</v>
      </c>
      <c r="G364" s="3264">
        <v>0.15</v>
      </c>
    </row>
    <row r="365" spans="1:7">
      <c r="A365" s="3273" t="s">
        <v>2850</v>
      </c>
      <c r="B365" s="3262" t="s">
        <v>200</v>
      </c>
      <c r="C365" s="3263">
        <v>0.15</v>
      </c>
      <c r="D365" s="3263">
        <v>0.15</v>
      </c>
      <c r="E365" s="3263">
        <v>0.15</v>
      </c>
      <c r="F365" s="3263">
        <v>0.15</v>
      </c>
      <c r="G365" s="3264">
        <v>0.15</v>
      </c>
    </row>
    <row r="366" spans="1:7">
      <c r="A366" s="3273" t="s">
        <v>2850</v>
      </c>
      <c r="B366" s="3262" t="s">
        <v>2895</v>
      </c>
      <c r="C366" s="3263">
        <v>0.15</v>
      </c>
      <c r="D366" s="3263">
        <v>0.15</v>
      </c>
      <c r="E366" s="3263">
        <v>0.15</v>
      </c>
      <c r="F366" s="3263">
        <v>0.15</v>
      </c>
      <c r="G366" s="3264">
        <v>0.15</v>
      </c>
    </row>
    <row r="367" spans="1:7">
      <c r="A367" s="3273" t="s">
        <v>2850</v>
      </c>
      <c r="B367" s="3262" t="s">
        <v>2898</v>
      </c>
      <c r="C367" s="3263">
        <v>0.15</v>
      </c>
      <c r="D367" s="3263">
        <v>0.15</v>
      </c>
      <c r="E367" s="3263">
        <v>0.15</v>
      </c>
      <c r="F367" s="3263">
        <v>0.14699999999999999</v>
      </c>
      <c r="G367" s="3264">
        <v>0.15</v>
      </c>
    </row>
    <row r="368" spans="1:7">
      <c r="A368" s="3273" t="s">
        <v>2850</v>
      </c>
      <c r="B368" s="3262" t="s">
        <v>2903</v>
      </c>
      <c r="C368" s="3263">
        <v>0.15</v>
      </c>
      <c r="D368" s="3263">
        <v>0.15</v>
      </c>
      <c r="E368" s="3263">
        <v>0.15</v>
      </c>
      <c r="F368" s="3263">
        <v>0.13600000000000001</v>
      </c>
      <c r="G368" s="3264">
        <v>0.15</v>
      </c>
    </row>
    <row r="369" spans="1:7">
      <c r="A369" s="3273" t="s">
        <v>2850</v>
      </c>
      <c r="B369" s="3262" t="s">
        <v>214</v>
      </c>
      <c r="C369" s="3263">
        <v>0.15</v>
      </c>
      <c r="D369" s="3263">
        <v>0.15</v>
      </c>
      <c r="E369" s="3263">
        <v>0.15</v>
      </c>
      <c r="F369" s="3263">
        <v>0.14399999999999999</v>
      </c>
      <c r="G369" s="3264">
        <v>0.15</v>
      </c>
    </row>
    <row r="370" spans="1:7">
      <c r="A370" s="3273" t="s">
        <v>2850</v>
      </c>
      <c r="B370" s="3262" t="s">
        <v>221</v>
      </c>
      <c r="C370" s="3263">
        <v>0.15</v>
      </c>
      <c r="D370" s="3263">
        <v>0.15</v>
      </c>
      <c r="E370" s="3263">
        <v>0.15</v>
      </c>
      <c r="F370" s="3263">
        <v>0.14599999999999999</v>
      </c>
      <c r="G370" s="3264">
        <v>0.15</v>
      </c>
    </row>
    <row r="371" spans="1:7">
      <c r="A371" s="3273" t="s">
        <v>2850</v>
      </c>
      <c r="B371" s="3262" t="s">
        <v>229</v>
      </c>
      <c r="C371" s="3263">
        <v>0.15</v>
      </c>
      <c r="D371" s="3263">
        <v>0.15</v>
      </c>
      <c r="E371" s="3263">
        <v>0.15</v>
      </c>
      <c r="F371" s="3263">
        <v>0.12</v>
      </c>
      <c r="G371" s="3264">
        <v>0.15</v>
      </c>
    </row>
    <row r="372" spans="1:7">
      <c r="A372" s="3273" t="s">
        <v>2850</v>
      </c>
      <c r="B372" s="3262" t="s">
        <v>2911</v>
      </c>
      <c r="C372" s="3263">
        <v>0.15</v>
      </c>
      <c r="D372" s="3263">
        <v>0.15</v>
      </c>
      <c r="E372" s="3263">
        <v>0.15</v>
      </c>
      <c r="F372" s="3263">
        <v>0.14299999999999999</v>
      </c>
      <c r="G372" s="3264">
        <v>0.15</v>
      </c>
    </row>
    <row r="373" spans="1:7">
      <c r="A373" s="3273" t="s">
        <v>2850</v>
      </c>
      <c r="B373" s="3262" t="s">
        <v>258</v>
      </c>
      <c r="C373" s="3263">
        <v>0.15</v>
      </c>
      <c r="D373" s="3263">
        <v>0.15</v>
      </c>
      <c r="E373" s="3263">
        <v>0.15</v>
      </c>
      <c r="F373" s="3263">
        <v>0.14599999999999999</v>
      </c>
      <c r="G373" s="3264">
        <v>0.15</v>
      </c>
    </row>
    <row r="374" spans="1:7">
      <c r="A374" s="3273" t="s">
        <v>2850</v>
      </c>
      <c r="B374" s="3262" t="s">
        <v>266</v>
      </c>
      <c r="C374" s="3263">
        <v>0.15</v>
      </c>
      <c r="D374" s="3263">
        <v>0.15</v>
      </c>
      <c r="E374" s="3263">
        <v>0.15</v>
      </c>
      <c r="F374" s="3263">
        <v>0.14399999999999999</v>
      </c>
      <c r="G374" s="3264">
        <v>0.15</v>
      </c>
    </row>
    <row r="375" spans="1:7">
      <c r="A375" s="3273" t="s">
        <v>2850</v>
      </c>
      <c r="B375" s="3262" t="s">
        <v>2919</v>
      </c>
      <c r="C375" s="3263">
        <v>0.15</v>
      </c>
      <c r="D375" s="3263">
        <v>0.15</v>
      </c>
      <c r="E375" s="3263">
        <v>0.15</v>
      </c>
      <c r="F375" s="3263">
        <v>0.13</v>
      </c>
      <c r="G375" s="3264">
        <v>0.15</v>
      </c>
    </row>
    <row r="376" spans="1:7">
      <c r="A376" s="3273" t="s">
        <v>2850</v>
      </c>
      <c r="B376" s="3262" t="s">
        <v>277</v>
      </c>
      <c r="C376" s="3263">
        <v>0.15</v>
      </c>
      <c r="D376" s="3263">
        <v>0.15</v>
      </c>
      <c r="E376" s="3263">
        <v>0.15</v>
      </c>
      <c r="F376" s="3263">
        <v>0.14199999999999999</v>
      </c>
      <c r="G376" s="3264">
        <v>0.15</v>
      </c>
    </row>
    <row r="377" spans="1:7" ht="14.25" thickBot="1">
      <c r="A377" s="3276" t="s">
        <v>2850</v>
      </c>
      <c r="B377" s="3266" t="s">
        <v>2925</v>
      </c>
      <c r="C377" s="3267">
        <v>0.15</v>
      </c>
      <c r="D377" s="3267">
        <v>0.15</v>
      </c>
      <c r="E377" s="3267">
        <v>0.15</v>
      </c>
      <c r="F377" s="3267">
        <v>0.14000000000000001</v>
      </c>
      <c r="G377" s="3269">
        <v>0.15</v>
      </c>
    </row>
    <row r="378" spans="1:7">
      <c r="A378" s="3272" t="s">
        <v>2851</v>
      </c>
      <c r="B378" s="3258" t="s">
        <v>2865</v>
      </c>
      <c r="C378" s="3259">
        <v>0.15</v>
      </c>
      <c r="D378" s="3259">
        <v>0.15</v>
      </c>
      <c r="E378" s="3259">
        <v>0.15</v>
      </c>
      <c r="F378" s="3259">
        <v>0.107</v>
      </c>
      <c r="G378" s="3260">
        <v>0.15</v>
      </c>
    </row>
    <row r="379" spans="1:7">
      <c r="A379" s="3273" t="s">
        <v>2851</v>
      </c>
      <c r="B379" s="3262" t="s">
        <v>2871</v>
      </c>
      <c r="C379" s="3263">
        <v>0.15</v>
      </c>
      <c r="D379" s="3263">
        <v>0.15</v>
      </c>
      <c r="E379" s="3263">
        <v>0.15</v>
      </c>
      <c r="F379" s="3263">
        <v>0.115</v>
      </c>
      <c r="G379" s="3264">
        <v>0.14899999999999999</v>
      </c>
    </row>
    <row r="380" spans="1:7">
      <c r="A380" s="3273" t="s">
        <v>2851</v>
      </c>
      <c r="B380" s="3262" t="s">
        <v>2877</v>
      </c>
      <c r="C380" s="3263">
        <v>0.15</v>
      </c>
      <c r="D380" s="3263">
        <v>0.15</v>
      </c>
      <c r="E380" s="3263">
        <v>0.15</v>
      </c>
      <c r="F380" s="3263">
        <v>0.1</v>
      </c>
      <c r="G380" s="3264">
        <v>0.14799999999999999</v>
      </c>
    </row>
    <row r="381" spans="1:7">
      <c r="A381" s="3273" t="s">
        <v>2851</v>
      </c>
      <c r="B381" s="3262" t="s">
        <v>2880</v>
      </c>
      <c r="C381" s="3263">
        <v>0.15</v>
      </c>
      <c r="D381" s="3263">
        <v>0.15</v>
      </c>
      <c r="E381" s="3263">
        <v>0.15</v>
      </c>
      <c r="F381" s="3263">
        <v>0.126</v>
      </c>
      <c r="G381" s="3264">
        <v>0.15</v>
      </c>
    </row>
    <row r="382" spans="1:7">
      <c r="A382" s="3273" t="s">
        <v>2851</v>
      </c>
      <c r="B382" s="3262" t="s">
        <v>2884</v>
      </c>
      <c r="C382" s="3263">
        <v>0.15</v>
      </c>
      <c r="D382" s="3263">
        <v>0.15</v>
      </c>
      <c r="E382" s="3263">
        <v>0.15</v>
      </c>
      <c r="F382" s="3263">
        <v>0.15</v>
      </c>
      <c r="G382" s="3264">
        <v>0.15</v>
      </c>
    </row>
    <row r="383" spans="1:7">
      <c r="A383" s="3273" t="s">
        <v>2851</v>
      </c>
      <c r="B383" s="3262" t="s">
        <v>2889</v>
      </c>
      <c r="C383" s="3263">
        <v>0.15</v>
      </c>
      <c r="D383" s="3263">
        <v>0.15</v>
      </c>
      <c r="E383" s="3263">
        <v>0.15</v>
      </c>
      <c r="F383" s="3263">
        <v>0.14699999999999999</v>
      </c>
      <c r="G383" s="3264">
        <v>0.15</v>
      </c>
    </row>
    <row r="384" spans="1:7" ht="14.25" thickBot="1">
      <c r="A384" s="3283" t="s">
        <v>2851</v>
      </c>
      <c r="B384" s="3284" t="s">
        <v>2893</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23" t="s">
        <v>3232</v>
      </c>
      <c r="B1" s="3823"/>
      <c r="C1" s="3823"/>
      <c r="D1" s="3823"/>
      <c r="E1" s="3823"/>
      <c r="F1" s="3824"/>
    </row>
    <row r="2" spans="1:6">
      <c r="A2" s="3289" t="s">
        <v>3233</v>
      </c>
      <c r="B2" s="3290"/>
      <c r="C2" s="3290"/>
      <c r="D2" s="3290"/>
      <c r="E2" s="3290"/>
      <c r="F2" s="3290"/>
    </row>
    <row r="3" spans="1:6">
      <c r="A3" s="3289" t="s">
        <v>3234</v>
      </c>
      <c r="B3" s="3290"/>
      <c r="C3" s="3290"/>
      <c r="D3" s="3290"/>
      <c r="E3" s="3290"/>
      <c r="F3" s="3291" t="s">
        <v>3235</v>
      </c>
    </row>
    <row r="4" spans="1:6">
      <c r="A4" s="3292" t="s">
        <v>672</v>
      </c>
      <c r="B4" s="3292" t="s">
        <v>673</v>
      </c>
      <c r="C4" s="3292" t="s">
        <v>21</v>
      </c>
      <c r="D4" s="3292" t="s">
        <v>674</v>
      </c>
      <c r="E4" s="3292" t="s">
        <v>3</v>
      </c>
      <c r="F4" s="3292" t="s">
        <v>3236</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19">
        <f>基准地价修正!G23</f>
        <v>45821</v>
      </c>
      <c r="B1" s="3208" t="s">
        <v>3377</v>
      </c>
      <c r="C1" s="3209"/>
      <c r="D1" s="3209"/>
      <c r="E1" s="3209"/>
      <c r="F1" s="3209"/>
      <c r="G1" s="3209"/>
      <c r="H1" s="3209"/>
      <c r="I1" s="3209"/>
      <c r="J1" s="3163"/>
      <c r="K1" s="3209" t="s">
        <v>454</v>
      </c>
      <c r="L1" s="3209"/>
      <c r="M1" s="3209"/>
      <c r="N1" s="3209"/>
      <c r="O1" s="3209"/>
      <c r="P1" s="3209"/>
      <c r="Q1" s="3163"/>
      <c r="R1" s="3825" t="s">
        <v>456</v>
      </c>
      <c r="S1" s="3826"/>
      <c r="T1" s="3826"/>
      <c r="U1" s="3826"/>
      <c r="V1" s="3826"/>
      <c r="W1" s="3826"/>
      <c r="X1" s="3163"/>
      <c r="Y1" s="3825" t="s">
        <v>457</v>
      </c>
      <c r="Z1" s="3826"/>
      <c r="AA1" s="3826"/>
      <c r="AB1" s="3826"/>
      <c r="AC1" s="3826"/>
      <c r="AD1" s="3826"/>
    </row>
    <row r="2" spans="1:44"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c r="AF2" t="s">
        <v>3404</v>
      </c>
      <c r="AG2" t="s">
        <v>673</v>
      </c>
      <c r="AH2" t="s">
        <v>21</v>
      </c>
      <c r="AI2" t="s">
        <v>3405</v>
      </c>
      <c r="AJ2" t="s">
        <v>3</v>
      </c>
      <c r="AK2" t="s">
        <v>3406</v>
      </c>
      <c r="AM2" t="s">
        <v>3404</v>
      </c>
      <c r="AN2" t="s">
        <v>673</v>
      </c>
      <c r="AO2" t="s">
        <v>21</v>
      </c>
      <c r="AP2" t="s">
        <v>3405</v>
      </c>
      <c r="AQ2" t="s">
        <v>3</v>
      </c>
      <c r="AR2" t="s">
        <v>3406</v>
      </c>
    </row>
    <row r="3" spans="1:44" s="3159" customFormat="1" ht="12.75">
      <c r="A3" s="3147" t="s">
        <v>2819</v>
      </c>
      <c r="B3" s="3148"/>
      <c r="C3" s="3149"/>
      <c r="D3" s="3149">
        <f>ROUND(AVERAGEIF(D4:D24,"&lt;&gt;0"),2)</f>
        <v>0.39</v>
      </c>
      <c r="E3" s="3149">
        <f t="shared" ref="E3:H3" si="0">ROUND(AVERAGEIF(E4:E24,"&lt;&gt;0"),2)</f>
        <v>0.21</v>
      </c>
      <c r="F3" s="3149">
        <f t="shared" si="0"/>
        <v>-0.06</v>
      </c>
      <c r="G3" s="3149">
        <f t="shared" si="0"/>
        <v>0.46</v>
      </c>
      <c r="H3" s="3149">
        <f t="shared" si="0"/>
        <v>0.51</v>
      </c>
      <c r="I3" s="3149">
        <f>F3</f>
        <v>-0.06</v>
      </c>
      <c r="J3" s="3150"/>
      <c r="K3" s="3151">
        <f>ROUND(AVERAGEIF(K4:K24,"&lt;&gt;0"),4)</f>
        <v>3.8999999999999998E-3</v>
      </c>
      <c r="L3" s="3152">
        <f t="shared" ref="L3:O3" si="1">ROUND(AVERAGEIF(L4:L24,"&lt;&gt;0"),4)</f>
        <v>2.0999999999999999E-3</v>
      </c>
      <c r="M3" s="3152">
        <f t="shared" si="1"/>
        <v>-5.9999999999999995E-4</v>
      </c>
      <c r="N3" s="3152">
        <f t="shared" si="1"/>
        <v>4.5999999999999999E-3</v>
      </c>
      <c r="O3" s="3152">
        <f t="shared" si="1"/>
        <v>5.1000000000000004E-3</v>
      </c>
      <c r="P3" s="3152">
        <f>M3</f>
        <v>-5.9999999999999995E-4</v>
      </c>
      <c r="Q3" s="3150"/>
      <c r="R3" s="3153">
        <f>ROUND(SUMPRODUCT(PRODUCT(1+K4:K24)),4)</f>
        <v>1.0674999999999999</v>
      </c>
      <c r="S3" s="3154">
        <f t="shared" ref="S3:V3" si="2">ROUND(SUMPRODUCT(PRODUCT(1+L4:L24)),4)</f>
        <v>1.0355000000000001</v>
      </c>
      <c r="T3" s="3154">
        <f t="shared" si="2"/>
        <v>0.98880000000000001</v>
      </c>
      <c r="U3" s="3154">
        <f t="shared" si="2"/>
        <v>1.0798000000000001</v>
      </c>
      <c r="V3" s="3154">
        <f t="shared" si="2"/>
        <v>1.0911</v>
      </c>
      <c r="W3" s="3153">
        <f>T3</f>
        <v>0.98880000000000001</v>
      </c>
      <c r="X3" s="3150"/>
      <c r="Y3" s="3155">
        <f>ROUND(AVERAGEIF(Y11:Y24,"&lt;&gt;0"),4)</f>
        <v>8.3999999999999995E-3</v>
      </c>
      <c r="Z3" s="3156">
        <f t="shared" ref="Z3:AC3" si="3">ROUND(AVERAGEIF(Z11:Z24,"&lt;&gt;0"),4)</f>
        <v>3.5000000000000001E-3</v>
      </c>
      <c r="AA3" s="3157">
        <f t="shared" si="3"/>
        <v>8.0000000000000004E-4</v>
      </c>
      <c r="AB3" s="3155">
        <f t="shared" si="3"/>
        <v>9.1000000000000004E-3</v>
      </c>
      <c r="AC3" s="3158">
        <f t="shared" si="3"/>
        <v>6.1000000000000004E-3</v>
      </c>
      <c r="AD3" s="3155">
        <f>AA3</f>
        <v>8.0000000000000004E-4</v>
      </c>
    </row>
    <row r="4" spans="1:44"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44" s="3183" customFormat="1">
      <c r="A5" s="2204" t="s">
        <v>3403</v>
      </c>
      <c r="B5" s="3175">
        <v>2025</v>
      </c>
      <c r="C5" s="3176">
        <v>4</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 t="shared" ref="P5:P11" si="10">M5</f>
        <v>0</v>
      </c>
      <c r="Q5" s="3179"/>
      <c r="R5" s="3181">
        <f>ROUND(IF(项目基本情况!$B$8="出让",SUMPRODUCT(PRODUCT(1+K5:$K$24)),SUMPRODUCT(PRODUCT(1+K5:$K$23))),4)</f>
        <v>1.0571999999999999</v>
      </c>
      <c r="S5" s="3181">
        <f>ROUND(IF(项目基本情况!$B$8="出让",SUMPRODUCT(PRODUCT(1+L5:$L$24)),SUMPRODUCT(PRODUCT(1+L5:$L$23))),4)</f>
        <v>1.0339</v>
      </c>
      <c r="T5" s="3181">
        <f>ROUND(IF(项目基本情况!$B$8="出让",SUMPRODUCT(PRODUCT(1+M5:$M$24)),SUMPRODUCT(PRODUCT(1+M5:$M$23))),4)</f>
        <v>0.99129999999999996</v>
      </c>
      <c r="U5" s="3181">
        <f>ROUND(IF(项目基本情况!$B$8="出让",SUMPRODUCT(PRODUCT(1+N5:$N$24)),SUMPRODUCT(PRODUCT(1+N5:$N$23))),4)</f>
        <v>1.0679000000000001</v>
      </c>
      <c r="V5" s="3181">
        <f>ROUND(IF(项目基本情况!$B$8="出让",SUMPRODUCT(PRODUCT(1+O5:$O$24)),SUMPRODUCT(PRODUCT(1+O5:$O$23))),4)</f>
        <v>1.0871999999999999</v>
      </c>
      <c r="W5" s="3181">
        <f t="shared" ref="W5:W11" si="11">T5</f>
        <v>0.99129999999999996</v>
      </c>
      <c r="X5" s="3179"/>
      <c r="Y5" s="3182">
        <f t="shared" ref="Y5:Y11" si="12">IF(D5=0,0,ROUND(AVERAGE(D5:D18)/100,4))</f>
        <v>0</v>
      </c>
      <c r="Z5" s="3182">
        <f t="shared" ref="Z5" si="13">IF(E5=0,0,ROUND(AVERAGE(E5:E18)/100,4))</f>
        <v>0</v>
      </c>
      <c r="AA5" s="3182">
        <f t="shared" ref="AA5" si="14">IF(F5=0,0,ROUND(AVERAGE(F5:F18)/100,4))</f>
        <v>0</v>
      </c>
      <c r="AB5" s="3182">
        <f t="shared" ref="AB5" si="15">IF(G5=0,0,ROUND(AVERAGE(G5:G18)/100,4))</f>
        <v>0</v>
      </c>
      <c r="AC5" s="3182">
        <f t="shared" ref="AC5" si="16">IF(H5=0,0,ROUND(AVERAGE(H5:H18)/100,4))</f>
        <v>0</v>
      </c>
      <c r="AD5" s="3182">
        <f t="shared" ref="AD5" si="17">AA5</f>
        <v>0</v>
      </c>
      <c r="AF5" s="3456">
        <f>$AF$24*R5</f>
        <v>105.72</v>
      </c>
      <c r="AG5" s="3456">
        <f t="shared" ref="AG5:AK5" si="18">$AF$24*S5</f>
        <v>103.39</v>
      </c>
      <c r="AH5" s="3456">
        <f t="shared" si="18"/>
        <v>99.13</v>
      </c>
      <c r="AI5" s="3456">
        <f t="shared" si="18"/>
        <v>106.79</v>
      </c>
      <c r="AJ5" s="3456">
        <f t="shared" si="18"/>
        <v>108.72</v>
      </c>
      <c r="AK5" s="3456">
        <f t="shared" si="18"/>
        <v>99.13</v>
      </c>
      <c r="AM5" s="3462">
        <v>100</v>
      </c>
      <c r="AN5" s="3462">
        <v>100</v>
      </c>
      <c r="AO5" s="3462">
        <v>100</v>
      </c>
      <c r="AP5" s="3462">
        <v>100</v>
      </c>
      <c r="AQ5" s="3462">
        <v>100</v>
      </c>
      <c r="AR5" s="3462">
        <v>100</v>
      </c>
    </row>
    <row r="6" spans="1:44" s="3183" customFormat="1" ht="12.75">
      <c r="A6" s="2204" t="s">
        <v>3402</v>
      </c>
      <c r="B6" s="3175">
        <v>2025</v>
      </c>
      <c r="C6" s="3176">
        <v>3</v>
      </c>
      <c r="D6" s="3177">
        <v>0</v>
      </c>
      <c r="E6" s="3177">
        <v>0</v>
      </c>
      <c r="F6" s="3177">
        <v>0</v>
      </c>
      <c r="G6" s="3177">
        <v>0</v>
      </c>
      <c r="H6" s="3177">
        <v>0</v>
      </c>
      <c r="I6" s="3178">
        <f t="shared" ref="I6" si="19">F6</f>
        <v>0</v>
      </c>
      <c r="J6" s="3179"/>
      <c r="K6" s="3180">
        <f t="shared" ref="K6" si="20">D6/100</f>
        <v>0</v>
      </c>
      <c r="L6" s="3170">
        <f t="shared" ref="L6" si="21">E6/100</f>
        <v>0</v>
      </c>
      <c r="M6" s="3170">
        <f t="shared" ref="M6" si="22">F6/100</f>
        <v>0</v>
      </c>
      <c r="N6" s="3170">
        <f t="shared" ref="N6" si="23">G6/100</f>
        <v>0</v>
      </c>
      <c r="O6" s="3170">
        <f t="shared" ref="O6" si="24">H6/100</f>
        <v>0</v>
      </c>
      <c r="P6" s="3170">
        <f t="shared" si="10"/>
        <v>0</v>
      </c>
      <c r="Q6" s="3179"/>
      <c r="R6" s="3181">
        <f>ROUND(IF(项目基本情况!$B$8="出让",SUMPRODUCT(PRODUCT(1+K6:$K$24)),SUMPRODUCT(PRODUCT(1+K6:$K$23))),4)</f>
        <v>1.0571999999999999</v>
      </c>
      <c r="S6" s="3181">
        <f>ROUND(IF(项目基本情况!$B$8="出让",SUMPRODUCT(PRODUCT(1+L6:$L$24)),SUMPRODUCT(PRODUCT(1+L6:$L$23))),4)</f>
        <v>1.0339</v>
      </c>
      <c r="T6" s="3181">
        <f>ROUND(IF(项目基本情况!$B$8="出让",SUMPRODUCT(PRODUCT(1+M6:$M$24)),SUMPRODUCT(PRODUCT(1+M6:$M$23))),4)</f>
        <v>0.99129999999999996</v>
      </c>
      <c r="U6" s="3181">
        <f>ROUND(IF(项目基本情况!$B$8="出让",SUMPRODUCT(PRODUCT(1+N6:$N$24)),SUMPRODUCT(PRODUCT(1+N6:$N$23))),4)</f>
        <v>1.0679000000000001</v>
      </c>
      <c r="V6" s="3181">
        <f>ROUND(IF(项目基本情况!$B$8="出让",SUMPRODUCT(PRODUCT(1+O6:$O$24)),SUMPRODUCT(PRODUCT(1+O6:$O$23))),4)</f>
        <v>1.0871999999999999</v>
      </c>
      <c r="W6" s="3181">
        <f t="shared" si="11"/>
        <v>0.99129999999999996</v>
      </c>
      <c r="X6" s="3179"/>
      <c r="Y6" s="3182">
        <f t="shared" si="12"/>
        <v>0</v>
      </c>
      <c r="Z6" s="3182">
        <f t="shared" ref="Z6" si="25">IF(E6=0,0,ROUND(AVERAGE(E6:E19)/100,4))</f>
        <v>0</v>
      </c>
      <c r="AA6" s="3182">
        <f t="shared" ref="AA6" si="26">IF(F6=0,0,ROUND(AVERAGE(F6:F19)/100,4))</f>
        <v>0</v>
      </c>
      <c r="AB6" s="3182">
        <f t="shared" ref="AB6" si="27">IF(G6=0,0,ROUND(AVERAGE(G6:G19)/100,4))</f>
        <v>0</v>
      </c>
      <c r="AC6" s="3182">
        <f t="shared" ref="AC6" si="28">IF(H6=0,0,ROUND(AVERAGE(H6:H19)/100,4))</f>
        <v>0</v>
      </c>
      <c r="AD6" s="3182">
        <f t="shared" ref="AD6" si="29">AA6</f>
        <v>0</v>
      </c>
      <c r="AF6" s="3456">
        <f t="shared" ref="AF6:AF23" si="30">$AF$24*R6</f>
        <v>105.72</v>
      </c>
      <c r="AG6" s="3456">
        <f t="shared" ref="AG6:AG23" si="31">$AF$24*S6</f>
        <v>103.39</v>
      </c>
      <c r="AH6" s="3456">
        <f t="shared" ref="AH6:AH23" si="32">$AF$24*T6</f>
        <v>99.13</v>
      </c>
      <c r="AI6" s="3456">
        <f t="shared" ref="AI6:AI23" si="33">$AF$24*U6</f>
        <v>106.79</v>
      </c>
      <c r="AJ6" s="3456">
        <f t="shared" ref="AJ6:AJ23" si="34">$AF$24*V6</f>
        <v>108.72</v>
      </c>
      <c r="AK6" s="3456">
        <f t="shared" ref="AK6:AK23" si="35">$AF$24*W6</f>
        <v>99.13</v>
      </c>
      <c r="AM6" s="3456">
        <f>AM5/(1+D5/100)</f>
        <v>100</v>
      </c>
      <c r="AN6" s="3456">
        <f t="shared" ref="AN6:AR6" si="36">AN5/(1+E5/100)</f>
        <v>100</v>
      </c>
      <c r="AO6" s="3456">
        <f t="shared" si="36"/>
        <v>100</v>
      </c>
      <c r="AP6" s="3456">
        <f t="shared" si="36"/>
        <v>100</v>
      </c>
      <c r="AQ6" s="3456">
        <f t="shared" si="36"/>
        <v>100</v>
      </c>
      <c r="AR6" s="3456">
        <f t="shared" si="36"/>
        <v>100</v>
      </c>
    </row>
    <row r="7" spans="1:44" s="3193" customFormat="1" ht="12.75">
      <c r="A7" s="3184" t="s">
        <v>3401</v>
      </c>
      <c r="B7" s="3185">
        <v>2025</v>
      </c>
      <c r="C7" s="3186">
        <v>2</v>
      </c>
      <c r="D7" s="3187">
        <v>0</v>
      </c>
      <c r="E7" s="3187">
        <v>0</v>
      </c>
      <c r="F7" s="3187">
        <v>0</v>
      </c>
      <c r="G7" s="3187">
        <v>0</v>
      </c>
      <c r="H7" s="3188">
        <v>0</v>
      </c>
      <c r="I7" s="3189">
        <f t="shared" ref="I7" si="37">F7</f>
        <v>0</v>
      </c>
      <c r="J7" s="3190"/>
      <c r="K7" s="3191">
        <f t="shared" ref="K7" si="38">D7/100</f>
        <v>0</v>
      </c>
      <c r="L7" s="3192">
        <f t="shared" ref="L7" si="39">E7/100</f>
        <v>0</v>
      </c>
      <c r="M7" s="3192">
        <f t="shared" ref="M7" si="40">F7/100</f>
        <v>0</v>
      </c>
      <c r="N7" s="3192">
        <f t="shared" ref="N7" si="41">G7/100</f>
        <v>0</v>
      </c>
      <c r="O7" s="3192">
        <f t="shared" ref="O7" si="42">H7/100</f>
        <v>0</v>
      </c>
      <c r="P7" s="3192">
        <f t="shared" si="10"/>
        <v>0</v>
      </c>
      <c r="Q7" s="3190"/>
      <c r="R7" s="3190">
        <f>ROUND(IF(项目基本情况!$B$8="出让",SUMPRODUCT(PRODUCT(1+K7:$K$24)),SUMPRODUCT(PRODUCT(1+K7:$K$23))),4)</f>
        <v>1.0571999999999999</v>
      </c>
      <c r="S7" s="3190">
        <f>ROUND(IF(项目基本情况!$B$8="出让",SUMPRODUCT(PRODUCT(1+L7:$L$24)),SUMPRODUCT(PRODUCT(1+L7:$L$23))),4)</f>
        <v>1.0339</v>
      </c>
      <c r="T7" s="3190">
        <f>ROUND(IF(项目基本情况!$B$8="出让",SUMPRODUCT(PRODUCT(1+M7:$M$24)),SUMPRODUCT(PRODUCT(1+M7:$M$23))),4)</f>
        <v>0.99129999999999996</v>
      </c>
      <c r="U7" s="3190">
        <f>ROUND(IF(项目基本情况!$B$8="出让",SUMPRODUCT(PRODUCT(1+N7:$N$24)),SUMPRODUCT(PRODUCT(1+N7:$N$23))),4)</f>
        <v>1.0679000000000001</v>
      </c>
      <c r="V7" s="3190">
        <f>ROUND(IF(项目基本情况!$B$8="出让",SUMPRODUCT(PRODUCT(1+O7:$O$24)),SUMPRODUCT(PRODUCT(1+O7:$O$23))),4)</f>
        <v>1.0871999999999999</v>
      </c>
      <c r="W7" s="3190">
        <f t="shared" si="11"/>
        <v>0.99129999999999996</v>
      </c>
      <c r="X7" s="3190"/>
      <c r="Y7" s="3192">
        <f t="shared" si="12"/>
        <v>0</v>
      </c>
      <c r="Z7" s="3192">
        <f t="shared" ref="Z7" si="43">IF(E7=0,0,ROUND(AVERAGE(E7:E20)/100,4))</f>
        <v>0</v>
      </c>
      <c r="AA7" s="3192">
        <f t="shared" ref="AA7" si="44">IF(F7=0,0,ROUND(AVERAGE(F7:F20)/100,4))</f>
        <v>0</v>
      </c>
      <c r="AB7" s="3192">
        <f t="shared" ref="AB7" si="45">IF(G7=0,0,ROUND(AVERAGE(G7:G20)/100,4))</f>
        <v>0</v>
      </c>
      <c r="AC7" s="3192">
        <f t="shared" ref="AC7" si="46">IF(H7=0,0,ROUND(AVERAGE(H7:H20)/100,4))</f>
        <v>0</v>
      </c>
      <c r="AD7" s="3192">
        <f t="shared" ref="AD7" si="47">AA7</f>
        <v>0</v>
      </c>
      <c r="AF7" s="3457">
        <f t="shared" si="30"/>
        <v>105.72</v>
      </c>
      <c r="AG7" s="3457">
        <f t="shared" si="31"/>
        <v>103.39</v>
      </c>
      <c r="AH7" s="3457">
        <f t="shared" si="32"/>
        <v>99.13</v>
      </c>
      <c r="AI7" s="3457">
        <f t="shared" si="33"/>
        <v>106.79</v>
      </c>
      <c r="AJ7" s="3457">
        <f t="shared" si="34"/>
        <v>108.72</v>
      </c>
      <c r="AK7" s="3457">
        <f t="shared" si="35"/>
        <v>99.13</v>
      </c>
      <c r="AM7" s="3457">
        <f t="shared" ref="AM7:AM24" si="48">AM6/(1+D6/100)</f>
        <v>100</v>
      </c>
      <c r="AN7" s="3457">
        <f t="shared" ref="AN7:AN24" si="49">AN6/(1+E6/100)</f>
        <v>100</v>
      </c>
      <c r="AO7" s="3457">
        <f t="shared" ref="AO7:AO24" si="50">AO6/(1+F6/100)</f>
        <v>100</v>
      </c>
      <c r="AP7" s="3457">
        <f t="shared" ref="AP7:AP24" si="51">AP6/(1+G6/100)</f>
        <v>100</v>
      </c>
      <c r="AQ7" s="3457">
        <f t="shared" ref="AQ7:AQ24" si="52">AQ6/(1+H6/100)</f>
        <v>100</v>
      </c>
      <c r="AR7" s="3457">
        <f t="shared" ref="AR7:AR24" si="53">AR6/(1+I6/100)</f>
        <v>100</v>
      </c>
    </row>
    <row r="8" spans="1:44" s="3183" customFormat="1" ht="12.75">
      <c r="A8" s="2204" t="s">
        <v>3409</v>
      </c>
      <c r="B8" s="3175">
        <v>2025</v>
      </c>
      <c r="C8" s="3176">
        <v>1</v>
      </c>
      <c r="D8" s="3177">
        <v>0.56999999999999995</v>
      </c>
      <c r="E8" s="3177">
        <v>-0.56999999999999995</v>
      </c>
      <c r="F8" s="3177">
        <v>-0.9</v>
      </c>
      <c r="G8" s="3177">
        <v>1.1200000000000001</v>
      </c>
      <c r="H8" s="3177">
        <v>0.42</v>
      </c>
      <c r="I8" s="3178">
        <f t="shared" ref="I8" si="54">F8</f>
        <v>-0.9</v>
      </c>
      <c r="J8" s="3179"/>
      <c r="K8" s="3180">
        <f t="shared" ref="K8" si="55">D8/100</f>
        <v>5.6999999999999993E-3</v>
      </c>
      <c r="L8" s="3170">
        <f t="shared" ref="L8" si="56">E8/100</f>
        <v>-5.6999999999999993E-3</v>
      </c>
      <c r="M8" s="3170">
        <f t="shared" ref="M8" si="57">F8/100</f>
        <v>-9.0000000000000011E-3</v>
      </c>
      <c r="N8" s="3170">
        <f t="shared" ref="N8" si="58">G8/100</f>
        <v>1.1200000000000002E-2</v>
      </c>
      <c r="O8" s="3170">
        <f t="shared" ref="O8" si="59">H8/100</f>
        <v>4.1999999999999997E-3</v>
      </c>
      <c r="P8" s="3170">
        <f t="shared" si="10"/>
        <v>-9.0000000000000011E-3</v>
      </c>
      <c r="Q8" s="3179"/>
      <c r="R8" s="3181">
        <f>ROUND(IF(项目基本情况!$B$8="出让",SUMPRODUCT(PRODUCT(1+K8:$K$24)),SUMPRODUCT(PRODUCT(1+K8:$K$23))),4)</f>
        <v>1.0571999999999999</v>
      </c>
      <c r="S8" s="3181">
        <f>ROUND(IF(项目基本情况!$B$8="出让",SUMPRODUCT(PRODUCT(1+L8:$L$24)),SUMPRODUCT(PRODUCT(1+L8:$L$23))),4)</f>
        <v>1.0339</v>
      </c>
      <c r="T8" s="3181">
        <f>ROUND(IF(项目基本情况!$B$8="出让",SUMPRODUCT(PRODUCT(1+M8:$M$24)),SUMPRODUCT(PRODUCT(1+M8:$M$23))),4)</f>
        <v>0.99129999999999996</v>
      </c>
      <c r="U8" s="3181">
        <f>ROUND(IF(项目基本情况!$B$8="出让",SUMPRODUCT(PRODUCT(1+N8:$N$24)),SUMPRODUCT(PRODUCT(1+N8:$N$23))),4)</f>
        <v>1.0679000000000001</v>
      </c>
      <c r="V8" s="3181">
        <f>ROUND(IF(项目基本情况!$B$8="出让",SUMPRODUCT(PRODUCT(1+O8:$O$24)),SUMPRODUCT(PRODUCT(1+O8:$O$23))),4)</f>
        <v>1.0871999999999999</v>
      </c>
      <c r="W8" s="3181">
        <f t="shared" si="11"/>
        <v>0.99129999999999996</v>
      </c>
      <c r="X8" s="3179"/>
      <c r="Y8" s="3182">
        <f t="shared" si="12"/>
        <v>3.0000000000000001E-3</v>
      </c>
      <c r="Z8" s="3182">
        <f t="shared" ref="Z8" si="60">IF(E8=0,0,ROUND(AVERAGE(E8:E21)/100,4))</f>
        <v>1.6000000000000001E-3</v>
      </c>
      <c r="AA8" s="3182">
        <f t="shared" ref="AA8" si="61">IF(F8=0,0,ROUND(AVERAGE(F8:F21)/100,4))</f>
        <v>-1.1000000000000001E-3</v>
      </c>
      <c r="AB8" s="3182">
        <f t="shared" ref="AB8" si="62">IF(G8=0,0,ROUND(AVERAGE(G8:G21)/100,4))</f>
        <v>3.7000000000000002E-3</v>
      </c>
      <c r="AC8" s="3182">
        <f t="shared" ref="AC8" si="63">IF(H8=0,0,ROUND(AVERAGE(H8:H21)/100,4))</f>
        <v>4.8999999999999998E-3</v>
      </c>
      <c r="AD8" s="3182">
        <f t="shared" ref="AD8" si="64">AA8</f>
        <v>-1.1000000000000001E-3</v>
      </c>
      <c r="AF8" s="3456">
        <f t="shared" si="30"/>
        <v>105.72</v>
      </c>
      <c r="AG8" s="3456">
        <f t="shared" si="31"/>
        <v>103.39</v>
      </c>
      <c r="AH8" s="3456">
        <f t="shared" si="32"/>
        <v>99.13</v>
      </c>
      <c r="AI8" s="3456">
        <f t="shared" si="33"/>
        <v>106.79</v>
      </c>
      <c r="AJ8" s="3456">
        <f t="shared" si="34"/>
        <v>108.72</v>
      </c>
      <c r="AK8" s="3456">
        <f t="shared" si="35"/>
        <v>99.13</v>
      </c>
      <c r="AM8" s="3456">
        <f t="shared" si="48"/>
        <v>100</v>
      </c>
      <c r="AN8" s="3456">
        <f t="shared" si="49"/>
        <v>100</v>
      </c>
      <c r="AO8" s="3456">
        <f t="shared" si="50"/>
        <v>100</v>
      </c>
      <c r="AP8" s="3456">
        <f t="shared" si="51"/>
        <v>100</v>
      </c>
      <c r="AQ8" s="3456">
        <f t="shared" si="52"/>
        <v>100</v>
      </c>
      <c r="AR8" s="3456">
        <f t="shared" si="53"/>
        <v>100</v>
      </c>
    </row>
    <row r="9" spans="1:44" s="3183" customFormat="1" ht="12.75">
      <c r="A9" s="2204" t="s">
        <v>3408</v>
      </c>
      <c r="B9" s="3175">
        <v>2024</v>
      </c>
      <c r="C9" s="3176">
        <v>4</v>
      </c>
      <c r="D9" s="3177">
        <v>-1.02</v>
      </c>
      <c r="E9" s="3177">
        <v>-0.48</v>
      </c>
      <c r="F9" s="3177">
        <v>-0.75</v>
      </c>
      <c r="G9" s="3177">
        <v>-1.05</v>
      </c>
      <c r="H9" s="3177">
        <v>0.08</v>
      </c>
      <c r="I9" s="3178">
        <f t="shared" ref="I9" si="65">F9</f>
        <v>-0.75</v>
      </c>
      <c r="J9" s="3179"/>
      <c r="K9" s="3180">
        <f t="shared" ref="K9" si="66">D9/100</f>
        <v>-1.0200000000000001E-2</v>
      </c>
      <c r="L9" s="3170">
        <f t="shared" ref="L9" si="67">E9/100</f>
        <v>-4.7999999999999996E-3</v>
      </c>
      <c r="M9" s="3170">
        <f t="shared" ref="M9" si="68">F9/100</f>
        <v>-7.4999999999999997E-3</v>
      </c>
      <c r="N9" s="3170">
        <f t="shared" ref="N9" si="69">G9/100</f>
        <v>-1.0500000000000001E-2</v>
      </c>
      <c r="O9" s="3170">
        <f t="shared" ref="O9" si="70">H9/100</f>
        <v>8.0000000000000004E-4</v>
      </c>
      <c r="P9" s="3170">
        <f t="shared" si="10"/>
        <v>-7.4999999999999997E-3</v>
      </c>
      <c r="Q9" s="3179"/>
      <c r="R9" s="3181">
        <f>ROUND(IF(项目基本情况!$B$8="出让",SUMPRODUCT(PRODUCT(1+K9:$K$24)),SUMPRODUCT(PRODUCT(1+K9:$K$23))),4)</f>
        <v>1.0511999999999999</v>
      </c>
      <c r="S9" s="3181">
        <f>ROUND(IF(项目基本情况!$B$8="出让",SUMPRODUCT(PRODUCT(1+L9:$L$24)),SUMPRODUCT(PRODUCT(1+L9:$L$23))),4)</f>
        <v>1.0398000000000001</v>
      </c>
      <c r="T9" s="3181">
        <f>ROUND(IF(项目基本情况!$B$8="出让",SUMPRODUCT(PRODUCT(1+M9:$M$24)),SUMPRODUCT(PRODUCT(1+M9:$M$23))),4)</f>
        <v>1.0003</v>
      </c>
      <c r="U9" s="3181">
        <f>ROUND(IF(项目基本情况!$B$8="出让",SUMPRODUCT(PRODUCT(1+N9:$N$24)),SUMPRODUCT(PRODUCT(1+N9:$N$23))),4)</f>
        <v>1.0561</v>
      </c>
      <c r="V9" s="3181">
        <f>ROUND(IF(项目基本情况!$B$8="出让",SUMPRODUCT(PRODUCT(1+O9:$O$24)),SUMPRODUCT(PRODUCT(1+O9:$O$23))),4)</f>
        <v>1.0827</v>
      </c>
      <c r="W9" s="3181">
        <f t="shared" si="11"/>
        <v>1.0003</v>
      </c>
      <c r="X9" s="3179"/>
      <c r="Y9" s="3182">
        <f t="shared" si="12"/>
        <v>2.8999999999999998E-3</v>
      </c>
      <c r="Z9" s="3182">
        <f t="shared" ref="Z9" si="71">IF(E9=0,0,ROUND(AVERAGE(E9:E22)/100,4))</f>
        <v>2.3E-3</v>
      </c>
      <c r="AA9" s="3182">
        <f t="shared" ref="AA9" si="72">IF(F9=0,0,ROUND(AVERAGE(F9:F22)/100,4))</f>
        <v>-2.9999999999999997E-4</v>
      </c>
      <c r="AB9" s="3182">
        <f t="shared" ref="AB9" si="73">IF(G9=0,0,ROUND(AVERAGE(G9:G22)/100,4))</f>
        <v>3.3E-3</v>
      </c>
      <c r="AC9" s="3182">
        <f t="shared" ref="AC9" si="74">IF(H9=0,0,ROUND(AVERAGE(H9:H22)/100,4))</f>
        <v>5.0000000000000001E-3</v>
      </c>
      <c r="AD9" s="3182">
        <f t="shared" ref="AD9" si="75">AA9</f>
        <v>-2.9999999999999997E-4</v>
      </c>
      <c r="AF9" s="3456">
        <f t="shared" si="30"/>
        <v>105.11999999999999</v>
      </c>
      <c r="AG9" s="3456">
        <f t="shared" si="31"/>
        <v>103.98</v>
      </c>
      <c r="AH9" s="3456">
        <f t="shared" si="32"/>
        <v>100.03</v>
      </c>
      <c r="AI9" s="3456">
        <f t="shared" si="33"/>
        <v>105.61</v>
      </c>
      <c r="AJ9" s="3456">
        <f t="shared" si="34"/>
        <v>108.27</v>
      </c>
      <c r="AK9" s="3456">
        <f t="shared" si="35"/>
        <v>100.03</v>
      </c>
      <c r="AM9" s="3456">
        <f t="shared" si="48"/>
        <v>99.433230585661718</v>
      </c>
      <c r="AN9" s="3456">
        <f t="shared" si="49"/>
        <v>100.57326762546515</v>
      </c>
      <c r="AO9" s="3456">
        <f t="shared" si="50"/>
        <v>100.90817356205852</v>
      </c>
      <c r="AP9" s="3456">
        <f t="shared" si="51"/>
        <v>98.892405063291136</v>
      </c>
      <c r="AQ9" s="3456">
        <f t="shared" si="52"/>
        <v>99.581756622186816</v>
      </c>
      <c r="AR9" s="3456">
        <f t="shared" si="53"/>
        <v>100.90817356205852</v>
      </c>
    </row>
    <row r="10" spans="1:44" s="3183" customFormat="1" ht="12.75">
      <c r="A10" s="2204" t="s">
        <v>3381</v>
      </c>
      <c r="B10" s="3175">
        <v>2024</v>
      </c>
      <c r="C10" s="3176">
        <v>3</v>
      </c>
      <c r="D10" s="3177">
        <v>-1.19</v>
      </c>
      <c r="E10" s="3177">
        <v>-0.47</v>
      </c>
      <c r="F10" s="3177">
        <v>-0.28999999999999998</v>
      </c>
      <c r="G10" s="3177">
        <v>-0.74</v>
      </c>
      <c r="H10" s="3177">
        <v>-0.21</v>
      </c>
      <c r="I10" s="3178">
        <f t="shared" ref="I10" si="76">F10</f>
        <v>-0.28999999999999998</v>
      </c>
      <c r="J10" s="3179"/>
      <c r="K10" s="3180">
        <f t="shared" ref="K10" si="77">D10/100</f>
        <v>-1.1899999999999999E-2</v>
      </c>
      <c r="L10" s="3170">
        <f t="shared" ref="L10" si="78">E10/100</f>
        <v>-4.6999999999999993E-3</v>
      </c>
      <c r="M10" s="3170">
        <f t="shared" ref="M10" si="79">F10/100</f>
        <v>-2.8999999999999998E-3</v>
      </c>
      <c r="N10" s="3170">
        <f t="shared" ref="N10" si="80">G10/100</f>
        <v>-7.4000000000000003E-3</v>
      </c>
      <c r="O10" s="3170">
        <f t="shared" ref="O10" si="81">H10/100</f>
        <v>-2.0999999999999999E-3</v>
      </c>
      <c r="P10" s="3170">
        <f t="shared" si="10"/>
        <v>-2.8999999999999998E-3</v>
      </c>
      <c r="Q10" s="3179"/>
      <c r="R10" s="3181">
        <f>ROUND(IF(项目基本情况!$B$8="出让",SUMPRODUCT(PRODUCT(1+K10:$K$24)),SUMPRODUCT(PRODUCT(1+K10:$K$23))),4)</f>
        <v>1.0620000000000001</v>
      </c>
      <c r="S10" s="3181">
        <f>ROUND(IF(项目基本情况!$B$8="出让",SUMPRODUCT(PRODUCT(1+L10:$L$24)),SUMPRODUCT(PRODUCT(1+L10:$L$23))),4)</f>
        <v>1.0448</v>
      </c>
      <c r="T10" s="3181">
        <f>ROUND(IF(项目基本情况!$B$8="出让",SUMPRODUCT(PRODUCT(1+M10:$M$24)),SUMPRODUCT(PRODUCT(1+M10:$M$23))),4)</f>
        <v>1.0079</v>
      </c>
      <c r="U10" s="3181">
        <f>ROUND(IF(项目基本情况!$B$8="出让",SUMPRODUCT(PRODUCT(1+N10:$N$24)),SUMPRODUCT(PRODUCT(1+N10:$N$23))),4)</f>
        <v>1.0672999999999999</v>
      </c>
      <c r="V10" s="3181">
        <f>ROUND(IF(项目基本情况!$B$8="出让",SUMPRODUCT(PRODUCT(1+O10:$O$24)),SUMPRODUCT(PRODUCT(1+O10:$O$23))),4)</f>
        <v>1.0818000000000001</v>
      </c>
      <c r="W10" s="3181">
        <f t="shared" si="11"/>
        <v>1.0079</v>
      </c>
      <c r="X10" s="3179"/>
      <c r="Y10" s="3182">
        <f t="shared" si="12"/>
        <v>4.3E-3</v>
      </c>
      <c r="Z10" s="3182">
        <f t="shared" ref="Z10" si="82">IF(E10=0,0,ROUND(AVERAGE(E10:E23)/100,4))</f>
        <v>3.0999999999999999E-3</v>
      </c>
      <c r="AA10" s="3182">
        <f t="shared" ref="AA10" si="83">IF(F10=0,0,ROUND(AVERAGE(F10:F23)/100,4))</f>
        <v>5.9999999999999995E-4</v>
      </c>
      <c r="AB10" s="3182">
        <f t="shared" ref="AB10" si="84">IF(G10=0,0,ROUND(AVERAGE(G10:G23)/100,4))</f>
        <v>4.7000000000000002E-3</v>
      </c>
      <c r="AC10" s="3182">
        <f t="shared" ref="AC10" si="85">IF(H10=0,0,ROUND(AVERAGE(H10:H23)/100,4))</f>
        <v>5.5999999999999999E-3</v>
      </c>
      <c r="AD10" s="3182">
        <f t="shared" ref="AD10" si="86">AA10</f>
        <v>5.9999999999999995E-4</v>
      </c>
      <c r="AF10" s="3456">
        <f t="shared" si="30"/>
        <v>106.2</v>
      </c>
      <c r="AG10" s="3456">
        <f t="shared" si="31"/>
        <v>104.47999999999999</v>
      </c>
      <c r="AH10" s="3456">
        <f t="shared" si="32"/>
        <v>100.79</v>
      </c>
      <c r="AI10" s="3456">
        <f t="shared" si="33"/>
        <v>106.72999999999999</v>
      </c>
      <c r="AJ10" s="3456">
        <f t="shared" si="34"/>
        <v>108.18</v>
      </c>
      <c r="AK10" s="3456">
        <f t="shared" si="35"/>
        <v>100.79</v>
      </c>
      <c r="AM10" s="3456">
        <f t="shared" si="48"/>
        <v>100.45790117767399</v>
      </c>
      <c r="AN10" s="3456">
        <f t="shared" si="49"/>
        <v>101.05834769439826</v>
      </c>
      <c r="AO10" s="3456">
        <f t="shared" si="50"/>
        <v>101.670703840865</v>
      </c>
      <c r="AP10" s="3456">
        <f t="shared" si="51"/>
        <v>99.941793899233076</v>
      </c>
      <c r="AQ10" s="3456">
        <f t="shared" si="52"/>
        <v>99.502154898268216</v>
      </c>
      <c r="AR10" s="3456">
        <f t="shared" si="53"/>
        <v>101.670703840865</v>
      </c>
    </row>
    <row r="11" spans="1:44" s="3183" customFormat="1" ht="12.75">
      <c r="A11" s="3174" t="s">
        <v>3375</v>
      </c>
      <c r="B11" s="3175">
        <v>2024</v>
      </c>
      <c r="C11" s="3176">
        <v>2</v>
      </c>
      <c r="D11" s="3177">
        <v>-0.59</v>
      </c>
      <c r="E11" s="3177">
        <v>-0.21</v>
      </c>
      <c r="F11" s="3177">
        <v>-1.38</v>
      </c>
      <c r="G11" s="3177">
        <v>-1.24</v>
      </c>
      <c r="H11" s="3194">
        <v>0.34</v>
      </c>
      <c r="I11" s="3178">
        <f t="shared" ref="I11:I24" si="87">F11</f>
        <v>-1.38</v>
      </c>
      <c r="J11" s="3179"/>
      <c r="K11" s="3180">
        <f t="shared" ref="K11:O24" si="88">D11/100</f>
        <v>-5.8999999999999999E-3</v>
      </c>
      <c r="L11" s="3170">
        <f t="shared" si="88"/>
        <v>-2.0999999999999999E-3</v>
      </c>
      <c r="M11" s="3170">
        <f t="shared" si="88"/>
        <v>-1.38E-2</v>
      </c>
      <c r="N11" s="3170">
        <f t="shared" si="88"/>
        <v>-1.24E-2</v>
      </c>
      <c r="O11" s="3170">
        <f t="shared" si="88"/>
        <v>3.4000000000000002E-3</v>
      </c>
      <c r="P11" s="3170">
        <f t="shared" si="10"/>
        <v>-1.38E-2</v>
      </c>
      <c r="Q11" s="3179"/>
      <c r="R11" s="3181">
        <f>ROUND(IF(项目基本情况!$B$8="出让",SUMPRODUCT(PRODUCT(1+K11:$K$24)),SUMPRODUCT(PRODUCT(1+K11:$K$23))),4)</f>
        <v>1.0748</v>
      </c>
      <c r="S11" s="3181">
        <f>ROUND(IF(项目基本情况!$B$8="出让",SUMPRODUCT(PRODUCT(1+L11:$L$24)),SUMPRODUCT(PRODUCT(1+L11:$L$23))),4)</f>
        <v>1.0498000000000001</v>
      </c>
      <c r="T11" s="3181">
        <f>ROUND(IF(项目基本情况!$B$8="出让",SUMPRODUCT(PRODUCT(1+M11:$M$24)),SUMPRODUCT(PRODUCT(1+M11:$M$23))),4)</f>
        <v>1.0107999999999999</v>
      </c>
      <c r="U11" s="3181">
        <f>ROUND(IF(项目基本情况!$B$8="出让",SUMPRODUCT(PRODUCT(1+N11:$N$24)),SUMPRODUCT(PRODUCT(1+N11:$N$23))),4)</f>
        <v>1.0752999999999999</v>
      </c>
      <c r="V11" s="3181">
        <f>ROUND(IF(项目基本情况!$B$8="出让",SUMPRODUCT(PRODUCT(1+O11:$O$24)),SUMPRODUCT(PRODUCT(1+O11:$O$23))),4)</f>
        <v>1.0841000000000001</v>
      </c>
      <c r="W11" s="3181">
        <f t="shared" si="11"/>
        <v>1.0107999999999999</v>
      </c>
      <c r="X11" s="3179"/>
      <c r="Y11" s="3182">
        <f t="shared" si="12"/>
        <v>5.8999999999999999E-3</v>
      </c>
      <c r="Z11" s="3182">
        <f t="shared" ref="Z11:AC11" si="89">IF(E11=0,0,ROUND(AVERAGE(E11:E24)/100,4))</f>
        <v>3.5999999999999999E-3</v>
      </c>
      <c r="AA11" s="3182">
        <f t="shared" si="89"/>
        <v>5.9999999999999995E-4</v>
      </c>
      <c r="AB11" s="3182">
        <f t="shared" si="89"/>
        <v>6.0000000000000001E-3</v>
      </c>
      <c r="AC11" s="3182">
        <f t="shared" si="89"/>
        <v>6.0000000000000001E-3</v>
      </c>
      <c r="AD11" s="3182">
        <f t="shared" ref="AD11:AD23" si="90">AA11</f>
        <v>5.9999999999999995E-4</v>
      </c>
      <c r="AF11" s="3456">
        <f t="shared" si="30"/>
        <v>107.48</v>
      </c>
      <c r="AG11" s="3456">
        <f t="shared" si="31"/>
        <v>104.98</v>
      </c>
      <c r="AH11" s="3456">
        <f t="shared" si="32"/>
        <v>101.08</v>
      </c>
      <c r="AI11" s="3456">
        <f t="shared" si="33"/>
        <v>107.52999999999999</v>
      </c>
      <c r="AJ11" s="3456">
        <f t="shared" si="34"/>
        <v>108.41000000000001</v>
      </c>
      <c r="AK11" s="3456">
        <f t="shared" si="35"/>
        <v>101.08</v>
      </c>
      <c r="AM11" s="3456">
        <f t="shared" si="48"/>
        <v>101.66774737139357</v>
      </c>
      <c r="AN11" s="3456">
        <f t="shared" si="49"/>
        <v>101.53556484918946</v>
      </c>
      <c r="AO11" s="3456">
        <f t="shared" si="50"/>
        <v>101.9664064194815</v>
      </c>
      <c r="AP11" s="3456">
        <f t="shared" si="51"/>
        <v>100.68687678746028</v>
      </c>
      <c r="AQ11" s="3456">
        <f t="shared" si="52"/>
        <v>99.711549151486338</v>
      </c>
      <c r="AR11" s="3456">
        <f t="shared" si="53"/>
        <v>101.9664064194815</v>
      </c>
    </row>
    <row r="12" spans="1:44" s="3183" customFormat="1" ht="12.75">
      <c r="A12" s="3174" t="s">
        <v>3374</v>
      </c>
      <c r="B12" s="3175">
        <v>2024</v>
      </c>
      <c r="C12" s="3176">
        <v>1</v>
      </c>
      <c r="D12" s="3177">
        <v>0.08</v>
      </c>
      <c r="E12" s="3177">
        <v>0.46</v>
      </c>
      <c r="F12" s="3177">
        <v>-0.16</v>
      </c>
      <c r="G12" s="3177">
        <v>0.26</v>
      </c>
      <c r="H12" s="3194">
        <v>0.59</v>
      </c>
      <c r="I12" s="3178">
        <f t="shared" si="87"/>
        <v>-0.16</v>
      </c>
      <c r="J12" s="3179"/>
      <c r="K12" s="3180">
        <f t="shared" ref="K12" si="91">D12/100</f>
        <v>8.0000000000000004E-4</v>
      </c>
      <c r="L12" s="3170">
        <f t="shared" ref="L12" si="92">E12/100</f>
        <v>4.5999999999999999E-3</v>
      </c>
      <c r="M12" s="3170">
        <f t="shared" ref="M12" si="93">F12/100</f>
        <v>-1.6000000000000001E-3</v>
      </c>
      <c r="N12" s="3170">
        <f t="shared" ref="N12" si="94">G12/100</f>
        <v>2.5999999999999999E-3</v>
      </c>
      <c r="O12" s="3170">
        <f t="shared" ref="O12" si="95">H12/100</f>
        <v>5.8999999999999999E-3</v>
      </c>
      <c r="P12" s="3170">
        <f t="shared" ref="P12" si="96">M12</f>
        <v>-1.6000000000000001E-3</v>
      </c>
      <c r="Q12" s="3179"/>
      <c r="R12" s="3181">
        <f>ROUND(IF(项目基本情况!$B$8="出让",SUMPRODUCT(PRODUCT(1+K12:$K$24)),SUMPRODUCT(PRODUCT(1+K12:$K$23))),4)</f>
        <v>1.0811999999999999</v>
      </c>
      <c r="S12" s="3181">
        <f>ROUND(IF(项目基本情况!$B$8="出让",SUMPRODUCT(PRODUCT(1+L12:$L$24)),SUMPRODUCT(PRODUCT(1+L12:$L$23))),4)</f>
        <v>1.052</v>
      </c>
      <c r="T12" s="3181">
        <f>ROUND(IF(项目基本情况!$B$8="出让",SUMPRODUCT(PRODUCT(1+M12:$M$24)),SUMPRODUCT(PRODUCT(1+M12:$M$23))),4)</f>
        <v>1.0249999999999999</v>
      </c>
      <c r="U12" s="3181">
        <f>ROUND(IF(项目基本情况!$B$8="出让",SUMPRODUCT(PRODUCT(1+N12:$N$24)),SUMPRODUCT(PRODUCT(1+N12:$N$23))),4)</f>
        <v>1.0888</v>
      </c>
      <c r="V12" s="3181">
        <f>ROUND(IF(项目基本情况!$B$8="出让",SUMPRODUCT(PRODUCT(1+O12:$O$24)),SUMPRODUCT(PRODUCT(1+O12:$O$23))),4)</f>
        <v>1.0804</v>
      </c>
      <c r="W12" s="3181">
        <f t="shared" ref="W12" si="97">T12</f>
        <v>1.0249999999999999</v>
      </c>
      <c r="X12" s="3179"/>
      <c r="Y12" s="3182"/>
      <c r="Z12" s="3182"/>
      <c r="AA12" s="3182"/>
      <c r="AB12" s="3182"/>
      <c r="AC12" s="3182"/>
      <c r="AD12" s="3182"/>
      <c r="AF12" s="3456">
        <f t="shared" si="30"/>
        <v>108.11999999999999</v>
      </c>
      <c r="AG12" s="3456">
        <f t="shared" si="31"/>
        <v>105.2</v>
      </c>
      <c r="AH12" s="3456">
        <f t="shared" si="32"/>
        <v>102.49999999999999</v>
      </c>
      <c r="AI12" s="3456">
        <f t="shared" si="33"/>
        <v>108.88</v>
      </c>
      <c r="AJ12" s="3456">
        <f t="shared" si="34"/>
        <v>108.04</v>
      </c>
      <c r="AK12" s="3456">
        <f t="shared" si="35"/>
        <v>102.49999999999999</v>
      </c>
      <c r="AM12" s="3456">
        <f t="shared" si="48"/>
        <v>102.27114713951673</v>
      </c>
      <c r="AN12" s="3456">
        <f t="shared" si="49"/>
        <v>101.74923824951344</v>
      </c>
      <c r="AO12" s="3456">
        <f t="shared" si="50"/>
        <v>103.3932330353696</v>
      </c>
      <c r="AP12" s="3456">
        <f t="shared" si="51"/>
        <v>101.95107005615662</v>
      </c>
      <c r="AQ12" s="3456">
        <f t="shared" si="52"/>
        <v>99.373678644096401</v>
      </c>
      <c r="AR12" s="3456">
        <f t="shared" si="53"/>
        <v>103.3932330353696</v>
      </c>
    </row>
    <row r="13" spans="1:44" s="3183" customFormat="1" ht="12.75">
      <c r="A13" s="3174" t="s">
        <v>3370</v>
      </c>
      <c r="B13" s="3175">
        <v>2023</v>
      </c>
      <c r="C13" s="3176">
        <v>4</v>
      </c>
      <c r="D13" s="3177">
        <v>0.19</v>
      </c>
      <c r="E13" s="3177">
        <v>0.24</v>
      </c>
      <c r="F13" s="3177">
        <v>-0.16</v>
      </c>
      <c r="G13" s="3177">
        <v>0.17</v>
      </c>
      <c r="H13" s="3194">
        <v>0.61</v>
      </c>
      <c r="I13" s="3178">
        <f>F13</f>
        <v>-0.16</v>
      </c>
      <c r="J13" s="3179"/>
      <c r="K13" s="3180">
        <f t="shared" si="88"/>
        <v>1.9E-3</v>
      </c>
      <c r="L13" s="3170">
        <f t="shared" si="88"/>
        <v>2.3999999999999998E-3</v>
      </c>
      <c r="M13" s="3170">
        <f t="shared" si="88"/>
        <v>-1.6000000000000001E-3</v>
      </c>
      <c r="N13" s="3170">
        <f t="shared" si="88"/>
        <v>1.7000000000000001E-3</v>
      </c>
      <c r="O13" s="3170">
        <f t="shared" si="88"/>
        <v>6.0999999999999995E-3</v>
      </c>
      <c r="P13" s="3170">
        <f t="shared" ref="P13" si="98">M13</f>
        <v>-1.6000000000000001E-3</v>
      </c>
      <c r="Q13" s="3179"/>
      <c r="R13" s="3181">
        <f>ROUND(IF(项目基本情况!$B$8="出让",SUMPRODUCT(PRODUCT(1+K13:$K$24)),SUMPRODUCT(PRODUCT(1+K13:$K$23))),4)</f>
        <v>1.0804</v>
      </c>
      <c r="S13" s="3181">
        <f>ROUND(IF(项目基本情况!$B$8="出让",SUMPRODUCT(PRODUCT(1+L13:$L$24)),SUMPRODUCT(PRODUCT(1+L13:$L$23))),4)</f>
        <v>1.0471999999999999</v>
      </c>
      <c r="T13" s="3181">
        <f>ROUND(IF(项目基本情况!$B$8="出让",SUMPRODUCT(PRODUCT(1+M13:$M$24)),SUMPRODUCT(PRODUCT(1+M13:$M$23))),4)</f>
        <v>1.0266</v>
      </c>
      <c r="U13" s="3181">
        <f>ROUND(IF(项目基本情况!$B$8="出让",SUMPRODUCT(PRODUCT(1+N13:$N$24)),SUMPRODUCT(PRODUCT(1+N13:$N$23))),4)</f>
        <v>1.0859000000000001</v>
      </c>
      <c r="V13" s="3181">
        <f>ROUND(IF(项目基本情况!$B$8="出让",SUMPRODUCT(PRODUCT(1+O13:$O$24)),SUMPRODUCT(PRODUCT(1+O13:$O$23))),4)</f>
        <v>1.0741000000000001</v>
      </c>
      <c r="W13" s="3181">
        <f t="shared" ref="W13" si="99">T13</f>
        <v>1.0266</v>
      </c>
      <c r="X13" s="3179"/>
      <c r="Y13" s="3182"/>
      <c r="Z13" s="3182"/>
      <c r="AA13" s="3182"/>
      <c r="AB13" s="3182"/>
      <c r="AC13" s="3182"/>
      <c r="AD13" s="3182"/>
      <c r="AF13" s="3456">
        <f t="shared" si="30"/>
        <v>108.04</v>
      </c>
      <c r="AG13" s="3456">
        <f t="shared" si="31"/>
        <v>104.71999999999998</v>
      </c>
      <c r="AH13" s="3456">
        <f t="shared" si="32"/>
        <v>102.66</v>
      </c>
      <c r="AI13" s="3456">
        <f t="shared" si="33"/>
        <v>108.59</v>
      </c>
      <c r="AJ13" s="3456">
        <f t="shared" si="34"/>
        <v>107.41000000000001</v>
      </c>
      <c r="AK13" s="3456">
        <f t="shared" si="35"/>
        <v>102.66</v>
      </c>
      <c r="AM13" s="3456">
        <f t="shared" si="48"/>
        <v>102.18939562301833</v>
      </c>
      <c r="AN13" s="3456">
        <f t="shared" si="49"/>
        <v>101.28333490893236</v>
      </c>
      <c r="AO13" s="3456">
        <f t="shared" si="50"/>
        <v>103.55892731908014</v>
      </c>
      <c r="AP13" s="3456">
        <f t="shared" si="51"/>
        <v>101.68668467599903</v>
      </c>
      <c r="AQ13" s="3456">
        <f t="shared" si="52"/>
        <v>98.79081284829148</v>
      </c>
      <c r="AR13" s="3456">
        <f t="shared" si="53"/>
        <v>103.55892731908014</v>
      </c>
    </row>
    <row r="14" spans="1:44" s="3183" customFormat="1" ht="12.75">
      <c r="A14" s="3174" t="s">
        <v>3369</v>
      </c>
      <c r="B14" s="3175">
        <v>2023</v>
      </c>
      <c r="C14" s="3176">
        <v>3</v>
      </c>
      <c r="D14" s="3177">
        <v>0.25</v>
      </c>
      <c r="E14" s="3177">
        <v>0.5</v>
      </c>
      <c r="F14" s="3177">
        <v>0.31</v>
      </c>
      <c r="G14" s="3177">
        <v>0.21</v>
      </c>
      <c r="H14" s="3194">
        <v>0.43</v>
      </c>
      <c r="I14" s="3178">
        <f t="shared" si="87"/>
        <v>0.31</v>
      </c>
      <c r="J14" s="3179"/>
      <c r="K14" s="3180">
        <f t="shared" ref="K14:K16" si="100">D14/100</f>
        <v>2.5000000000000001E-3</v>
      </c>
      <c r="L14" s="3170">
        <f t="shared" ref="L14:L16" si="101">E14/100</f>
        <v>5.0000000000000001E-3</v>
      </c>
      <c r="M14" s="3170">
        <f t="shared" ref="M14:M16" si="102">F14/100</f>
        <v>3.0999999999999999E-3</v>
      </c>
      <c r="N14" s="3170">
        <f t="shared" ref="N14:N16" si="103">G14/100</f>
        <v>2.0999999999999999E-3</v>
      </c>
      <c r="O14" s="3170">
        <f t="shared" ref="O14:O16" si="104">H14/100</f>
        <v>4.3E-3</v>
      </c>
      <c r="P14" s="3170">
        <f t="shared" ref="P14:P16" si="105">M14</f>
        <v>3.0999999999999999E-3</v>
      </c>
      <c r="Q14" s="3179"/>
      <c r="R14" s="3181">
        <f>ROUND(IF(项目基本情况!$B$8="出让",SUMPRODUCT(PRODUCT(1+K14:$K$24)),SUMPRODUCT(PRODUCT(1+K14:$K$23))),4)</f>
        <v>1.0783</v>
      </c>
      <c r="S14" s="3181">
        <f>ROUND(IF(项目基本情况!$B$8="出让",SUMPRODUCT(PRODUCT(1+L14:$L$24)),SUMPRODUCT(PRODUCT(1+L14:$L$23))),4)</f>
        <v>1.0447</v>
      </c>
      <c r="T14" s="3181">
        <f>ROUND(IF(项目基本情况!$B$8="出让",SUMPRODUCT(PRODUCT(1+M14:$M$24)),SUMPRODUCT(PRODUCT(1+M14:$M$23))),4)</f>
        <v>1.0282</v>
      </c>
      <c r="U14" s="3181">
        <f>ROUND(IF(项目基本情况!$B$8="出让",SUMPRODUCT(PRODUCT(1+N14:$N$24)),SUMPRODUCT(PRODUCT(1+N14:$N$23))),4)</f>
        <v>1.0841000000000001</v>
      </c>
      <c r="V14" s="3181">
        <f>ROUND(IF(项目基本情况!$B$8="出让",SUMPRODUCT(PRODUCT(1+O14:$O$24)),SUMPRODUCT(PRODUCT(1+O14:$O$23))),4)</f>
        <v>1.0674999999999999</v>
      </c>
      <c r="W14" s="3181">
        <f t="shared" ref="W14:W15" si="106">T14</f>
        <v>1.0282</v>
      </c>
      <c r="X14" s="3179"/>
      <c r="Y14" s="3182"/>
      <c r="Z14" s="3182"/>
      <c r="AA14" s="3182"/>
      <c r="AB14" s="3182"/>
      <c r="AC14" s="3182"/>
      <c r="AD14" s="3182"/>
      <c r="AF14" s="3456">
        <f t="shared" si="30"/>
        <v>107.83</v>
      </c>
      <c r="AG14" s="3456">
        <f t="shared" si="31"/>
        <v>104.47</v>
      </c>
      <c r="AH14" s="3456">
        <f t="shared" si="32"/>
        <v>102.82</v>
      </c>
      <c r="AI14" s="3456">
        <f t="shared" si="33"/>
        <v>108.41000000000001</v>
      </c>
      <c r="AJ14" s="3456">
        <f t="shared" si="34"/>
        <v>106.74999999999999</v>
      </c>
      <c r="AK14" s="3456">
        <f t="shared" si="35"/>
        <v>102.82</v>
      </c>
      <c r="AM14" s="3456">
        <f t="shared" si="48"/>
        <v>101.99560397546495</v>
      </c>
      <c r="AN14" s="3456">
        <f t="shared" si="49"/>
        <v>101.04083690037147</v>
      </c>
      <c r="AO14" s="3456">
        <f t="shared" si="50"/>
        <v>103.72488713850174</v>
      </c>
      <c r="AP14" s="3456">
        <f t="shared" si="51"/>
        <v>101.51411068782971</v>
      </c>
      <c r="AQ14" s="3456">
        <f t="shared" si="52"/>
        <v>98.191842608380355</v>
      </c>
      <c r="AR14" s="3456">
        <f t="shared" si="53"/>
        <v>103.72488713850174</v>
      </c>
    </row>
    <row r="15" spans="1:44" s="3183" customFormat="1" ht="12.75">
      <c r="A15" s="3174" t="s">
        <v>3367</v>
      </c>
      <c r="B15" s="3175">
        <v>2023</v>
      </c>
      <c r="C15" s="3176">
        <v>2</v>
      </c>
      <c r="D15" s="3177">
        <v>0.91</v>
      </c>
      <c r="E15" s="3177">
        <v>0.66</v>
      </c>
      <c r="F15" s="3177">
        <v>0.47</v>
      </c>
      <c r="G15" s="3177">
        <v>0.96</v>
      </c>
      <c r="H15" s="3194">
        <v>0.71</v>
      </c>
      <c r="I15" s="3178">
        <f t="shared" si="87"/>
        <v>0.47</v>
      </c>
      <c r="J15" s="3179"/>
      <c r="K15" s="3180">
        <f t="shared" si="100"/>
        <v>9.1000000000000004E-3</v>
      </c>
      <c r="L15" s="3170">
        <f t="shared" si="101"/>
        <v>6.6E-3</v>
      </c>
      <c r="M15" s="3170">
        <f t="shared" si="102"/>
        <v>4.6999999999999993E-3</v>
      </c>
      <c r="N15" s="3170">
        <f t="shared" si="103"/>
        <v>9.5999999999999992E-3</v>
      </c>
      <c r="O15" s="3170">
        <f t="shared" si="104"/>
        <v>7.0999999999999995E-3</v>
      </c>
      <c r="P15" s="3170">
        <f t="shared" si="105"/>
        <v>4.6999999999999993E-3</v>
      </c>
      <c r="Q15" s="3179"/>
      <c r="R15" s="3181">
        <f>ROUND(IF(项目基本情况!$B$8="出让",SUMPRODUCT(PRODUCT(1+K15:$K$24)),SUMPRODUCT(PRODUCT(1+K15:$K$23))),4)</f>
        <v>1.0755999999999999</v>
      </c>
      <c r="S15" s="3181">
        <f>ROUND(IF(项目基本情况!$B$8="出让",SUMPRODUCT(PRODUCT(1+L15:$L$24)),SUMPRODUCT(PRODUCT(1+L15:$L$23))),4)</f>
        <v>1.0395000000000001</v>
      </c>
      <c r="T15" s="3181">
        <f>ROUND(IF(项目基本情况!$B$8="出让",SUMPRODUCT(PRODUCT(1+M15:$M$24)),SUMPRODUCT(PRODUCT(1+M15:$M$23))),4)</f>
        <v>1.0250999999999999</v>
      </c>
      <c r="U15" s="3181">
        <f>ROUND(IF(项目基本情况!$B$8="出让",SUMPRODUCT(PRODUCT(1+N15:$N$24)),SUMPRODUCT(PRODUCT(1+N15:$N$23))),4)</f>
        <v>1.0818000000000001</v>
      </c>
      <c r="V15" s="3181">
        <f>ROUND(IF(项目基本情况!$B$8="出让",SUMPRODUCT(PRODUCT(1+O15:$O$24)),SUMPRODUCT(PRODUCT(1+O15:$O$23))),4)</f>
        <v>1.0629999999999999</v>
      </c>
      <c r="W15" s="3181">
        <f t="shared" si="106"/>
        <v>1.0250999999999999</v>
      </c>
      <c r="X15" s="3179"/>
      <c r="Y15" s="3182"/>
      <c r="Z15" s="3182"/>
      <c r="AA15" s="3182"/>
      <c r="AB15" s="3182"/>
      <c r="AC15" s="3182"/>
      <c r="AD15" s="3182"/>
      <c r="AF15" s="3456">
        <f t="shared" si="30"/>
        <v>107.55999999999999</v>
      </c>
      <c r="AG15" s="3456">
        <f t="shared" si="31"/>
        <v>103.95</v>
      </c>
      <c r="AH15" s="3456">
        <f t="shared" si="32"/>
        <v>102.50999999999999</v>
      </c>
      <c r="AI15" s="3456">
        <f t="shared" si="33"/>
        <v>108.18</v>
      </c>
      <c r="AJ15" s="3456">
        <f t="shared" si="34"/>
        <v>106.3</v>
      </c>
      <c r="AK15" s="3456">
        <f t="shared" si="35"/>
        <v>102.50999999999999</v>
      </c>
      <c r="AM15" s="3456">
        <f t="shared" si="48"/>
        <v>101.74125084834409</v>
      </c>
      <c r="AN15" s="3456">
        <f t="shared" si="49"/>
        <v>100.53814616952387</v>
      </c>
      <c r="AO15" s="3456">
        <f t="shared" si="50"/>
        <v>103.40433370401927</v>
      </c>
      <c r="AP15" s="3456">
        <f t="shared" si="51"/>
        <v>101.30137779446135</v>
      </c>
      <c r="AQ15" s="3456">
        <f t="shared" si="52"/>
        <v>97.771425478821428</v>
      </c>
      <c r="AR15" s="3456">
        <f t="shared" si="53"/>
        <v>103.40433370401927</v>
      </c>
    </row>
    <row r="16" spans="1:44" s="3183" customFormat="1" ht="12.75">
      <c r="A16" s="3174" t="s">
        <v>3366</v>
      </c>
      <c r="B16" s="3175">
        <v>2023</v>
      </c>
      <c r="C16" s="3176">
        <v>1</v>
      </c>
      <c r="D16" s="3177">
        <v>0.89</v>
      </c>
      <c r="E16" s="3177">
        <v>0.74</v>
      </c>
      <c r="F16" s="3177">
        <v>0.56999999999999995</v>
      </c>
      <c r="G16" s="3177">
        <v>0.92</v>
      </c>
      <c r="H16" s="3194">
        <v>0.5</v>
      </c>
      <c r="I16" s="3178">
        <f t="shared" si="87"/>
        <v>0.56999999999999995</v>
      </c>
      <c r="J16" s="3179"/>
      <c r="K16" s="3180">
        <f t="shared" si="100"/>
        <v>8.8999999999999999E-3</v>
      </c>
      <c r="L16" s="3170">
        <f t="shared" si="101"/>
        <v>7.4000000000000003E-3</v>
      </c>
      <c r="M16" s="3170">
        <f t="shared" si="102"/>
        <v>5.6999999999999993E-3</v>
      </c>
      <c r="N16" s="3170">
        <f t="shared" si="103"/>
        <v>9.1999999999999998E-3</v>
      </c>
      <c r="O16" s="3170">
        <f t="shared" si="104"/>
        <v>5.0000000000000001E-3</v>
      </c>
      <c r="P16" s="3170">
        <f t="shared" si="105"/>
        <v>5.6999999999999993E-3</v>
      </c>
      <c r="Q16" s="3179"/>
      <c r="R16" s="3181">
        <f>ROUND(IF(项目基本情况!$B$8="出让",SUMPRODUCT(PRODUCT(1+K16:$K$24)),SUMPRODUCT(PRODUCT(1+K16:$K$23))),4)</f>
        <v>1.0659000000000001</v>
      </c>
      <c r="S16" s="3181">
        <f>ROUND(IF(项目基本情况!$B$8="出让",SUMPRODUCT(PRODUCT(1+L16:$L$24)),SUMPRODUCT(PRODUCT(1+L16:$L$23))),4)</f>
        <v>1.0326</v>
      </c>
      <c r="T16" s="3181">
        <f>ROUND(IF(项目基本情况!$B$8="出让",SUMPRODUCT(PRODUCT(1+M16:$M$24)),SUMPRODUCT(PRODUCT(1+M16:$M$23))),4)</f>
        <v>1.0203</v>
      </c>
      <c r="U16" s="3181">
        <f>ROUND(IF(项目基本情况!$B$8="出让",SUMPRODUCT(PRODUCT(1+N16:$N$24)),SUMPRODUCT(PRODUCT(1+N16:$N$23))),4)</f>
        <v>1.0714999999999999</v>
      </c>
      <c r="V16" s="3181">
        <f>ROUND(IF(项目基本情况!$B$8="出让",SUMPRODUCT(PRODUCT(1+O16:$O$24)),SUMPRODUCT(PRODUCT(1+O16:$O$23))),4)</f>
        <v>1.0555000000000001</v>
      </c>
      <c r="W16" s="3181">
        <f t="shared" ref="W16:W23" si="107">T16</f>
        <v>1.0203</v>
      </c>
      <c r="X16" s="3179"/>
      <c r="Y16" s="3182"/>
      <c r="Z16" s="3182"/>
      <c r="AA16" s="3182"/>
      <c r="AB16" s="3182"/>
      <c r="AC16" s="3182"/>
      <c r="AD16" s="3182"/>
      <c r="AF16" s="3456">
        <f t="shared" si="30"/>
        <v>106.59</v>
      </c>
      <c r="AG16" s="3456">
        <f t="shared" si="31"/>
        <v>103.25999999999999</v>
      </c>
      <c r="AH16" s="3456">
        <f t="shared" si="32"/>
        <v>102.03</v>
      </c>
      <c r="AI16" s="3456">
        <f t="shared" si="33"/>
        <v>107.14999999999999</v>
      </c>
      <c r="AJ16" s="3456">
        <f t="shared" si="34"/>
        <v>105.55000000000001</v>
      </c>
      <c r="AK16" s="3456">
        <f t="shared" si="35"/>
        <v>102.03</v>
      </c>
      <c r="AM16" s="3456">
        <f t="shared" si="48"/>
        <v>100.82375468074926</v>
      </c>
      <c r="AN16" s="3456">
        <f t="shared" si="49"/>
        <v>99.878945131654959</v>
      </c>
      <c r="AO16" s="3456">
        <f t="shared" si="50"/>
        <v>102.92060685181573</v>
      </c>
      <c r="AP16" s="3456">
        <f t="shared" si="51"/>
        <v>100.33813172985474</v>
      </c>
      <c r="AQ16" s="3456">
        <f t="shared" si="52"/>
        <v>97.082142268713554</v>
      </c>
      <c r="AR16" s="3456">
        <f t="shared" si="53"/>
        <v>102.92060685181573</v>
      </c>
    </row>
    <row r="17" spans="1:44" s="3183" customFormat="1" ht="12.75">
      <c r="A17" s="3174" t="s">
        <v>3365</v>
      </c>
      <c r="B17" s="3175">
        <v>2022</v>
      </c>
      <c r="C17" s="3176">
        <v>4</v>
      </c>
      <c r="D17" s="3177">
        <v>0.62</v>
      </c>
      <c r="E17" s="3177">
        <v>0.2</v>
      </c>
      <c r="F17" s="3177">
        <v>0.11</v>
      </c>
      <c r="G17" s="3177">
        <v>0.69</v>
      </c>
      <c r="H17" s="3194">
        <v>0.53</v>
      </c>
      <c r="I17" s="3178">
        <f t="shared" si="87"/>
        <v>0.11</v>
      </c>
      <c r="J17" s="3179"/>
      <c r="K17" s="3180">
        <f t="shared" si="88"/>
        <v>6.1999999999999998E-3</v>
      </c>
      <c r="L17" s="3170">
        <f t="shared" si="88"/>
        <v>2E-3</v>
      </c>
      <c r="M17" s="3170">
        <f t="shared" si="88"/>
        <v>1.1000000000000001E-3</v>
      </c>
      <c r="N17" s="3170">
        <f t="shared" si="88"/>
        <v>6.8999999999999999E-3</v>
      </c>
      <c r="O17" s="3170">
        <f t="shared" si="88"/>
        <v>5.3E-3</v>
      </c>
      <c r="P17" s="3170">
        <f t="shared" ref="P17:P24" si="108">M17</f>
        <v>1.1000000000000001E-3</v>
      </c>
      <c r="Q17" s="3179"/>
      <c r="R17" s="3181">
        <f>ROUND(IF(项目基本情况!$B$8="出让",SUMPRODUCT(PRODUCT(1+K17:$K$24)),SUMPRODUCT(PRODUCT(1+K17:$K$23))),4)</f>
        <v>1.0565</v>
      </c>
      <c r="S17" s="3181">
        <f>ROUND(IF(项目基本情况!$B$8="出让",SUMPRODUCT(PRODUCT(1+L17:$L$24)),SUMPRODUCT(PRODUCT(1+L17:$L$23))),4)</f>
        <v>1.0250999999999999</v>
      </c>
      <c r="T17" s="3181">
        <f>ROUND(IF(项目基本情况!$B$8="出让",SUMPRODUCT(PRODUCT(1+M17:$M$24)),SUMPRODUCT(PRODUCT(1+M17:$M$23))),4)</f>
        <v>1.0145</v>
      </c>
      <c r="U17" s="3181">
        <f>ROUND(IF(项目基本情况!$B$8="出让",SUMPRODUCT(PRODUCT(1+N17:$N$24)),SUMPRODUCT(PRODUCT(1+N17:$N$23))),4)</f>
        <v>1.0618000000000001</v>
      </c>
      <c r="V17" s="3181">
        <f>ROUND(IF(项目基本情况!$B$8="出让",SUMPRODUCT(PRODUCT(1+O17:$O$24)),SUMPRODUCT(PRODUCT(1+O17:$O$23))),4)</f>
        <v>1.0502</v>
      </c>
      <c r="W17" s="3181">
        <f t="shared" si="107"/>
        <v>1.0145</v>
      </c>
      <c r="X17" s="3179"/>
      <c r="Y17" s="3182">
        <f>IF(D17=0,0,ROUND(AVERAGE(D17:D25)/100,4))</f>
        <v>8.0999999999999996E-3</v>
      </c>
      <c r="Z17" s="3182">
        <f t="shared" ref="Z17:AC17" si="109">IF(E17=0,0,ROUND(AVERAGE(E17:E24)/100,4))</f>
        <v>3.3E-3</v>
      </c>
      <c r="AA17" s="3182">
        <f t="shared" si="109"/>
        <v>1.5E-3</v>
      </c>
      <c r="AB17" s="3182">
        <f t="shared" si="109"/>
        <v>8.8999999999999999E-3</v>
      </c>
      <c r="AC17" s="3182">
        <f t="shared" si="109"/>
        <v>6.6E-3</v>
      </c>
      <c r="AD17" s="3182">
        <f t="shared" si="90"/>
        <v>1.5E-3</v>
      </c>
      <c r="AF17" s="3456">
        <f t="shared" si="30"/>
        <v>105.65</v>
      </c>
      <c r="AG17" s="3456">
        <f t="shared" si="31"/>
        <v>102.50999999999999</v>
      </c>
      <c r="AH17" s="3456">
        <f t="shared" si="32"/>
        <v>101.44999999999999</v>
      </c>
      <c r="AI17" s="3456">
        <f t="shared" si="33"/>
        <v>106.18</v>
      </c>
      <c r="AJ17" s="3456">
        <f t="shared" si="34"/>
        <v>105.02</v>
      </c>
      <c r="AK17" s="3456">
        <f t="shared" si="35"/>
        <v>101.44999999999999</v>
      </c>
      <c r="AM17" s="3456">
        <f t="shared" si="48"/>
        <v>99.934339063087791</v>
      </c>
      <c r="AN17" s="3456">
        <f t="shared" si="49"/>
        <v>99.145270132673176</v>
      </c>
      <c r="AO17" s="3456">
        <f t="shared" si="50"/>
        <v>102.3372843311283</v>
      </c>
      <c r="AP17" s="3456">
        <f t="shared" si="51"/>
        <v>99.423436117573061</v>
      </c>
      <c r="AQ17" s="3456">
        <f t="shared" si="52"/>
        <v>96.599146536033402</v>
      </c>
      <c r="AR17" s="3456">
        <f t="shared" si="53"/>
        <v>102.3372843311283</v>
      </c>
    </row>
    <row r="18" spans="1:44" s="3183" customFormat="1" ht="12.75">
      <c r="A18" s="3174" t="s">
        <v>3363</v>
      </c>
      <c r="B18" s="3175">
        <v>2022</v>
      </c>
      <c r="C18" s="3176">
        <v>3</v>
      </c>
      <c r="D18" s="3177">
        <v>0.66</v>
      </c>
      <c r="E18" s="3177">
        <v>0.32</v>
      </c>
      <c r="F18" s="3177">
        <v>0.23</v>
      </c>
      <c r="G18" s="3177">
        <v>0.72</v>
      </c>
      <c r="H18" s="3194">
        <v>0.63</v>
      </c>
      <c r="I18" s="3178">
        <f t="shared" si="87"/>
        <v>0.23</v>
      </c>
      <c r="J18" s="3179"/>
      <c r="K18" s="3180">
        <f t="shared" si="88"/>
        <v>6.6E-3</v>
      </c>
      <c r="L18" s="3170">
        <f t="shared" si="88"/>
        <v>3.2000000000000002E-3</v>
      </c>
      <c r="M18" s="3170">
        <f t="shared" si="88"/>
        <v>2.3E-3</v>
      </c>
      <c r="N18" s="3170">
        <f t="shared" si="88"/>
        <v>7.1999999999999998E-3</v>
      </c>
      <c r="O18" s="3170">
        <f t="shared" si="88"/>
        <v>6.3E-3</v>
      </c>
      <c r="P18" s="3170">
        <f t="shared" si="108"/>
        <v>2.3E-3</v>
      </c>
      <c r="Q18" s="3179"/>
      <c r="R18" s="3181">
        <f>ROUND(IF(项目基本情况!$B$8="出让",SUMPRODUCT(PRODUCT(1+K18:$K$24)),SUMPRODUCT(PRODUCT(1+K18:$K$23))),4)</f>
        <v>1.05</v>
      </c>
      <c r="S18" s="3181">
        <f>ROUND(IF(项目基本情况!$B$8="出让",SUMPRODUCT(PRODUCT(1+L18:$L$24)),SUMPRODUCT(PRODUCT(1+L18:$L$23))),4)</f>
        <v>1.0229999999999999</v>
      </c>
      <c r="T18" s="3181">
        <f>ROUND(IF(项目基本情况!$B$8="出让",SUMPRODUCT(PRODUCT(1+M18:$M$24)),SUMPRODUCT(PRODUCT(1+M18:$M$23))),4)</f>
        <v>1.0134000000000001</v>
      </c>
      <c r="U18" s="3181">
        <f>ROUND(IF(项目基本情况!$B$8="出让",SUMPRODUCT(PRODUCT(1+N18:$N$24)),SUMPRODUCT(PRODUCT(1+N18:$N$23))),4)</f>
        <v>1.0545</v>
      </c>
      <c r="V18" s="3181">
        <f>ROUND(IF(项目基本情况!$B$8="出让",SUMPRODUCT(PRODUCT(1+O18:$O$24)),SUMPRODUCT(PRODUCT(1+O18:$O$23))),4)</f>
        <v>1.0447</v>
      </c>
      <c r="W18" s="3181">
        <f t="shared" si="107"/>
        <v>1.0134000000000001</v>
      </c>
      <c r="X18" s="3179"/>
      <c r="Y18" s="3182">
        <f>IF(D18=0,0,ROUND(AVERAGE(D18:D24)/100,4))</f>
        <v>8.3999999999999995E-3</v>
      </c>
      <c r="Z18" s="3182">
        <f t="shared" ref="Z18:AC18" si="110">IF(E18=0,0,ROUND(AVERAGE(E18:E24)/100,4))</f>
        <v>3.5000000000000001E-3</v>
      </c>
      <c r="AA18" s="3182">
        <f t="shared" si="110"/>
        <v>1.5E-3</v>
      </c>
      <c r="AB18" s="3182">
        <f t="shared" si="110"/>
        <v>9.1999999999999998E-3</v>
      </c>
      <c r="AC18" s="3182">
        <f t="shared" si="110"/>
        <v>6.7999999999999996E-3</v>
      </c>
      <c r="AD18" s="3182">
        <f t="shared" si="90"/>
        <v>1.5E-3</v>
      </c>
      <c r="AF18" s="3456">
        <f t="shared" si="30"/>
        <v>105</v>
      </c>
      <c r="AG18" s="3456">
        <f t="shared" si="31"/>
        <v>102.3</v>
      </c>
      <c r="AH18" s="3456">
        <f t="shared" si="32"/>
        <v>101.34</v>
      </c>
      <c r="AI18" s="3456">
        <f t="shared" si="33"/>
        <v>105.45</v>
      </c>
      <c r="AJ18" s="3456">
        <f t="shared" si="34"/>
        <v>104.47</v>
      </c>
      <c r="AK18" s="3456">
        <f t="shared" si="35"/>
        <v>101.34</v>
      </c>
      <c r="AM18" s="3456">
        <f t="shared" si="48"/>
        <v>99.318563966495518</v>
      </c>
      <c r="AN18" s="3456">
        <f t="shared" si="49"/>
        <v>98.947375381909353</v>
      </c>
      <c r="AO18" s="3456">
        <f t="shared" si="50"/>
        <v>102.22483701041683</v>
      </c>
      <c r="AP18" s="3456">
        <f t="shared" si="51"/>
        <v>98.742115520481747</v>
      </c>
      <c r="AQ18" s="3456">
        <f t="shared" si="52"/>
        <v>96.089870223847001</v>
      </c>
      <c r="AR18" s="3456">
        <f t="shared" si="53"/>
        <v>102.22483701041683</v>
      </c>
    </row>
    <row r="19" spans="1:44" s="3183" customFormat="1" ht="12.75">
      <c r="A19" s="3174" t="s">
        <v>3354</v>
      </c>
      <c r="B19" s="3175">
        <v>2022</v>
      </c>
      <c r="C19" s="3176">
        <v>2</v>
      </c>
      <c r="D19" s="3177">
        <v>0.93</v>
      </c>
      <c r="E19" s="3177">
        <v>0.15</v>
      </c>
      <c r="F19" s="3177">
        <v>0.01</v>
      </c>
      <c r="G19" s="3177">
        <v>1.05</v>
      </c>
      <c r="H19" s="3194">
        <v>1.08</v>
      </c>
      <c r="I19" s="3178">
        <f t="shared" si="87"/>
        <v>0.01</v>
      </c>
      <c r="J19" s="3179"/>
      <c r="K19" s="3180">
        <f t="shared" si="88"/>
        <v>9.300000000000001E-3</v>
      </c>
      <c r="L19" s="3170">
        <f t="shared" si="88"/>
        <v>1.5E-3</v>
      </c>
      <c r="M19" s="3170">
        <f t="shared" si="88"/>
        <v>1E-4</v>
      </c>
      <c r="N19" s="3170">
        <f t="shared" si="88"/>
        <v>1.0500000000000001E-2</v>
      </c>
      <c r="O19" s="3170">
        <f t="shared" si="88"/>
        <v>1.0800000000000001E-2</v>
      </c>
      <c r="P19" s="3170">
        <f t="shared" si="108"/>
        <v>1E-4</v>
      </c>
      <c r="Q19" s="3179"/>
      <c r="R19" s="3181">
        <f>ROUND(IF(项目基本情况!$B$8="出让",SUMPRODUCT(PRODUCT(1+K19:$K$24)),SUMPRODUCT(PRODUCT(1+K19:$K$23))),4)</f>
        <v>1.0430999999999999</v>
      </c>
      <c r="S19" s="3181">
        <f>ROUND(IF(项目基本情况!$B$8="出让",SUMPRODUCT(PRODUCT(1+L19:$L$24)),SUMPRODUCT(PRODUCT(1+L19:$L$23))),4)</f>
        <v>1.0197000000000001</v>
      </c>
      <c r="T19" s="3181">
        <f>ROUND(IF(项目基本情况!$B$8="出让",SUMPRODUCT(PRODUCT(1+M19:$M$24)),SUMPRODUCT(PRODUCT(1+M19:$M$23))),4)</f>
        <v>1.0109999999999999</v>
      </c>
      <c r="U19" s="3181">
        <f>ROUND(IF(项目基本情况!$B$8="出让",SUMPRODUCT(PRODUCT(1+N19:$N$24)),SUMPRODUCT(PRODUCT(1+N19:$N$23))),4)</f>
        <v>1.0468999999999999</v>
      </c>
      <c r="V19" s="3181">
        <f>ROUND(IF(项目基本情况!$B$8="出让",SUMPRODUCT(PRODUCT(1+O19:$O$24)),SUMPRODUCT(PRODUCT(1+O19:$O$23))),4)</f>
        <v>1.0382</v>
      </c>
      <c r="W19" s="3181">
        <f t="shared" si="107"/>
        <v>1.0109999999999999</v>
      </c>
      <c r="X19" s="3179"/>
      <c r="Y19" s="3182">
        <f>IF(D19=0,0,ROUND(AVERAGE(D19:D24)/100,4))</f>
        <v>8.6999999999999994E-3</v>
      </c>
      <c r="Z19" s="3182">
        <f t="shared" ref="Z19:AC19" si="111">IF(E19=0,0,ROUND(AVERAGE(E19:E24)/100,4))</f>
        <v>3.5000000000000001E-3</v>
      </c>
      <c r="AA19" s="3182">
        <f t="shared" si="111"/>
        <v>1.4E-3</v>
      </c>
      <c r="AB19" s="3182">
        <f t="shared" si="111"/>
        <v>9.4999999999999998E-3</v>
      </c>
      <c r="AC19" s="3182">
        <f t="shared" si="111"/>
        <v>6.8999999999999999E-3</v>
      </c>
      <c r="AD19" s="3182">
        <f t="shared" si="90"/>
        <v>1.4E-3</v>
      </c>
      <c r="AF19" s="3456">
        <f t="shared" si="30"/>
        <v>104.30999999999999</v>
      </c>
      <c r="AG19" s="3456">
        <f t="shared" si="31"/>
        <v>101.97</v>
      </c>
      <c r="AH19" s="3456">
        <f t="shared" si="32"/>
        <v>101.1</v>
      </c>
      <c r="AI19" s="3456">
        <f t="shared" si="33"/>
        <v>104.69</v>
      </c>
      <c r="AJ19" s="3456">
        <f t="shared" si="34"/>
        <v>103.82000000000001</v>
      </c>
      <c r="AK19" s="3456">
        <f t="shared" si="35"/>
        <v>101.1</v>
      </c>
      <c r="AM19" s="3456">
        <f t="shared" si="48"/>
        <v>98.667359394491882</v>
      </c>
      <c r="AN19" s="3456">
        <f t="shared" si="49"/>
        <v>98.631753769845844</v>
      </c>
      <c r="AO19" s="3456">
        <f t="shared" si="50"/>
        <v>101.99025941376517</v>
      </c>
      <c r="AP19" s="3456">
        <f t="shared" si="51"/>
        <v>98.036254488166932</v>
      </c>
      <c r="AQ19" s="3456">
        <f t="shared" si="52"/>
        <v>95.488293971824504</v>
      </c>
      <c r="AR19" s="3456">
        <f t="shared" si="53"/>
        <v>101.99025941376517</v>
      </c>
    </row>
    <row r="20" spans="1:44" s="3183" customFormat="1" ht="12.75">
      <c r="A20" s="3174" t="s">
        <v>2820</v>
      </c>
      <c r="B20" s="3175">
        <v>2022</v>
      </c>
      <c r="C20" s="3176">
        <v>1</v>
      </c>
      <c r="D20" s="3177">
        <v>0.89</v>
      </c>
      <c r="E20" s="3177">
        <v>0.44</v>
      </c>
      <c r="F20" s="3177">
        <v>0.37</v>
      </c>
      <c r="G20" s="3177">
        <v>0.96</v>
      </c>
      <c r="H20" s="3194">
        <v>0.64</v>
      </c>
      <c r="I20" s="3178">
        <f t="shared" si="87"/>
        <v>0.37</v>
      </c>
      <c r="J20" s="3179"/>
      <c r="K20" s="3180">
        <f t="shared" si="88"/>
        <v>8.8999999999999999E-3</v>
      </c>
      <c r="L20" s="3170">
        <f t="shared" si="88"/>
        <v>4.4000000000000003E-3</v>
      </c>
      <c r="M20" s="3170">
        <f t="shared" si="88"/>
        <v>3.7000000000000002E-3</v>
      </c>
      <c r="N20" s="3170">
        <f t="shared" si="88"/>
        <v>9.5999999999999992E-3</v>
      </c>
      <c r="O20" s="3170">
        <f t="shared" si="88"/>
        <v>6.4000000000000003E-3</v>
      </c>
      <c r="P20" s="3170">
        <f t="shared" si="108"/>
        <v>3.7000000000000002E-3</v>
      </c>
      <c r="Q20" s="3179"/>
      <c r="R20" s="3181">
        <f>ROUND(IF(项目基本情况!$B$8="出让",SUMPRODUCT(PRODUCT(1+K20:$K$24)),SUMPRODUCT(PRODUCT(1+K20:$K$23))),4)</f>
        <v>1.0335000000000001</v>
      </c>
      <c r="S20" s="3181">
        <f>ROUND(IF(项目基本情况!$B$8="出让",SUMPRODUCT(PRODUCT(1+L20:$L$24)),SUMPRODUCT(PRODUCT(1+L20:$L$23))),4)</f>
        <v>1.0182</v>
      </c>
      <c r="T20" s="3181">
        <f>ROUND(IF(项目基本情况!$B$8="出让",SUMPRODUCT(PRODUCT(1+M20:$M$24)),SUMPRODUCT(PRODUCT(1+M20:$M$23))),4)</f>
        <v>1.0108999999999999</v>
      </c>
      <c r="U20" s="3181">
        <f>ROUND(IF(项目基本情况!$B$8="出让",SUMPRODUCT(PRODUCT(1+N20:$N$24)),SUMPRODUCT(PRODUCT(1+N20:$N$23))),4)</f>
        <v>1.0361</v>
      </c>
      <c r="V20" s="3181">
        <f>ROUND(IF(项目基本情况!$B$8="出让",SUMPRODUCT(PRODUCT(1+O20:$O$24)),SUMPRODUCT(PRODUCT(1+O20:$O$23))),4)</f>
        <v>1.0270999999999999</v>
      </c>
      <c r="W20" s="3181">
        <f t="shared" si="107"/>
        <v>1.0108999999999999</v>
      </c>
      <c r="X20" s="3179"/>
      <c r="Y20" s="3182">
        <f>IF(D20=0,0,ROUND(AVERAGE(D20:D24)/100,4))</f>
        <v>8.6E-3</v>
      </c>
      <c r="Z20" s="3182">
        <f t="shared" ref="Z20:AC20" si="112">IF(E20=0,0,ROUND(AVERAGE(E20:E24)/100,4))</f>
        <v>3.8999999999999998E-3</v>
      </c>
      <c r="AA20" s="3182">
        <f t="shared" si="112"/>
        <v>1.6999999999999999E-3</v>
      </c>
      <c r="AB20" s="3182">
        <f t="shared" si="112"/>
        <v>9.2999999999999992E-3</v>
      </c>
      <c r="AC20" s="3182">
        <f t="shared" si="112"/>
        <v>6.1000000000000004E-3</v>
      </c>
      <c r="AD20" s="3182">
        <f t="shared" si="90"/>
        <v>1.6999999999999999E-3</v>
      </c>
      <c r="AF20" s="3456">
        <f t="shared" si="30"/>
        <v>103.35000000000001</v>
      </c>
      <c r="AG20" s="3456">
        <f t="shared" si="31"/>
        <v>101.82</v>
      </c>
      <c r="AH20" s="3456">
        <f t="shared" si="32"/>
        <v>101.08999999999999</v>
      </c>
      <c r="AI20" s="3456">
        <f t="shared" si="33"/>
        <v>103.61</v>
      </c>
      <c r="AJ20" s="3456">
        <f t="shared" si="34"/>
        <v>102.71</v>
      </c>
      <c r="AK20" s="3456">
        <f t="shared" si="35"/>
        <v>101.08999999999999</v>
      </c>
      <c r="AM20" s="3456">
        <f t="shared" si="48"/>
        <v>97.758208059538163</v>
      </c>
      <c r="AN20" s="3456">
        <f t="shared" si="49"/>
        <v>98.484027728253452</v>
      </c>
      <c r="AO20" s="3456">
        <f t="shared" si="50"/>
        <v>101.98006140762442</v>
      </c>
      <c r="AP20" s="3456">
        <f t="shared" si="51"/>
        <v>97.017570003134026</v>
      </c>
      <c r="AQ20" s="3456">
        <f t="shared" si="52"/>
        <v>94.468039149015155</v>
      </c>
      <c r="AR20" s="3456">
        <f t="shared" si="53"/>
        <v>101.98006140762442</v>
      </c>
    </row>
    <row r="21" spans="1:44" s="3183" customFormat="1" ht="12.75">
      <c r="A21" s="3174" t="s">
        <v>2821</v>
      </c>
      <c r="B21" s="3175">
        <v>2021</v>
      </c>
      <c r="C21" s="3176">
        <v>4</v>
      </c>
      <c r="D21" s="3177">
        <v>1.03</v>
      </c>
      <c r="E21" s="3177">
        <v>0.24</v>
      </c>
      <c r="F21" s="3177">
        <v>7.0000000000000007E-2</v>
      </c>
      <c r="G21" s="3177">
        <v>1.17</v>
      </c>
      <c r="H21" s="3194">
        <v>0.55000000000000004</v>
      </c>
      <c r="I21" s="3178">
        <f t="shared" si="87"/>
        <v>7.0000000000000007E-2</v>
      </c>
      <c r="J21" s="3179"/>
      <c r="K21" s="3180">
        <f t="shared" si="88"/>
        <v>1.03E-2</v>
      </c>
      <c r="L21" s="3170">
        <f t="shared" si="88"/>
        <v>2.3999999999999998E-3</v>
      </c>
      <c r="M21" s="3170">
        <f t="shared" si="88"/>
        <v>7.000000000000001E-4</v>
      </c>
      <c r="N21" s="3170">
        <f t="shared" si="88"/>
        <v>1.1699999999999999E-2</v>
      </c>
      <c r="O21" s="3170">
        <f t="shared" si="88"/>
        <v>5.5000000000000005E-3</v>
      </c>
      <c r="P21" s="3170">
        <f t="shared" si="108"/>
        <v>7.000000000000001E-4</v>
      </c>
      <c r="Q21" s="3179"/>
      <c r="R21" s="3181">
        <f>ROUND(IF(项目基本情况!$B$8="出让",SUMPRODUCT(PRODUCT(1+K21:$K$24)),SUMPRODUCT(PRODUCT(1+K21:$K$23))),4)</f>
        <v>1.0244</v>
      </c>
      <c r="S21" s="3181">
        <f>ROUND(IF(项目基本情况!$B$8="出让",SUMPRODUCT(PRODUCT(1+L21:$L$24)),SUMPRODUCT(PRODUCT(1+L21:$L$23))),4)</f>
        <v>1.0138</v>
      </c>
      <c r="T21" s="3181">
        <f>ROUND(IF(项目基本情况!$B$8="出让",SUMPRODUCT(PRODUCT(1+M21:$M$24)),SUMPRODUCT(PRODUCT(1+M21:$M$23))),4)</f>
        <v>1.0072000000000001</v>
      </c>
      <c r="U21" s="3181">
        <f>ROUND(IF(项目基本情况!$B$8="出让",SUMPRODUCT(PRODUCT(1+N21:$N$24)),SUMPRODUCT(PRODUCT(1+N21:$N$23))),4)</f>
        <v>1.0262</v>
      </c>
      <c r="V21" s="3181">
        <f>ROUND(IF(项目基本情况!$B$8="出让",SUMPRODUCT(PRODUCT(1+O21:$O$24)),SUMPRODUCT(PRODUCT(1+O21:$O$23))),4)</f>
        <v>1.0205</v>
      </c>
      <c r="W21" s="3181">
        <f t="shared" si="107"/>
        <v>1.0072000000000001</v>
      </c>
      <c r="X21" s="3179"/>
      <c r="Y21" s="3182">
        <f>IF(D21=0,0,ROUND(AVERAGE(D21:D24)/100,4))</f>
        <v>8.5000000000000006E-3</v>
      </c>
      <c r="Z21" s="3182">
        <f t="shared" ref="Z21:AC21" si="113">IF(E21=0,0,ROUND(AVERAGE(E21:E24)/100,4))</f>
        <v>3.8E-3</v>
      </c>
      <c r="AA21" s="3182">
        <f t="shared" si="113"/>
        <v>1.1999999999999999E-3</v>
      </c>
      <c r="AB21" s="3182">
        <f t="shared" si="113"/>
        <v>9.2999999999999992E-3</v>
      </c>
      <c r="AC21" s="3182">
        <f t="shared" si="113"/>
        <v>6.0000000000000001E-3</v>
      </c>
      <c r="AD21" s="3182">
        <f t="shared" si="90"/>
        <v>1.1999999999999999E-3</v>
      </c>
      <c r="AF21" s="3456">
        <f t="shared" si="30"/>
        <v>102.44</v>
      </c>
      <c r="AG21" s="3456">
        <f t="shared" si="31"/>
        <v>101.38000000000001</v>
      </c>
      <c r="AH21" s="3456">
        <f t="shared" si="32"/>
        <v>100.72000000000001</v>
      </c>
      <c r="AI21" s="3456">
        <f t="shared" si="33"/>
        <v>102.62</v>
      </c>
      <c r="AJ21" s="3456">
        <f t="shared" si="34"/>
        <v>102.05</v>
      </c>
      <c r="AK21" s="3456">
        <f t="shared" si="35"/>
        <v>100.72000000000001</v>
      </c>
      <c r="AM21" s="3456">
        <f t="shared" si="48"/>
        <v>96.895835126908679</v>
      </c>
      <c r="AN21" s="3456">
        <f t="shared" si="49"/>
        <v>98.0525963045136</v>
      </c>
      <c r="AO21" s="3456">
        <f t="shared" si="50"/>
        <v>101.60412614090308</v>
      </c>
      <c r="AP21" s="3456">
        <f t="shared" si="51"/>
        <v>96.095057451598677</v>
      </c>
      <c r="AQ21" s="3456">
        <f t="shared" si="52"/>
        <v>93.867288502598527</v>
      </c>
      <c r="AR21" s="3456">
        <f t="shared" si="53"/>
        <v>101.60412614090308</v>
      </c>
    </row>
    <row r="22" spans="1:44" s="3183" customFormat="1" ht="12.75">
      <c r="A22" s="3174" t="s">
        <v>2822</v>
      </c>
      <c r="B22" s="3175">
        <v>2021</v>
      </c>
      <c r="C22" s="3176">
        <v>3</v>
      </c>
      <c r="D22" s="3177">
        <v>0.47</v>
      </c>
      <c r="E22" s="3177">
        <v>0.41</v>
      </c>
      <c r="F22" s="3177">
        <v>0.24</v>
      </c>
      <c r="G22" s="3177">
        <v>0.48</v>
      </c>
      <c r="H22" s="3194">
        <v>0.48</v>
      </c>
      <c r="I22" s="3178">
        <f t="shared" si="87"/>
        <v>0.24</v>
      </c>
      <c r="J22" s="3179"/>
      <c r="K22" s="3180">
        <f t="shared" si="88"/>
        <v>4.6999999999999993E-3</v>
      </c>
      <c r="L22" s="3170">
        <f t="shared" si="88"/>
        <v>4.0999999999999995E-3</v>
      </c>
      <c r="M22" s="3170">
        <f t="shared" si="88"/>
        <v>2.3999999999999998E-3</v>
      </c>
      <c r="N22" s="3170">
        <f t="shared" si="88"/>
        <v>4.7999999999999996E-3</v>
      </c>
      <c r="O22" s="3170">
        <f t="shared" si="88"/>
        <v>4.7999999999999996E-3</v>
      </c>
      <c r="P22" s="3170">
        <f t="shared" si="108"/>
        <v>2.3999999999999998E-3</v>
      </c>
      <c r="Q22" s="3179"/>
      <c r="R22" s="3181">
        <f>ROUND(IF(项目基本情况!$B$8="出让",SUMPRODUCT(PRODUCT(1+K22:$K$24)),SUMPRODUCT(PRODUCT(1+K22:$K$23))),4)</f>
        <v>1.0139</v>
      </c>
      <c r="S22" s="3181">
        <f>ROUND(IF(项目基本情况!$B$8="出让",SUMPRODUCT(PRODUCT(1+L22:$L$24)),SUMPRODUCT(PRODUCT(1+L22:$L$23))),4)</f>
        <v>1.0113000000000001</v>
      </c>
      <c r="T22" s="3181">
        <f>ROUND(IF(项目基本情况!$B$8="出让",SUMPRODUCT(PRODUCT(1+M22:$M$24)),SUMPRODUCT(PRODUCT(1+M22:$M$23))),4)</f>
        <v>1.0065</v>
      </c>
      <c r="U22" s="3181">
        <f>ROUND(IF(项目基本情况!$B$8="出让",SUMPRODUCT(PRODUCT(1+N22:$N$24)),SUMPRODUCT(PRODUCT(1+N22:$N$23))),4)</f>
        <v>1.0143</v>
      </c>
      <c r="V22" s="3181">
        <f>ROUND(IF(项目基本情况!$B$8="出让",SUMPRODUCT(PRODUCT(1+O22:$O$24)),SUMPRODUCT(PRODUCT(1+O22:$O$23))),4)</f>
        <v>1.0148999999999999</v>
      </c>
      <c r="W22" s="3181">
        <f t="shared" si="107"/>
        <v>1.0065</v>
      </c>
      <c r="X22" s="3179"/>
      <c r="Y22" s="3182">
        <f>IF(D22=0,0,ROUND(AVERAGE(D22:D24)/100,4))</f>
        <v>7.9000000000000008E-3</v>
      </c>
      <c r="Z22" s="3182">
        <f>IF(E22=0,0,ROUND(AVERAGE(E22:E24)/100,4))</f>
        <v>4.3E-3</v>
      </c>
      <c r="AA22" s="3182">
        <f>IF(F22=0,0,ROUND(AVERAGE(F22:F24)/100,4))</f>
        <v>1.2999999999999999E-3</v>
      </c>
      <c r="AB22" s="3182">
        <f>IF(G22=0,0,ROUND(AVERAGE(G22:G24)/100,4))</f>
        <v>8.5000000000000006E-3</v>
      </c>
      <c r="AC22" s="3182">
        <f>IF(H22=0,0,ROUND(AVERAGE(H22:H24)/100,4))</f>
        <v>6.1999999999999998E-3</v>
      </c>
      <c r="AD22" s="3182">
        <f t="shared" si="90"/>
        <v>1.2999999999999999E-3</v>
      </c>
      <c r="AF22" s="3456">
        <f t="shared" si="30"/>
        <v>101.39</v>
      </c>
      <c r="AG22" s="3456">
        <f t="shared" si="31"/>
        <v>101.13000000000001</v>
      </c>
      <c r="AH22" s="3456">
        <f t="shared" si="32"/>
        <v>100.64999999999999</v>
      </c>
      <c r="AI22" s="3456">
        <f t="shared" si="33"/>
        <v>101.42999999999999</v>
      </c>
      <c r="AJ22" s="3456">
        <f t="shared" si="34"/>
        <v>101.49</v>
      </c>
      <c r="AK22" s="3456">
        <f t="shared" si="35"/>
        <v>100.64999999999999</v>
      </c>
      <c r="AM22" s="3456">
        <f t="shared" si="48"/>
        <v>95.907982903007706</v>
      </c>
      <c r="AN22" s="3456">
        <f t="shared" si="49"/>
        <v>97.81783350410376</v>
      </c>
      <c r="AO22" s="3456">
        <f t="shared" si="50"/>
        <v>101.53305300380042</v>
      </c>
      <c r="AP22" s="3456">
        <f t="shared" si="51"/>
        <v>94.983747604624568</v>
      </c>
      <c r="AQ22" s="3456">
        <f t="shared" si="52"/>
        <v>93.353842369565911</v>
      </c>
      <c r="AR22" s="3456">
        <f t="shared" si="53"/>
        <v>101.53305300380042</v>
      </c>
    </row>
    <row r="23" spans="1:44" s="3183" customFormat="1" ht="12.75">
      <c r="A23" s="3174" t="s">
        <v>2823</v>
      </c>
      <c r="B23" s="3175">
        <v>2021</v>
      </c>
      <c r="C23" s="3176">
        <v>2</v>
      </c>
      <c r="D23" s="3177">
        <v>0.92</v>
      </c>
      <c r="E23" s="3177">
        <v>0.72</v>
      </c>
      <c r="F23" s="3177">
        <v>0.41</v>
      </c>
      <c r="G23" s="3177">
        <v>0.95</v>
      </c>
      <c r="H23" s="3194">
        <v>1.01</v>
      </c>
      <c r="I23" s="3178">
        <f t="shared" si="87"/>
        <v>0.41</v>
      </c>
      <c r="J23" s="3179"/>
      <c r="K23" s="3180">
        <f t="shared" si="88"/>
        <v>9.1999999999999998E-3</v>
      </c>
      <c r="L23" s="3170">
        <f t="shared" si="88"/>
        <v>7.1999999999999998E-3</v>
      </c>
      <c r="M23" s="3170">
        <f t="shared" si="88"/>
        <v>4.0999999999999995E-3</v>
      </c>
      <c r="N23" s="3170">
        <f t="shared" si="88"/>
        <v>9.4999999999999998E-3</v>
      </c>
      <c r="O23" s="3170">
        <f t="shared" si="88"/>
        <v>1.01E-2</v>
      </c>
      <c r="P23" s="3170">
        <f t="shared" si="108"/>
        <v>4.0999999999999995E-3</v>
      </c>
      <c r="Q23" s="3179"/>
      <c r="R23" s="3181">
        <f>ROUND(IF(项目基本情况!$B$8="出让",SUMPRODUCT(PRODUCT(1+K23:$K$24)),SUMPRODUCT(PRODUCT(1+K23:$K$23))),4)</f>
        <v>1.0092000000000001</v>
      </c>
      <c r="S23" s="3181">
        <f>ROUND(IF(项目基本情况!$B$8="出让",SUMPRODUCT(PRODUCT(1+L23:$L$24)),SUMPRODUCT(PRODUCT(1+L23:$L$23))),4)</f>
        <v>1.0072000000000001</v>
      </c>
      <c r="T23" s="3181">
        <f>ROUND(IF(项目基本情况!$B$8="出让",SUMPRODUCT(PRODUCT(1+M23:$M$24)),SUMPRODUCT(PRODUCT(1+M23:$M$23))),4)</f>
        <v>1.0041</v>
      </c>
      <c r="U23" s="3181">
        <f>ROUND(IF(项目基本情况!$B$8="出让",SUMPRODUCT(PRODUCT(1+N23:$N$24)),SUMPRODUCT(PRODUCT(1+N23:$N$23))),4)</f>
        <v>1.0095000000000001</v>
      </c>
      <c r="V23" s="3181">
        <f>ROUND(IF(项目基本情况!$B$8="出让",SUMPRODUCT(PRODUCT(1+O23:$O$24)),SUMPRODUCT(PRODUCT(1+O23:$O$23))),4)</f>
        <v>1.0101</v>
      </c>
      <c r="W23" s="3181">
        <f t="shared" si="107"/>
        <v>1.0041</v>
      </c>
      <c r="X23" s="3179"/>
      <c r="Y23" s="3182">
        <f>IF(D23=0,0,ROUND(AVERAGE(D23:D24)/100,4))</f>
        <v>9.4999999999999998E-3</v>
      </c>
      <c r="Z23" s="3182">
        <f>IF(E23=0,0,ROUND(AVERAGE(E23:E24)/100,4))</f>
        <v>4.4000000000000003E-3</v>
      </c>
      <c r="AA23" s="3182">
        <f>IF(F23=0,0,ROUND(AVERAGE(F23:F24)/100,4))</f>
        <v>8.0000000000000004E-4</v>
      </c>
      <c r="AB23" s="3182">
        <f>IF(G23=0,0,ROUND(AVERAGE(G23:G24)/100,4))</f>
        <v>1.03E-2</v>
      </c>
      <c r="AC23" s="3182">
        <f>IF(H23=0,0,ROUND(AVERAGE(H23:H24)/100,4))</f>
        <v>6.8999999999999999E-3</v>
      </c>
      <c r="AD23" s="3182">
        <f t="shared" si="90"/>
        <v>8.0000000000000004E-4</v>
      </c>
      <c r="AF23" s="3456">
        <f t="shared" si="30"/>
        <v>100.92000000000002</v>
      </c>
      <c r="AG23" s="3456">
        <f t="shared" si="31"/>
        <v>100.72000000000001</v>
      </c>
      <c r="AH23" s="3456">
        <f t="shared" si="32"/>
        <v>100.41</v>
      </c>
      <c r="AI23" s="3456">
        <f t="shared" si="33"/>
        <v>100.95</v>
      </c>
      <c r="AJ23" s="3456">
        <f t="shared" si="34"/>
        <v>101.01</v>
      </c>
      <c r="AK23" s="3456">
        <f t="shared" si="35"/>
        <v>100.41</v>
      </c>
      <c r="AM23" s="3456">
        <f t="shared" si="48"/>
        <v>95.459324079832498</v>
      </c>
      <c r="AN23" s="3456">
        <f t="shared" si="49"/>
        <v>97.418417990343357</v>
      </c>
      <c r="AO23" s="3456">
        <f t="shared" si="50"/>
        <v>101.28995710674424</v>
      </c>
      <c r="AP23" s="3456">
        <f t="shared" si="51"/>
        <v>94.530003587405034</v>
      </c>
      <c r="AQ23" s="3456">
        <f t="shared" si="52"/>
        <v>92.907884523851436</v>
      </c>
      <c r="AR23" s="3456">
        <f t="shared" si="53"/>
        <v>101.28995710674424</v>
      </c>
    </row>
    <row r="24" spans="1:44" s="3205" customFormat="1" ht="14.25" thickBot="1">
      <c r="A24" s="3195" t="s">
        <v>2824</v>
      </c>
      <c r="B24" s="3196">
        <v>2021</v>
      </c>
      <c r="C24" s="3197">
        <v>1</v>
      </c>
      <c r="D24" s="3198">
        <v>0.97</v>
      </c>
      <c r="E24" s="3198">
        <v>0.16</v>
      </c>
      <c r="F24" s="3198">
        <v>-0.25</v>
      </c>
      <c r="G24" s="3198">
        <v>1.1100000000000001</v>
      </c>
      <c r="H24" s="3199">
        <v>0.36</v>
      </c>
      <c r="I24" s="3200">
        <f t="shared" si="87"/>
        <v>-0.25</v>
      </c>
      <c r="J24" s="3201"/>
      <c r="K24" s="3202">
        <f t="shared" si="88"/>
        <v>9.7000000000000003E-3</v>
      </c>
      <c r="L24" s="3203">
        <f t="shared" si="88"/>
        <v>1.6000000000000001E-3</v>
      </c>
      <c r="M24" s="3203">
        <f>F24/100</f>
        <v>-2.5000000000000001E-3</v>
      </c>
      <c r="N24" s="3203">
        <f t="shared" si="88"/>
        <v>1.11E-2</v>
      </c>
      <c r="O24" s="3203">
        <f t="shared" si="88"/>
        <v>3.5999999999999999E-3</v>
      </c>
      <c r="P24" s="3203">
        <f t="shared" si="108"/>
        <v>-2.5000000000000001E-3</v>
      </c>
      <c r="Q24" s="3201"/>
      <c r="R24" s="3204">
        <v>1</v>
      </c>
      <c r="S24" s="3204">
        <v>1</v>
      </c>
      <c r="T24" s="3204">
        <v>1</v>
      </c>
      <c r="U24" s="3204">
        <v>1</v>
      </c>
      <c r="V24" s="3204">
        <v>1</v>
      </c>
      <c r="W24" s="3204">
        <f t="shared" ref="W24" si="114">T24</f>
        <v>1</v>
      </c>
      <c r="X24" s="3201"/>
      <c r="Y24" s="3203">
        <f>IF(D24=0,0,ROUND(AVERAGE(D24:D24)/100,4))</f>
        <v>9.7000000000000003E-3</v>
      </c>
      <c r="Z24" s="3203">
        <f>IF(E24=0,0,ROUND(AVERAGE(E24:E24)/100,4))</f>
        <v>1.6000000000000001E-3</v>
      </c>
      <c r="AA24" s="3203">
        <f>IF(F24=0,0,ROUND(AVERAGE(F24:F24)/100,4))</f>
        <v>-2.5000000000000001E-3</v>
      </c>
      <c r="AB24" s="3203">
        <f>IF(G24=0,0,ROUND(AVERAGE(G24:G24)/100,4))</f>
        <v>1.11E-2</v>
      </c>
      <c r="AC24" s="3203">
        <f>IF(H24=0,0,ROUND(AVERAGE(H24:H24)/100,4))</f>
        <v>3.5999999999999999E-3</v>
      </c>
      <c r="AD24" s="3203">
        <f>AA24</f>
        <v>-2.5000000000000001E-3</v>
      </c>
      <c r="AF24" s="3464">
        <v>100</v>
      </c>
      <c r="AG24" s="3464">
        <v>100</v>
      </c>
      <c r="AH24" s="3464">
        <v>100</v>
      </c>
      <c r="AI24" s="3464">
        <v>100</v>
      </c>
      <c r="AJ24" s="3464">
        <v>100</v>
      </c>
      <c r="AK24" s="3464">
        <v>100</v>
      </c>
      <c r="AM24" s="3463">
        <f t="shared" si="48"/>
        <v>94.589104320087685</v>
      </c>
      <c r="AN24" s="3463">
        <f t="shared" si="49"/>
        <v>96.722019450301175</v>
      </c>
      <c r="AO24" s="3463">
        <f t="shared" si="50"/>
        <v>100.87636401428567</v>
      </c>
      <c r="AP24" s="3463">
        <f t="shared" si="51"/>
        <v>93.640419601193685</v>
      </c>
      <c r="AQ24" s="3463">
        <f t="shared" si="52"/>
        <v>91.978897657510586</v>
      </c>
      <c r="AR24" s="3463">
        <f t="shared" si="53"/>
        <v>100.87636401428567</v>
      </c>
    </row>
    <row r="25" spans="1:44" s="3007" customFormat="1" ht="14.25" thickTop="1"/>
    <row r="26" spans="1:44" s="3007" customFormat="1">
      <c r="A26" s="3446" t="s">
        <v>3380</v>
      </c>
    </row>
    <row r="27" spans="1:44" s="3007" customFormat="1">
      <c r="I27" s="3206" t="s">
        <v>2825</v>
      </c>
    </row>
    <row r="28" spans="1:44" s="3007" customFormat="1"/>
    <row r="29" spans="1:44" s="3207" customFormat="1" ht="12.75">
      <c r="B29" s="3208" t="s">
        <v>3378</v>
      </c>
      <c r="C29" s="3209"/>
      <c r="D29" s="3209"/>
      <c r="E29" s="3209"/>
      <c r="F29" s="3209"/>
      <c r="G29" s="3209"/>
      <c r="H29" s="3209"/>
      <c r="I29" s="3209"/>
      <c r="J29" s="3163"/>
      <c r="K29" s="3209" t="s">
        <v>2826</v>
      </c>
      <c r="L29" s="3209"/>
      <c r="M29" s="3209"/>
      <c r="N29" s="3209"/>
      <c r="O29" s="3209"/>
      <c r="P29" s="3209"/>
      <c r="Q29" s="3163"/>
      <c r="R29" s="3825" t="s">
        <v>2827</v>
      </c>
      <c r="S29" s="3826"/>
      <c r="T29" s="3826"/>
      <c r="U29" s="3826"/>
      <c r="V29" s="3826"/>
      <c r="W29" s="3826"/>
      <c r="X29" s="3163"/>
      <c r="Y29" s="3825" t="s">
        <v>2828</v>
      </c>
      <c r="Z29" s="3826"/>
      <c r="AA29" s="3826"/>
      <c r="AB29" s="3826"/>
      <c r="AC29" s="3826"/>
      <c r="AD29" s="3826"/>
    </row>
    <row r="30" spans="1:44" s="3141" customFormat="1" ht="14.25" thickBot="1">
      <c r="B30" s="3142"/>
      <c r="C30" s="3143"/>
      <c r="D30" s="3144" t="s">
        <v>2829</v>
      </c>
      <c r="E30" s="3145" t="s">
        <v>2830</v>
      </c>
      <c r="F30" s="3145" t="s">
        <v>2831</v>
      </c>
      <c r="G30" s="3145" t="s">
        <v>2832</v>
      </c>
      <c r="H30" s="3145"/>
      <c r="I30" s="3145" t="s">
        <v>2833</v>
      </c>
      <c r="J30" s="3146"/>
      <c r="K30" s="3144" t="s">
        <v>2829</v>
      </c>
      <c r="L30" s="3145" t="s">
        <v>2830</v>
      </c>
      <c r="M30" s="3145" t="s">
        <v>2831</v>
      </c>
      <c r="N30" s="3145" t="s">
        <v>2832</v>
      </c>
      <c r="O30" s="3145"/>
      <c r="P30" s="3145" t="s">
        <v>2833</v>
      </c>
      <c r="Q30" s="3146"/>
      <c r="R30" s="3144" t="s">
        <v>2829</v>
      </c>
      <c r="S30" s="3145" t="s">
        <v>2830</v>
      </c>
      <c r="T30" s="3145" t="s">
        <v>2831</v>
      </c>
      <c r="U30" s="3145" t="s">
        <v>2832</v>
      </c>
      <c r="V30" s="3145"/>
      <c r="W30" s="3145" t="s">
        <v>2833</v>
      </c>
      <c r="X30" s="3146"/>
      <c r="Y30" s="3144" t="s">
        <v>2829</v>
      </c>
      <c r="Z30" s="3145" t="s">
        <v>2830</v>
      </c>
      <c r="AA30" s="3145" t="s">
        <v>2831</v>
      </c>
      <c r="AB30" s="3145" t="s">
        <v>2832</v>
      </c>
      <c r="AC30" s="3145"/>
      <c r="AD30" s="3145" t="s">
        <v>2833</v>
      </c>
      <c r="AG30" t="s">
        <v>673</v>
      </c>
      <c r="AH30" t="s">
        <v>21</v>
      </c>
      <c r="AI30" t="s">
        <v>3405</v>
      </c>
      <c r="AJ30"/>
      <c r="AK30" t="s">
        <v>3406</v>
      </c>
      <c r="AN30" t="s">
        <v>673</v>
      </c>
      <c r="AO30" t="s">
        <v>21</v>
      </c>
      <c r="AP30" t="s">
        <v>3405</v>
      </c>
      <c r="AQ30"/>
      <c r="AR30" t="s">
        <v>3406</v>
      </c>
    </row>
    <row r="31" spans="1:44" s="3159" customFormat="1" ht="12.75">
      <c r="A31" s="3147" t="s">
        <v>2834</v>
      </c>
      <c r="B31" s="3148"/>
      <c r="C31" s="3149"/>
      <c r="D31" s="3149"/>
      <c r="E31" s="3149">
        <f t="shared" ref="E31:G31" si="115">ROUND(AVERAGEIF(E32:E52,"&lt;&gt;0"),2)</f>
        <v>0.11</v>
      </c>
      <c r="F31" s="3149">
        <f t="shared" si="115"/>
        <v>7.0000000000000007E-2</v>
      </c>
      <c r="G31" s="3149">
        <f t="shared" si="115"/>
        <v>0.26</v>
      </c>
      <c r="H31" s="3149"/>
      <c r="I31" s="3149">
        <f>F31</f>
        <v>7.0000000000000007E-2</v>
      </c>
      <c r="J31" s="3150"/>
      <c r="K31" s="3151"/>
      <c r="L31" s="3152">
        <f t="shared" ref="L31:N31" si="116">ROUND(AVERAGEIF(L32:L52,"&lt;&gt;0"),4)</f>
        <v>1.1000000000000001E-3</v>
      </c>
      <c r="M31" s="3152">
        <f t="shared" si="116"/>
        <v>6.9999999999999999E-4</v>
      </c>
      <c r="N31" s="3152">
        <f t="shared" si="116"/>
        <v>2.5999999999999999E-3</v>
      </c>
      <c r="O31" s="3152"/>
      <c r="P31" s="3152">
        <f>M31</f>
        <v>6.9999999999999999E-4</v>
      </c>
      <c r="Q31" s="3150"/>
      <c r="R31" s="3153"/>
      <c r="S31" s="3154">
        <f>ROUND(SUMPRODUCT(PRODUCT(1+L32:L52)),4)</f>
        <v>1.0185</v>
      </c>
      <c r="T31" s="3154">
        <f t="shared" ref="T31:U31" si="117">ROUND(SUMPRODUCT(PRODUCT(1+M32:M52)),4)</f>
        <v>1.012</v>
      </c>
      <c r="U31" s="3154">
        <f t="shared" si="117"/>
        <v>1.0436000000000001</v>
      </c>
      <c r="V31" s="3154"/>
      <c r="W31" s="3153">
        <f>T31</f>
        <v>1.012</v>
      </c>
      <c r="X31" s="3150"/>
      <c r="Y31" s="3155"/>
      <c r="Z31" s="3156">
        <f t="shared" ref="Z31:AB31" si="118">ROUND(AVERAGEIF(Z32:Z52,"&lt;&gt;0"),4)</f>
        <v>3.5999999999999999E-3</v>
      </c>
      <c r="AA31" s="3157">
        <f t="shared" si="118"/>
        <v>3.0000000000000001E-3</v>
      </c>
      <c r="AB31" s="3155">
        <f t="shared" si="118"/>
        <v>7.0000000000000001E-3</v>
      </c>
      <c r="AC31" s="3158"/>
      <c r="AD31" s="3155">
        <f>AA31</f>
        <v>3.0000000000000001E-3</v>
      </c>
    </row>
    <row r="32" spans="1:44" s="3160" customFormat="1" ht="12.75">
      <c r="B32" s="3161"/>
      <c r="C32" s="3162"/>
      <c r="D32" s="3162"/>
      <c r="E32" s="3162"/>
      <c r="F32" s="3162"/>
      <c r="G32" s="3162"/>
      <c r="H32" s="3162"/>
      <c r="I32" s="3162"/>
      <c r="J32" s="3163"/>
      <c r="K32" s="3164"/>
      <c r="L32" s="3165"/>
      <c r="M32" s="3165"/>
      <c r="N32" s="3165"/>
      <c r="O32" s="3165"/>
      <c r="P32" s="3165"/>
      <c r="Q32" s="3163"/>
      <c r="R32" s="3166"/>
      <c r="S32" s="3167"/>
      <c r="T32" s="3168"/>
      <c r="U32" s="3166"/>
      <c r="V32" s="3169"/>
      <c r="W32" s="3166"/>
      <c r="X32" s="3163"/>
      <c r="Y32" s="3170"/>
      <c r="Z32" s="3171"/>
      <c r="AA32" s="3172"/>
      <c r="AB32" s="3170"/>
      <c r="AC32" s="3173"/>
      <c r="AD32" s="3170"/>
    </row>
    <row r="33" spans="1:44" s="3183" customFormat="1">
      <c r="A33" s="2204" t="s">
        <v>3403</v>
      </c>
      <c r="B33" s="3175">
        <v>2025</v>
      </c>
      <c r="C33" s="3176">
        <v>4</v>
      </c>
      <c r="D33" s="3177"/>
      <c r="E33" s="3177">
        <v>0</v>
      </c>
      <c r="F33" s="3177">
        <v>0</v>
      </c>
      <c r="G33" s="3177">
        <v>0</v>
      </c>
      <c r="H33" s="3177"/>
      <c r="I33" s="3178">
        <f t="shared" ref="I33" si="119">F33</f>
        <v>0</v>
      </c>
      <c r="J33" s="3179"/>
      <c r="K33" s="3180"/>
      <c r="L33" s="3170">
        <f t="shared" ref="L33" si="120">E33/100</f>
        <v>0</v>
      </c>
      <c r="M33" s="3170">
        <f t="shared" ref="M33" si="121">F33/100</f>
        <v>0</v>
      </c>
      <c r="N33" s="3170">
        <f t="shared" ref="N33" si="122">G33/100</f>
        <v>0</v>
      </c>
      <c r="O33" s="3170"/>
      <c r="P33" s="3170">
        <f t="shared" ref="P33:P39" si="123">M33</f>
        <v>0</v>
      </c>
      <c r="Q33" s="3179"/>
      <c r="R33" s="3181"/>
      <c r="S33" s="3181">
        <f>ROUND(IF(项目基本情况!$B$8="出让",SUMPRODUCT(PRODUCT(1+L33:L$52)),SUMPRODUCT(PRODUCT(1+L33:L$51))),4)</f>
        <v>1.0148999999999999</v>
      </c>
      <c r="T33" s="3181">
        <f>ROUND(IF(项目基本情况!$B$8="出让",SUMPRODUCT(PRODUCT(1+M33:M$52)),SUMPRODUCT(PRODUCT(1+M33:M$51))),4)</f>
        <v>1.0072000000000001</v>
      </c>
      <c r="U33" s="3181">
        <f>ROUND(IF(项目基本情况!$B$8="出让",SUMPRODUCT(PRODUCT(1+N33:N$52)),SUMPRODUCT(PRODUCT(1+N33:N$51))),4)</f>
        <v>1.0335000000000001</v>
      </c>
      <c r="V33" s="3181"/>
      <c r="W33" s="3181">
        <f t="shared" ref="W33:W39" si="124">T33</f>
        <v>1.0072000000000001</v>
      </c>
      <c r="X33" s="3179"/>
      <c r="Y33" s="3182"/>
      <c r="Z33" s="3210">
        <f t="shared" ref="Z33" si="125">IF(E33=0,0,ROUND(AVERAGE(E33:E46)/100,4))</f>
        <v>0</v>
      </c>
      <c r="AA33" s="3210">
        <f t="shared" ref="AA33" si="126">IF(F33=0,0,ROUND(AVERAGE(F33:F46)/100,4))</f>
        <v>0</v>
      </c>
      <c r="AB33" s="3210">
        <f t="shared" ref="AB33" si="127">IF(G33=0,0,ROUND(AVERAGE(G33:G46)/100,4))</f>
        <v>0</v>
      </c>
      <c r="AC33" s="3211"/>
      <c r="AD33" s="3182">
        <f t="shared" ref="AD33:AD39" si="128">IF(I33=0,0,ROUND(AVERAGE(I33:I46)/100,4))</f>
        <v>0</v>
      </c>
      <c r="AG33" s="3456">
        <f t="shared" ref="AG33:AG50" si="129">$AG$52*S33</f>
        <v>101.49</v>
      </c>
      <c r="AH33" s="3456">
        <f t="shared" ref="AH33:AH50" si="130">$AG$52*T33</f>
        <v>100.72000000000001</v>
      </c>
      <c r="AI33" s="3456">
        <f t="shared" ref="AI33:AI50" si="131">$AG$52*U33</f>
        <v>103.35000000000001</v>
      </c>
      <c r="AJ33" s="3458"/>
      <c r="AK33" s="3456">
        <f t="shared" ref="AK33:AK50" si="132">$AG$52*W33</f>
        <v>100.72000000000001</v>
      </c>
      <c r="AN33" s="3461">
        <v>100</v>
      </c>
      <c r="AO33" s="3461">
        <v>100</v>
      </c>
      <c r="AP33" s="3461">
        <v>100</v>
      </c>
      <c r="AQ33" s="3461"/>
      <c r="AR33" s="3461">
        <v>100</v>
      </c>
    </row>
    <row r="34" spans="1:44" s="3183" customFormat="1" ht="12.75">
      <c r="A34" s="2204" t="s">
        <v>3402</v>
      </c>
      <c r="B34" s="3175">
        <v>2025</v>
      </c>
      <c r="C34" s="3176">
        <v>3</v>
      </c>
      <c r="D34" s="3177"/>
      <c r="E34" s="3177">
        <v>0</v>
      </c>
      <c r="F34" s="3177">
        <v>0</v>
      </c>
      <c r="G34" s="3177">
        <v>0</v>
      </c>
      <c r="H34" s="3177"/>
      <c r="I34" s="3178">
        <f t="shared" ref="I34" si="133">F34</f>
        <v>0</v>
      </c>
      <c r="J34" s="3179"/>
      <c r="K34" s="3180"/>
      <c r="L34" s="3170">
        <f t="shared" ref="L34" si="134">E34/100</f>
        <v>0</v>
      </c>
      <c r="M34" s="3170">
        <f t="shared" ref="M34" si="135">F34/100</f>
        <v>0</v>
      </c>
      <c r="N34" s="3170">
        <f t="shared" ref="N34" si="136">G34/100</f>
        <v>0</v>
      </c>
      <c r="O34" s="3170"/>
      <c r="P34" s="3170">
        <f t="shared" si="123"/>
        <v>0</v>
      </c>
      <c r="Q34" s="3179"/>
      <c r="R34" s="3181"/>
      <c r="S34" s="3181">
        <f>ROUND(IF(项目基本情况!$B$8="出让",SUMPRODUCT(PRODUCT(1+L34:L$52)),SUMPRODUCT(PRODUCT(1+L34:L$51))),4)</f>
        <v>1.0148999999999999</v>
      </c>
      <c r="T34" s="3181">
        <f>ROUND(IF(项目基本情况!$B$8="出让",SUMPRODUCT(PRODUCT(1+M34:M$52)),SUMPRODUCT(PRODUCT(1+M34:M$51))),4)</f>
        <v>1.0072000000000001</v>
      </c>
      <c r="U34" s="3181">
        <f>ROUND(IF(项目基本情况!$B$8="出让",SUMPRODUCT(PRODUCT(1+N34:N$52)),SUMPRODUCT(PRODUCT(1+N34:N$51))),4)</f>
        <v>1.0335000000000001</v>
      </c>
      <c r="V34" s="3181"/>
      <c r="W34" s="3181">
        <f t="shared" si="124"/>
        <v>1.0072000000000001</v>
      </c>
      <c r="X34" s="3179"/>
      <c r="Y34" s="3182"/>
      <c r="Z34" s="3210">
        <f t="shared" ref="Z34" si="137">IF(E34=0,0,ROUND(AVERAGE(E34:E47)/100,4))</f>
        <v>0</v>
      </c>
      <c r="AA34" s="3210">
        <f t="shared" ref="AA34" si="138">IF(F34=0,0,ROUND(AVERAGE(F34:F47)/100,4))</f>
        <v>0</v>
      </c>
      <c r="AB34" s="3210">
        <f t="shared" ref="AB34" si="139">IF(G34=0,0,ROUND(AVERAGE(G34:G47)/100,4))</f>
        <v>0</v>
      </c>
      <c r="AC34" s="3211"/>
      <c r="AD34" s="3182">
        <f t="shared" si="128"/>
        <v>0</v>
      </c>
      <c r="AG34" s="3456">
        <f t="shared" si="129"/>
        <v>101.49</v>
      </c>
      <c r="AH34" s="3456">
        <f t="shared" si="130"/>
        <v>100.72000000000001</v>
      </c>
      <c r="AI34" s="3456">
        <f t="shared" si="131"/>
        <v>103.35000000000001</v>
      </c>
      <c r="AJ34" s="3458"/>
      <c r="AK34" s="3456">
        <f t="shared" si="132"/>
        <v>100.72000000000001</v>
      </c>
      <c r="AN34" s="3456">
        <f>AN33/(1+E33/100)</f>
        <v>100</v>
      </c>
      <c r="AO34" s="3456">
        <f t="shared" ref="AO34:AR34" si="140">AO33/(1+F33/100)</f>
        <v>100</v>
      </c>
      <c r="AP34" s="3456">
        <f t="shared" si="140"/>
        <v>100</v>
      </c>
      <c r="AQ34" s="3456"/>
      <c r="AR34" s="3456">
        <f t="shared" si="140"/>
        <v>100</v>
      </c>
    </row>
    <row r="35" spans="1:44" s="3193" customFormat="1" ht="12.75">
      <c r="A35" s="3184" t="s">
        <v>3410</v>
      </c>
      <c r="B35" s="3185">
        <v>2025</v>
      </c>
      <c r="C35" s="3186">
        <v>2</v>
      </c>
      <c r="D35" s="3187"/>
      <c r="E35" s="3187">
        <v>0</v>
      </c>
      <c r="F35" s="3187">
        <v>0</v>
      </c>
      <c r="G35" s="3187">
        <v>0</v>
      </c>
      <c r="H35" s="3188"/>
      <c r="I35" s="3189">
        <f t="shared" ref="I35" si="141">F35</f>
        <v>0</v>
      </c>
      <c r="J35" s="3190"/>
      <c r="K35" s="3191"/>
      <c r="L35" s="3192">
        <f t="shared" ref="L35" si="142">E35/100</f>
        <v>0</v>
      </c>
      <c r="M35" s="3192">
        <f t="shared" ref="M35" si="143">F35/100</f>
        <v>0</v>
      </c>
      <c r="N35" s="3192">
        <f t="shared" ref="N35" si="144">G35/100</f>
        <v>0</v>
      </c>
      <c r="O35" s="3192"/>
      <c r="P35" s="3192">
        <f t="shared" si="123"/>
        <v>0</v>
      </c>
      <c r="Q35" s="3190"/>
      <c r="R35" s="3190"/>
      <c r="S35" s="3190">
        <f>ROUND(IF(项目基本情况!$B$8="出让",SUMPRODUCT(PRODUCT(1+L35:L$52)),SUMPRODUCT(PRODUCT(1+L35:L$51))),4)</f>
        <v>1.0148999999999999</v>
      </c>
      <c r="T35" s="3190">
        <f>ROUND(IF(项目基本情况!$B$8="出让",SUMPRODUCT(PRODUCT(1+M35:M$52)),SUMPRODUCT(PRODUCT(1+M35:M$51))),4)</f>
        <v>1.0072000000000001</v>
      </c>
      <c r="U35" s="3190">
        <f>ROUND(IF(项目基本情况!$B$8="出让",SUMPRODUCT(PRODUCT(1+N35:N$52)),SUMPRODUCT(PRODUCT(1+N35:N$51))),4)</f>
        <v>1.0335000000000001</v>
      </c>
      <c r="V35" s="3190"/>
      <c r="W35" s="3190">
        <f t="shared" si="124"/>
        <v>1.0072000000000001</v>
      </c>
      <c r="X35" s="3190"/>
      <c r="Y35" s="3192"/>
      <c r="Z35" s="3213">
        <f t="shared" ref="Z35" si="145">IF(E35=0,0,ROUND(AVERAGE(E35:E48)/100,4))</f>
        <v>0</v>
      </c>
      <c r="AA35" s="3214">
        <f t="shared" ref="AA35" si="146">IF(F35=0,0,ROUND(AVERAGE(F35:F48)/100,4))</f>
        <v>0</v>
      </c>
      <c r="AB35" s="3192">
        <f t="shared" ref="AB35" si="147">IF(G35=0,0,ROUND(AVERAGE(G35:G48)/100,4))</f>
        <v>0</v>
      </c>
      <c r="AC35" s="3215"/>
      <c r="AD35" s="3192">
        <f t="shared" si="128"/>
        <v>0</v>
      </c>
      <c r="AG35" s="3457">
        <f t="shared" si="129"/>
        <v>101.49</v>
      </c>
      <c r="AH35" s="3457">
        <f t="shared" si="130"/>
        <v>100.72000000000001</v>
      </c>
      <c r="AI35" s="3457">
        <f t="shared" si="131"/>
        <v>103.35000000000001</v>
      </c>
      <c r="AJ35" s="3459"/>
      <c r="AK35" s="3457">
        <f t="shared" si="132"/>
        <v>100.72000000000001</v>
      </c>
      <c r="AN35" s="3457">
        <f t="shared" ref="AN35:AN52" si="148">AN34/(1+E34/100)</f>
        <v>100</v>
      </c>
      <c r="AO35" s="3457">
        <f t="shared" ref="AO35" si="149">AO34/(1+F34/100)</f>
        <v>100</v>
      </c>
      <c r="AP35" s="3457">
        <f t="shared" ref="AP35" si="150">AP34/(1+G34/100)</f>
        <v>100</v>
      </c>
      <c r="AQ35" s="3457"/>
      <c r="AR35" s="3457">
        <f t="shared" ref="AR35" si="151">AR34/(1+I34/100)</f>
        <v>100</v>
      </c>
    </row>
    <row r="36" spans="1:44" s="3183" customFormat="1" ht="12.75">
      <c r="A36" s="2204" t="s">
        <v>3407</v>
      </c>
      <c r="B36" s="3175">
        <v>2025</v>
      </c>
      <c r="C36" s="3176">
        <v>1</v>
      </c>
      <c r="D36" s="3177"/>
      <c r="E36" s="3177">
        <v>-1.47</v>
      </c>
      <c r="F36" s="3177">
        <v>-0.98</v>
      </c>
      <c r="G36" s="3177">
        <v>-0.51</v>
      </c>
      <c r="H36" s="3177"/>
      <c r="I36" s="3178">
        <f t="shared" ref="I36" si="152">F36</f>
        <v>-0.98</v>
      </c>
      <c r="J36" s="3179"/>
      <c r="K36" s="3180"/>
      <c r="L36" s="3170">
        <f t="shared" ref="L36" si="153">E36/100</f>
        <v>-1.47E-2</v>
      </c>
      <c r="M36" s="3170">
        <f t="shared" ref="M36" si="154">F36/100</f>
        <v>-9.7999999999999997E-3</v>
      </c>
      <c r="N36" s="3170">
        <f t="shared" ref="N36" si="155">G36/100</f>
        <v>-5.1000000000000004E-3</v>
      </c>
      <c r="O36" s="3170"/>
      <c r="P36" s="3170">
        <f t="shared" si="123"/>
        <v>-9.7999999999999997E-3</v>
      </c>
      <c r="Q36" s="3179"/>
      <c r="R36" s="3181"/>
      <c r="S36" s="3181">
        <f>ROUND(IF(项目基本情况!$B$8="出让",SUMPRODUCT(PRODUCT(1+L36:L$52)),SUMPRODUCT(PRODUCT(1+L36:L$51))),4)</f>
        <v>1.0148999999999999</v>
      </c>
      <c r="T36" s="3181">
        <f>ROUND(IF(项目基本情况!$B$8="出让",SUMPRODUCT(PRODUCT(1+M36:M$52)),SUMPRODUCT(PRODUCT(1+M36:M$51))),4)</f>
        <v>1.0072000000000001</v>
      </c>
      <c r="U36" s="3181">
        <f>ROUND(IF(项目基本情况!$B$8="出让",SUMPRODUCT(PRODUCT(1+N36:N$52)),SUMPRODUCT(PRODUCT(1+N36:N$51))),4)</f>
        <v>1.0335000000000001</v>
      </c>
      <c r="V36" s="3181"/>
      <c r="W36" s="3181">
        <f t="shared" si="124"/>
        <v>1.0072000000000001</v>
      </c>
      <c r="X36" s="3179"/>
      <c r="Y36" s="3182"/>
      <c r="Z36" s="3210">
        <f t="shared" ref="Z36" si="156">IF(E36=0,0,ROUND(AVERAGE(E36:E49)/100,4))</f>
        <v>4.0000000000000002E-4</v>
      </c>
      <c r="AA36" s="3210">
        <f t="shared" ref="AA36" si="157">IF(F36=0,0,ROUND(AVERAGE(F36:F49)/100,4))</f>
        <v>0</v>
      </c>
      <c r="AB36" s="3210">
        <f t="shared" ref="AB36" si="158">IF(G36=0,0,ROUND(AVERAGE(G36:G49)/100,4))</f>
        <v>1E-3</v>
      </c>
      <c r="AC36" s="3211"/>
      <c r="AD36" s="3182">
        <f t="shared" si="128"/>
        <v>0</v>
      </c>
      <c r="AG36" s="3456">
        <f t="shared" si="129"/>
        <v>101.49</v>
      </c>
      <c r="AH36" s="3456">
        <f t="shared" si="130"/>
        <v>100.72000000000001</v>
      </c>
      <c r="AI36" s="3456">
        <f t="shared" si="131"/>
        <v>103.35000000000001</v>
      </c>
      <c r="AJ36" s="3458"/>
      <c r="AK36" s="3456">
        <f t="shared" si="132"/>
        <v>100.72000000000001</v>
      </c>
      <c r="AN36" s="3456">
        <f t="shared" si="148"/>
        <v>100</v>
      </c>
      <c r="AO36" s="3456">
        <f t="shared" ref="AO36:AO52" si="159">AO35/(1+F35/100)</f>
        <v>100</v>
      </c>
      <c r="AP36" s="3456">
        <f t="shared" ref="AP36:AP52" si="160">AP35/(1+G35/100)</f>
        <v>100</v>
      </c>
      <c r="AQ36" s="3456"/>
      <c r="AR36" s="3456">
        <f t="shared" ref="AR36:AR52" si="161">AR35/(1+I35/100)</f>
        <v>100</v>
      </c>
    </row>
    <row r="37" spans="1:44" s="3183" customFormat="1" ht="12.75">
      <c r="A37" s="2204" t="s">
        <v>3408</v>
      </c>
      <c r="B37" s="3175">
        <v>2024</v>
      </c>
      <c r="C37" s="3176">
        <v>4</v>
      </c>
      <c r="D37" s="3177"/>
      <c r="E37" s="3177">
        <v>-0.61</v>
      </c>
      <c r="F37" s="3177">
        <v>-0.71</v>
      </c>
      <c r="G37" s="3177">
        <v>-0.88</v>
      </c>
      <c r="H37" s="3177"/>
      <c r="I37" s="3178">
        <f t="shared" ref="I37" si="162">F37</f>
        <v>-0.71</v>
      </c>
      <c r="J37" s="3179"/>
      <c r="K37" s="3180"/>
      <c r="L37" s="3170">
        <f t="shared" ref="L37" si="163">E37/100</f>
        <v>-6.0999999999999995E-3</v>
      </c>
      <c r="M37" s="3170">
        <f t="shared" ref="M37" si="164">F37/100</f>
        <v>-7.0999999999999995E-3</v>
      </c>
      <c r="N37" s="3170">
        <f t="shared" ref="N37" si="165">G37/100</f>
        <v>-8.8000000000000005E-3</v>
      </c>
      <c r="O37" s="3170"/>
      <c r="P37" s="3170">
        <f t="shared" si="123"/>
        <v>-7.0999999999999995E-3</v>
      </c>
      <c r="Q37" s="3179"/>
      <c r="R37" s="3181"/>
      <c r="S37" s="3181">
        <f>ROUND(IF(项目基本情况!$B$8="出让",SUMPRODUCT(PRODUCT(1+L37:L$52)),SUMPRODUCT(PRODUCT(1+L37:L$51))),4)</f>
        <v>1.0301</v>
      </c>
      <c r="T37" s="3181">
        <f>ROUND(IF(项目基本情况!$B$8="出让",SUMPRODUCT(PRODUCT(1+M37:M$52)),SUMPRODUCT(PRODUCT(1+M37:M$51))),4)</f>
        <v>1.0170999999999999</v>
      </c>
      <c r="U37" s="3181">
        <f>ROUND(IF(项目基本情况!$B$8="出让",SUMPRODUCT(PRODUCT(1+N37:N$52)),SUMPRODUCT(PRODUCT(1+N37:N$51))),4)</f>
        <v>1.0387999999999999</v>
      </c>
      <c r="V37" s="3181"/>
      <c r="W37" s="3181">
        <f t="shared" si="124"/>
        <v>1.0170999999999999</v>
      </c>
      <c r="X37" s="3179"/>
      <c r="Y37" s="3182"/>
      <c r="Z37" s="3210">
        <f t="shared" ref="Z37" si="166">IF(E37=0,0,ROUND(AVERAGE(E37:E50)/100,4))</f>
        <v>1.6999999999999999E-3</v>
      </c>
      <c r="AA37" s="3210">
        <f t="shared" ref="AA37" si="167">IF(F37=0,0,ROUND(AVERAGE(F37:F50)/100,4))</f>
        <v>8.9999999999999998E-4</v>
      </c>
      <c r="AB37" s="3210">
        <f t="shared" ref="AB37" si="168">IF(G37=0,0,ROUND(AVERAGE(G37:G50)/100,4))</f>
        <v>2E-3</v>
      </c>
      <c r="AC37" s="3211"/>
      <c r="AD37" s="3182">
        <f t="shared" si="128"/>
        <v>8.9999999999999998E-4</v>
      </c>
      <c r="AG37" s="3456">
        <f t="shared" si="129"/>
        <v>103.01</v>
      </c>
      <c r="AH37" s="3456">
        <f t="shared" si="130"/>
        <v>101.71</v>
      </c>
      <c r="AI37" s="3456">
        <f t="shared" si="131"/>
        <v>103.88</v>
      </c>
      <c r="AJ37" s="3458"/>
      <c r="AK37" s="3456">
        <f t="shared" si="132"/>
        <v>101.71</v>
      </c>
      <c r="AN37" s="3456">
        <f t="shared" si="148"/>
        <v>101.49193139145439</v>
      </c>
      <c r="AO37" s="3456">
        <f t="shared" si="159"/>
        <v>100.98969905069683</v>
      </c>
      <c r="AP37" s="3456">
        <f t="shared" si="160"/>
        <v>100.51261433309881</v>
      </c>
      <c r="AQ37" s="3456"/>
      <c r="AR37" s="3456">
        <f t="shared" si="161"/>
        <v>100.98969905069683</v>
      </c>
    </row>
    <row r="38" spans="1:44" s="3183" customFormat="1" ht="12.75">
      <c r="A38" s="2204" t="s">
        <v>3372</v>
      </c>
      <c r="B38" s="3175">
        <v>2024</v>
      </c>
      <c r="C38" s="3176">
        <v>3</v>
      </c>
      <c r="D38" s="3177"/>
      <c r="E38" s="3177">
        <v>-0.66</v>
      </c>
      <c r="F38" s="3177">
        <v>-0.52</v>
      </c>
      <c r="G38" s="3177">
        <v>-2.87</v>
      </c>
      <c r="H38" s="3177"/>
      <c r="I38" s="3178">
        <f t="shared" ref="I38" si="169">F38</f>
        <v>-0.52</v>
      </c>
      <c r="J38" s="3179"/>
      <c r="K38" s="3180"/>
      <c r="L38" s="3170">
        <f t="shared" ref="L38" si="170">E38/100</f>
        <v>-6.6E-3</v>
      </c>
      <c r="M38" s="3170">
        <f t="shared" ref="M38" si="171">F38/100</f>
        <v>-5.1999999999999998E-3</v>
      </c>
      <c r="N38" s="3170">
        <f t="shared" ref="N38" si="172">G38/100</f>
        <v>-2.87E-2</v>
      </c>
      <c r="O38" s="3170"/>
      <c r="P38" s="3170">
        <f t="shared" si="123"/>
        <v>-5.1999999999999998E-3</v>
      </c>
      <c r="Q38" s="3179"/>
      <c r="R38" s="3181"/>
      <c r="S38" s="3181">
        <f>ROUND(IF(项目基本情况!$B$8="出让",SUMPRODUCT(PRODUCT(1+L38:L$52)),SUMPRODUCT(PRODUCT(1+L38:L$51))),4)</f>
        <v>1.0364</v>
      </c>
      <c r="T38" s="3181">
        <f>ROUND(IF(项目基本情况!$B$8="出让",SUMPRODUCT(PRODUCT(1+M38:M$52)),SUMPRODUCT(PRODUCT(1+M38:M$51))),4)</f>
        <v>1.0244</v>
      </c>
      <c r="U38" s="3181">
        <f>ROUND(IF(项目基本情况!$B$8="出让",SUMPRODUCT(PRODUCT(1+N38:N$52)),SUMPRODUCT(PRODUCT(1+N38:N$51))),4)</f>
        <v>1.048</v>
      </c>
      <c r="V38" s="3181"/>
      <c r="W38" s="3181">
        <f t="shared" si="124"/>
        <v>1.0244</v>
      </c>
      <c r="X38" s="3179"/>
      <c r="Y38" s="3182"/>
      <c r="Z38" s="3210">
        <f t="shared" ref="Z38:AB39" si="173">IF(E38=0,0,ROUND(AVERAGE(E38:E51)/100,4))</f>
        <v>2.5999999999999999E-3</v>
      </c>
      <c r="AA38" s="3210">
        <f t="shared" si="173"/>
        <v>1.6999999999999999E-3</v>
      </c>
      <c r="AB38" s="3210">
        <f t="shared" si="173"/>
        <v>3.3999999999999998E-3</v>
      </c>
      <c r="AC38" s="3211"/>
      <c r="AD38" s="3182">
        <f t="shared" si="128"/>
        <v>1.6999999999999999E-3</v>
      </c>
      <c r="AG38" s="3456">
        <f t="shared" si="129"/>
        <v>103.64</v>
      </c>
      <c r="AH38" s="3456">
        <f t="shared" si="130"/>
        <v>102.44</v>
      </c>
      <c r="AI38" s="3456">
        <f t="shared" si="131"/>
        <v>104.80000000000001</v>
      </c>
      <c r="AJ38" s="3458"/>
      <c r="AK38" s="3456">
        <f t="shared" si="132"/>
        <v>102.44</v>
      </c>
      <c r="AN38" s="3456">
        <f t="shared" si="148"/>
        <v>102.11483186583598</v>
      </c>
      <c r="AO38" s="3456">
        <f t="shared" si="159"/>
        <v>101.71185320847701</v>
      </c>
      <c r="AP38" s="3456">
        <f t="shared" si="160"/>
        <v>101.4049781407373</v>
      </c>
      <c r="AQ38" s="3456"/>
      <c r="AR38" s="3456">
        <f t="shared" si="161"/>
        <v>101.71185320847701</v>
      </c>
    </row>
    <row r="39" spans="1:44" s="3183" customFormat="1" ht="12.75">
      <c r="A39" s="3174" t="s">
        <v>3376</v>
      </c>
      <c r="B39" s="3175">
        <v>2024</v>
      </c>
      <c r="C39" s="3176">
        <v>2</v>
      </c>
      <c r="D39" s="3177"/>
      <c r="E39" s="3177">
        <v>-0.31</v>
      </c>
      <c r="F39" s="3177">
        <v>-0.39</v>
      </c>
      <c r="G39" s="3177">
        <v>1.23</v>
      </c>
      <c r="H39" s="3194"/>
      <c r="I39" s="3178">
        <f t="shared" ref="I39:I52" si="174">F39</f>
        <v>-0.39</v>
      </c>
      <c r="J39" s="3179"/>
      <c r="K39" s="3180"/>
      <c r="L39" s="3170">
        <f t="shared" ref="L39:N52" si="175">E39/100</f>
        <v>-3.0999999999999999E-3</v>
      </c>
      <c r="M39" s="3170">
        <f t="shared" si="175"/>
        <v>-3.9000000000000003E-3</v>
      </c>
      <c r="N39" s="3170">
        <f t="shared" si="175"/>
        <v>1.23E-2</v>
      </c>
      <c r="O39" s="3170"/>
      <c r="P39" s="3170">
        <f t="shared" si="123"/>
        <v>-3.9000000000000003E-3</v>
      </c>
      <c r="Q39" s="3179"/>
      <c r="R39" s="3181"/>
      <c r="S39" s="3181">
        <f>ROUND(IF(项目基本情况!$B$8="出让",SUMPRODUCT(PRODUCT(1+L39:L$52)),SUMPRODUCT(PRODUCT(1+L39:L$51))),4)</f>
        <v>1.0432999999999999</v>
      </c>
      <c r="T39" s="3181">
        <f>ROUND(IF(项目基本情况!$B$8="出让",SUMPRODUCT(PRODUCT(1+M39:M$52)),SUMPRODUCT(PRODUCT(1+M39:M$51))),4)</f>
        <v>1.0298</v>
      </c>
      <c r="U39" s="3181">
        <f>ROUND(IF(项目基本情况!$B$8="出让",SUMPRODUCT(PRODUCT(1+N39:N$52)),SUMPRODUCT(PRODUCT(1+N39:N$51))),4)</f>
        <v>1.079</v>
      </c>
      <c r="V39" s="3181"/>
      <c r="W39" s="3181">
        <f t="shared" si="124"/>
        <v>1.0298</v>
      </c>
      <c r="X39" s="3179"/>
      <c r="Y39" s="3182"/>
      <c r="Z39" s="3210">
        <f t="shared" si="173"/>
        <v>3.3E-3</v>
      </c>
      <c r="AA39" s="3212">
        <f t="shared" si="173"/>
        <v>2.3999999999999998E-3</v>
      </c>
      <c r="AB39" s="3182">
        <f t="shared" si="173"/>
        <v>6.1999999999999998E-3</v>
      </c>
      <c r="AC39" s="3211"/>
      <c r="AD39" s="3182">
        <f t="shared" si="128"/>
        <v>2.3999999999999998E-3</v>
      </c>
      <c r="AG39" s="3456">
        <f t="shared" si="129"/>
        <v>104.32999999999998</v>
      </c>
      <c r="AH39" s="3456">
        <f t="shared" si="130"/>
        <v>102.98</v>
      </c>
      <c r="AI39" s="3456">
        <f t="shared" si="131"/>
        <v>107.89999999999999</v>
      </c>
      <c r="AJ39" s="3458"/>
      <c r="AK39" s="3456">
        <f t="shared" si="132"/>
        <v>102.98</v>
      </c>
      <c r="AN39" s="3456">
        <f t="shared" si="148"/>
        <v>102.79326743087979</v>
      </c>
      <c r="AO39" s="3456">
        <f t="shared" si="159"/>
        <v>102.24351950992863</v>
      </c>
      <c r="AP39" s="3456">
        <f t="shared" si="160"/>
        <v>104.40129531631555</v>
      </c>
      <c r="AQ39" s="3456"/>
      <c r="AR39" s="3456">
        <f t="shared" si="161"/>
        <v>102.24351950992863</v>
      </c>
    </row>
    <row r="40" spans="1:44" s="3183" customFormat="1" ht="12.75">
      <c r="A40" s="3174" t="s">
        <v>3373</v>
      </c>
      <c r="B40" s="3175">
        <v>2024</v>
      </c>
      <c r="C40" s="3176">
        <v>1</v>
      </c>
      <c r="D40" s="3177"/>
      <c r="E40" s="3177">
        <v>0.25</v>
      </c>
      <c r="F40" s="3177">
        <v>0.4</v>
      </c>
      <c r="G40" s="3177">
        <v>-0.63</v>
      </c>
      <c r="H40" s="3194"/>
      <c r="I40" s="3178">
        <f t="shared" ref="I40:I41" si="176">F40</f>
        <v>0.4</v>
      </c>
      <c r="J40" s="3179"/>
      <c r="K40" s="3180"/>
      <c r="L40" s="3170">
        <f t="shared" ref="L40" si="177">E40/100</f>
        <v>2.5000000000000001E-3</v>
      </c>
      <c r="M40" s="3170">
        <f t="shared" ref="M40" si="178">F40/100</f>
        <v>4.0000000000000001E-3</v>
      </c>
      <c r="N40" s="3170">
        <f t="shared" ref="N40" si="179">G40/100</f>
        <v>-6.3E-3</v>
      </c>
      <c r="O40" s="3170"/>
      <c r="P40" s="3170">
        <f t="shared" ref="P40" si="180">M40</f>
        <v>4.0000000000000001E-3</v>
      </c>
      <c r="Q40" s="3179"/>
      <c r="R40" s="3181"/>
      <c r="S40" s="3181">
        <f>ROUND(IF(项目基本情况!$B$8="出让",SUMPRODUCT(PRODUCT(1+L40:L$52)),SUMPRODUCT(PRODUCT(1+L40:L$51))),4)</f>
        <v>1.0465</v>
      </c>
      <c r="T40" s="3181">
        <f>ROUND(IF(项目基本情况!$B$8="出让",SUMPRODUCT(PRODUCT(1+M40:M$52)),SUMPRODUCT(PRODUCT(1+M40:M$51))),4)</f>
        <v>1.0338000000000001</v>
      </c>
      <c r="U40" s="3181">
        <f>ROUND(IF(项目基本情况!$B$8="出让",SUMPRODUCT(PRODUCT(1+N40:N$52)),SUMPRODUCT(PRODUCT(1+N40:N$51))),4)</f>
        <v>1.0659000000000001</v>
      </c>
      <c r="V40" s="3181"/>
      <c r="W40" s="3181">
        <f t="shared" ref="W40" si="181">T40</f>
        <v>1.0338000000000001</v>
      </c>
      <c r="X40" s="3179"/>
      <c r="Y40" s="3182"/>
      <c r="Z40" s="3210"/>
      <c r="AA40" s="3212"/>
      <c r="AB40" s="3182"/>
      <c r="AC40" s="3211"/>
      <c r="AD40" s="3182"/>
      <c r="AG40" s="3456">
        <f t="shared" si="129"/>
        <v>104.65</v>
      </c>
      <c r="AH40" s="3456">
        <f t="shared" si="130"/>
        <v>103.38000000000001</v>
      </c>
      <c r="AI40" s="3456">
        <f t="shared" si="131"/>
        <v>106.59</v>
      </c>
      <c r="AJ40" s="3458"/>
      <c r="AK40" s="3456">
        <f t="shared" si="132"/>
        <v>103.38000000000001</v>
      </c>
      <c r="AN40" s="3456">
        <f t="shared" si="148"/>
        <v>103.11291747505246</v>
      </c>
      <c r="AO40" s="3456">
        <f t="shared" si="159"/>
        <v>102.64383044867849</v>
      </c>
      <c r="AP40" s="3456">
        <f t="shared" si="160"/>
        <v>103.13276233953923</v>
      </c>
      <c r="AQ40" s="3456"/>
      <c r="AR40" s="3456">
        <f t="shared" si="161"/>
        <v>102.64383044867849</v>
      </c>
    </row>
    <row r="41" spans="1:44" s="3183" customFormat="1" ht="12.75">
      <c r="A41" s="3174" t="s">
        <v>3371</v>
      </c>
      <c r="B41" s="3175">
        <v>2023</v>
      </c>
      <c r="C41" s="3176">
        <v>4</v>
      </c>
      <c r="D41" s="3177"/>
      <c r="E41" s="3177">
        <v>7.0000000000000007E-2</v>
      </c>
      <c r="F41" s="3177">
        <v>0.09</v>
      </c>
      <c r="G41" s="3177">
        <v>0.03</v>
      </c>
      <c r="H41" s="3194"/>
      <c r="I41" s="3178">
        <f t="shared" si="176"/>
        <v>0.09</v>
      </c>
      <c r="J41" s="3179"/>
      <c r="K41" s="3180"/>
      <c r="L41" s="3170">
        <f t="shared" si="175"/>
        <v>7.000000000000001E-4</v>
      </c>
      <c r="M41" s="3170">
        <f t="shared" si="175"/>
        <v>8.9999999999999998E-4</v>
      </c>
      <c r="N41" s="3170">
        <f t="shared" si="175"/>
        <v>2.9999999999999997E-4</v>
      </c>
      <c r="O41" s="3170"/>
      <c r="P41" s="3170">
        <f t="shared" ref="P41" si="182">M41</f>
        <v>8.9999999999999998E-4</v>
      </c>
      <c r="Q41" s="3179"/>
      <c r="R41" s="3181"/>
      <c r="S41" s="3181">
        <f>ROUND(IF(项目基本情况!$B$8="出让",SUMPRODUCT(PRODUCT(1+L41:L$52)),SUMPRODUCT(PRODUCT(1+L41:L$51))),4)</f>
        <v>1.0439000000000001</v>
      </c>
      <c r="T41" s="3181">
        <f>ROUND(IF(项目基本情况!$B$8="出让",SUMPRODUCT(PRODUCT(1+M41:M$52)),SUMPRODUCT(PRODUCT(1+M41:M$51))),4)</f>
        <v>1.0297000000000001</v>
      </c>
      <c r="U41" s="3181">
        <f>ROUND(IF(项目基本情况!$B$8="出让",SUMPRODUCT(PRODUCT(1+N41:N$52)),SUMPRODUCT(PRODUCT(1+N41:N$51))),4)</f>
        <v>1.0727</v>
      </c>
      <c r="V41" s="3181"/>
      <c r="W41" s="3181">
        <f t="shared" ref="W41" si="183">T41</f>
        <v>1.0297000000000001</v>
      </c>
      <c r="X41" s="3179"/>
      <c r="Y41" s="3182"/>
      <c r="Z41" s="3210"/>
      <c r="AA41" s="3212"/>
      <c r="AB41" s="3182"/>
      <c r="AC41" s="3211"/>
      <c r="AD41" s="3182"/>
      <c r="AG41" s="3456">
        <f t="shared" si="129"/>
        <v>104.39</v>
      </c>
      <c r="AH41" s="3456">
        <f t="shared" si="130"/>
        <v>102.97</v>
      </c>
      <c r="AI41" s="3456">
        <f t="shared" si="131"/>
        <v>107.27</v>
      </c>
      <c r="AJ41" s="3458"/>
      <c r="AK41" s="3456">
        <f t="shared" si="132"/>
        <v>102.97</v>
      </c>
      <c r="AN41" s="3456">
        <f t="shared" si="148"/>
        <v>102.85577802997751</v>
      </c>
      <c r="AO41" s="3456">
        <f t="shared" si="159"/>
        <v>102.23489088513793</v>
      </c>
      <c r="AP41" s="3456">
        <f t="shared" si="160"/>
        <v>103.78661803314806</v>
      </c>
      <c r="AQ41" s="3456"/>
      <c r="AR41" s="3456">
        <f t="shared" si="161"/>
        <v>102.23489088513793</v>
      </c>
    </row>
    <row r="42" spans="1:44" s="3183" customFormat="1" ht="12.75">
      <c r="A42" s="3174" t="s">
        <v>3369</v>
      </c>
      <c r="B42" s="3175">
        <v>2023</v>
      </c>
      <c r="C42" s="3176">
        <v>3</v>
      </c>
      <c r="D42" s="3177"/>
      <c r="E42" s="3177">
        <v>0.35</v>
      </c>
      <c r="F42" s="3177">
        <v>0.17</v>
      </c>
      <c r="G42" s="3177">
        <v>0.52</v>
      </c>
      <c r="H42" s="3194"/>
      <c r="I42" s="3178">
        <f t="shared" si="174"/>
        <v>0.17</v>
      </c>
      <c r="J42" s="3179"/>
      <c r="K42" s="3180"/>
      <c r="L42" s="3170">
        <f t="shared" ref="L42:L44" si="184">E42/100</f>
        <v>3.4999999999999996E-3</v>
      </c>
      <c r="M42" s="3170">
        <f t="shared" ref="M42:M44" si="185">F42/100</f>
        <v>1.7000000000000001E-3</v>
      </c>
      <c r="N42" s="3170">
        <f t="shared" ref="N42:N44" si="186">G42/100</f>
        <v>5.1999999999999998E-3</v>
      </c>
      <c r="O42" s="3170"/>
      <c r="P42" s="3170">
        <f t="shared" ref="P42:P44" si="187">M42</f>
        <v>1.7000000000000001E-3</v>
      </c>
      <c r="Q42" s="3179"/>
      <c r="R42" s="3181"/>
      <c r="S42" s="3181">
        <f>ROUND(IF(项目基本情况!$B$8="出让",SUMPRODUCT(PRODUCT(1+L42:L$52)),SUMPRODUCT(PRODUCT(1+L42:L$51))),4)</f>
        <v>1.0431999999999999</v>
      </c>
      <c r="T42" s="3181">
        <f>ROUND(IF(项目基本情况!$B$8="出让",SUMPRODUCT(PRODUCT(1+M42:M$52)),SUMPRODUCT(PRODUCT(1+M42:M$51))),4)</f>
        <v>1.0286999999999999</v>
      </c>
      <c r="U42" s="3181">
        <f>ROUND(IF(项目基本情况!$B$8="出让",SUMPRODUCT(PRODUCT(1+N42:N$52)),SUMPRODUCT(PRODUCT(1+N42:N$51))),4)</f>
        <v>1.0723</v>
      </c>
      <c r="V42" s="3181"/>
      <c r="W42" s="3181">
        <f t="shared" ref="W42:W44" si="188">T42</f>
        <v>1.0286999999999999</v>
      </c>
      <c r="X42" s="3179"/>
      <c r="Y42" s="3182"/>
      <c r="Z42" s="3210"/>
      <c r="AA42" s="3212"/>
      <c r="AB42" s="3182"/>
      <c r="AC42" s="3211"/>
      <c r="AD42" s="3182"/>
      <c r="AG42" s="3456">
        <f t="shared" si="129"/>
        <v>104.32</v>
      </c>
      <c r="AH42" s="3456">
        <f t="shared" si="130"/>
        <v>102.86999999999999</v>
      </c>
      <c r="AI42" s="3456">
        <f t="shared" si="131"/>
        <v>107.23</v>
      </c>
      <c r="AJ42" s="3458"/>
      <c r="AK42" s="3456">
        <f t="shared" si="132"/>
        <v>102.86999999999999</v>
      </c>
      <c r="AN42" s="3456">
        <f t="shared" si="148"/>
        <v>102.78382934943292</v>
      </c>
      <c r="AO42" s="3456">
        <f t="shared" si="159"/>
        <v>102.14296221914071</v>
      </c>
      <c r="AP42" s="3456">
        <f t="shared" si="160"/>
        <v>103.75549138573234</v>
      </c>
      <c r="AQ42" s="3456"/>
      <c r="AR42" s="3456">
        <f t="shared" si="161"/>
        <v>102.14296221914071</v>
      </c>
    </row>
    <row r="43" spans="1:44" s="3183" customFormat="1" ht="12.75">
      <c r="A43" s="3174" t="s">
        <v>3368</v>
      </c>
      <c r="B43" s="3175">
        <v>2023</v>
      </c>
      <c r="C43" s="3176">
        <v>2</v>
      </c>
      <c r="D43" s="3177"/>
      <c r="E43" s="3177">
        <v>0.5</v>
      </c>
      <c r="F43" s="3177">
        <v>0.45</v>
      </c>
      <c r="G43" s="3177">
        <v>0.89</v>
      </c>
      <c r="H43" s="3194"/>
      <c r="I43" s="3178">
        <f t="shared" si="174"/>
        <v>0.45</v>
      </c>
      <c r="J43" s="3179"/>
      <c r="K43" s="3180"/>
      <c r="L43" s="3170">
        <f t="shared" si="184"/>
        <v>5.0000000000000001E-3</v>
      </c>
      <c r="M43" s="3170">
        <f t="shared" si="185"/>
        <v>4.5000000000000005E-3</v>
      </c>
      <c r="N43" s="3170">
        <f t="shared" si="186"/>
        <v>8.8999999999999999E-3</v>
      </c>
      <c r="O43" s="3170"/>
      <c r="P43" s="3170">
        <f t="shared" si="187"/>
        <v>4.5000000000000005E-3</v>
      </c>
      <c r="Q43" s="3179"/>
      <c r="R43" s="3181"/>
      <c r="S43" s="3181">
        <f>ROUND(IF(项目基本情况!$B$8="出让",SUMPRODUCT(PRODUCT(1+L43:L$52)),SUMPRODUCT(PRODUCT(1+L43:L$51))),4)</f>
        <v>1.0396000000000001</v>
      </c>
      <c r="T43" s="3181">
        <f>ROUND(IF(项目基本情况!$B$8="出让",SUMPRODUCT(PRODUCT(1+M43:M$52)),SUMPRODUCT(PRODUCT(1+M43:M$51))),4)</f>
        <v>1.0269999999999999</v>
      </c>
      <c r="U43" s="3181">
        <f>ROUND(IF(项目基本情况!$B$8="出让",SUMPRODUCT(PRODUCT(1+N43:N$52)),SUMPRODUCT(PRODUCT(1+N43:N$51))),4)</f>
        <v>1.0668</v>
      </c>
      <c r="V43" s="3181"/>
      <c r="W43" s="3181">
        <f t="shared" si="188"/>
        <v>1.0269999999999999</v>
      </c>
      <c r="X43" s="3179"/>
      <c r="Y43" s="3182"/>
      <c r="Z43" s="3210"/>
      <c r="AA43" s="3212"/>
      <c r="AB43" s="3182"/>
      <c r="AC43" s="3211"/>
      <c r="AD43" s="3182"/>
      <c r="AG43" s="3456">
        <f t="shared" si="129"/>
        <v>103.96000000000001</v>
      </c>
      <c r="AH43" s="3456">
        <f t="shared" si="130"/>
        <v>102.69999999999999</v>
      </c>
      <c r="AI43" s="3456">
        <f t="shared" si="131"/>
        <v>106.67999999999999</v>
      </c>
      <c r="AJ43" s="3458"/>
      <c r="AK43" s="3456">
        <f t="shared" si="132"/>
        <v>102.69999999999999</v>
      </c>
      <c r="AN43" s="3456">
        <f t="shared" si="148"/>
        <v>102.42534065713295</v>
      </c>
      <c r="AO43" s="3456">
        <f t="shared" si="159"/>
        <v>101.96961387555227</v>
      </c>
      <c r="AP43" s="3456">
        <f t="shared" si="160"/>
        <v>103.21875386563104</v>
      </c>
      <c r="AQ43" s="3456"/>
      <c r="AR43" s="3456">
        <f t="shared" si="161"/>
        <v>101.96961387555227</v>
      </c>
    </row>
    <row r="44" spans="1:44" s="3183" customFormat="1" ht="12.75">
      <c r="A44" s="3174" t="s">
        <v>3366</v>
      </c>
      <c r="B44" s="3175">
        <v>2023</v>
      </c>
      <c r="C44" s="3176">
        <v>1</v>
      </c>
      <c r="D44" s="3177"/>
      <c r="E44" s="3177">
        <v>0.55000000000000004</v>
      </c>
      <c r="F44" s="3177">
        <v>0.59</v>
      </c>
      <c r="G44" s="3177">
        <v>0.64</v>
      </c>
      <c r="H44" s="3194"/>
      <c r="I44" s="3178">
        <f t="shared" si="174"/>
        <v>0.59</v>
      </c>
      <c r="J44" s="3179"/>
      <c r="K44" s="3180"/>
      <c r="L44" s="3170">
        <f t="shared" si="184"/>
        <v>5.5000000000000005E-3</v>
      </c>
      <c r="M44" s="3170">
        <f t="shared" si="185"/>
        <v>5.8999999999999999E-3</v>
      </c>
      <c r="N44" s="3170">
        <f t="shared" si="186"/>
        <v>6.4000000000000003E-3</v>
      </c>
      <c r="O44" s="3170"/>
      <c r="P44" s="3170">
        <f t="shared" si="187"/>
        <v>5.8999999999999999E-3</v>
      </c>
      <c r="Q44" s="3179"/>
      <c r="R44" s="3181"/>
      <c r="S44" s="3181">
        <f>ROUND(IF(项目基本情况!$B$8="出让",SUMPRODUCT(PRODUCT(1+L44:L$52)),SUMPRODUCT(PRODUCT(1+L44:L$51))),4)</f>
        <v>1.0344</v>
      </c>
      <c r="T44" s="3181">
        <f>ROUND(IF(项目基本情况!$B$8="出让",SUMPRODUCT(PRODUCT(1+M44:M$52)),SUMPRODUCT(PRODUCT(1+M44:M$51))),4)</f>
        <v>1.0224</v>
      </c>
      <c r="U44" s="3181">
        <f>ROUND(IF(项目基本情况!$B$8="出让",SUMPRODUCT(PRODUCT(1+N44:N$52)),SUMPRODUCT(PRODUCT(1+N44:N$51))),4)</f>
        <v>1.0573999999999999</v>
      </c>
      <c r="V44" s="3181"/>
      <c r="W44" s="3181">
        <f t="shared" si="188"/>
        <v>1.0224</v>
      </c>
      <c r="X44" s="3179"/>
      <c r="Y44" s="3182"/>
      <c r="Z44" s="3210"/>
      <c r="AA44" s="3212"/>
      <c r="AB44" s="3182"/>
      <c r="AC44" s="3211"/>
      <c r="AD44" s="3182"/>
      <c r="AG44" s="3456">
        <f t="shared" si="129"/>
        <v>103.44</v>
      </c>
      <c r="AH44" s="3456">
        <f t="shared" si="130"/>
        <v>102.24</v>
      </c>
      <c r="AI44" s="3456">
        <f t="shared" si="131"/>
        <v>105.74</v>
      </c>
      <c r="AJ44" s="3458"/>
      <c r="AK44" s="3456">
        <f t="shared" si="132"/>
        <v>102.24</v>
      </c>
      <c r="AN44" s="3456">
        <f t="shared" si="148"/>
        <v>101.91576184789349</v>
      </c>
      <c r="AO44" s="3456">
        <f t="shared" si="159"/>
        <v>101.5128062474388</v>
      </c>
      <c r="AP44" s="3456">
        <f t="shared" si="160"/>
        <v>102.30821078960358</v>
      </c>
      <c r="AQ44" s="3456"/>
      <c r="AR44" s="3456">
        <f t="shared" si="161"/>
        <v>101.5128062474388</v>
      </c>
    </row>
    <row r="45" spans="1:44" s="3183" customFormat="1" ht="12.75">
      <c r="A45" s="3174" t="s">
        <v>3365</v>
      </c>
      <c r="B45" s="3175">
        <v>2022</v>
      </c>
      <c r="C45" s="3176">
        <v>4</v>
      </c>
      <c r="D45" s="3177"/>
      <c r="E45" s="3177">
        <v>0.45</v>
      </c>
      <c r="F45" s="3177">
        <v>0.2</v>
      </c>
      <c r="G45" s="3177">
        <v>0.38</v>
      </c>
      <c r="H45" s="3194"/>
      <c r="I45" s="3178">
        <f t="shared" si="174"/>
        <v>0.2</v>
      </c>
      <c r="J45" s="3179"/>
      <c r="K45" s="3180"/>
      <c r="L45" s="3170">
        <f t="shared" si="175"/>
        <v>4.5000000000000005E-3</v>
      </c>
      <c r="M45" s="3170">
        <f t="shared" si="175"/>
        <v>2E-3</v>
      </c>
      <c r="N45" s="3170">
        <f t="shared" si="175"/>
        <v>3.8E-3</v>
      </c>
      <c r="O45" s="3170"/>
      <c r="P45" s="3170">
        <f t="shared" ref="P45:P52" si="189">M45</f>
        <v>2E-3</v>
      </c>
      <c r="Q45" s="3179"/>
      <c r="R45" s="3181"/>
      <c r="S45" s="3181">
        <f>ROUND(IF(项目基本情况!$B$8="出让",SUMPRODUCT(PRODUCT(1+L45:L$52)),SUMPRODUCT(PRODUCT(1+L45:L$51))),4)</f>
        <v>1.0286999999999999</v>
      </c>
      <c r="T45" s="3181">
        <f>ROUND(IF(项目基本情况!$B$8="出让",SUMPRODUCT(PRODUCT(1+M45:M$52)),SUMPRODUCT(PRODUCT(1+M45:M$51))),4)</f>
        <v>1.0164</v>
      </c>
      <c r="U45" s="3181">
        <f>ROUND(IF(项目基本情况!$B$8="出让",SUMPRODUCT(PRODUCT(1+N45:N$52)),SUMPRODUCT(PRODUCT(1+N45:N$51))),4)</f>
        <v>1.0506</v>
      </c>
      <c r="V45" s="3181"/>
      <c r="W45" s="3181">
        <f t="shared" ref="W45:W52" si="190">T45</f>
        <v>1.0164</v>
      </c>
      <c r="X45" s="3179"/>
      <c r="Y45" s="3182"/>
      <c r="Z45" s="3210">
        <f t="shared" ref="Z45:AD52" si="191">IF(E45=0,0,ROUND(AVERAGE(E45:E53)/100,4))</f>
        <v>4.0000000000000001E-3</v>
      </c>
      <c r="AA45" s="3212">
        <f t="shared" si="191"/>
        <v>2.5999999999999999E-3</v>
      </c>
      <c r="AB45" s="3182">
        <f t="shared" si="191"/>
        <v>7.4000000000000003E-3</v>
      </c>
      <c r="AC45" s="3211"/>
      <c r="AD45" s="3182">
        <f t="shared" si="191"/>
        <v>2.5999999999999999E-3</v>
      </c>
      <c r="AG45" s="3456">
        <f t="shared" si="129"/>
        <v>102.86999999999999</v>
      </c>
      <c r="AH45" s="3456">
        <f t="shared" si="130"/>
        <v>101.64</v>
      </c>
      <c r="AI45" s="3456">
        <f t="shared" si="131"/>
        <v>105.06</v>
      </c>
      <c r="AJ45" s="3458"/>
      <c r="AK45" s="3456">
        <f t="shared" si="132"/>
        <v>101.64</v>
      </c>
      <c r="AN45" s="3456">
        <f t="shared" si="148"/>
        <v>101.35829124604027</v>
      </c>
      <c r="AO45" s="3456">
        <f t="shared" si="159"/>
        <v>100.91739362505101</v>
      </c>
      <c r="AP45" s="3456">
        <f t="shared" si="160"/>
        <v>101.6576021359336</v>
      </c>
      <c r="AQ45" s="3456"/>
      <c r="AR45" s="3456">
        <f t="shared" si="161"/>
        <v>100.91739362505101</v>
      </c>
    </row>
    <row r="46" spans="1:44" s="3183" customFormat="1" ht="12.75">
      <c r="A46" s="3174" t="s">
        <v>3364</v>
      </c>
      <c r="B46" s="3175">
        <v>2022</v>
      </c>
      <c r="C46" s="3176">
        <v>3</v>
      </c>
      <c r="D46" s="3177"/>
      <c r="E46" s="3177">
        <v>0.3</v>
      </c>
      <c r="F46" s="3177">
        <v>0.28999999999999998</v>
      </c>
      <c r="G46" s="3177">
        <v>0.83</v>
      </c>
      <c r="H46" s="3194"/>
      <c r="I46" s="3178">
        <f t="shared" si="174"/>
        <v>0.28999999999999998</v>
      </c>
      <c r="J46" s="3179"/>
      <c r="K46" s="3180"/>
      <c r="L46" s="3170">
        <f t="shared" si="175"/>
        <v>3.0000000000000001E-3</v>
      </c>
      <c r="M46" s="3170">
        <f t="shared" si="175"/>
        <v>2.8999999999999998E-3</v>
      </c>
      <c r="N46" s="3170">
        <f t="shared" si="175"/>
        <v>8.3000000000000001E-3</v>
      </c>
      <c r="O46" s="3170"/>
      <c r="P46" s="3170">
        <f t="shared" si="189"/>
        <v>2.8999999999999998E-3</v>
      </c>
      <c r="Q46" s="3179"/>
      <c r="R46" s="3181"/>
      <c r="S46" s="3181">
        <f>ROUND(IF(项目基本情况!$B$8="出让",SUMPRODUCT(PRODUCT(1+L46:L$52)),SUMPRODUCT(PRODUCT(1+L46:L$51))),4)</f>
        <v>1.0241</v>
      </c>
      <c r="T46" s="3181">
        <f>ROUND(IF(项目基本情况!$B$8="出让",SUMPRODUCT(PRODUCT(1+M46:M$52)),SUMPRODUCT(PRODUCT(1+M46:M$51))),4)</f>
        <v>1.0144</v>
      </c>
      <c r="U46" s="3181">
        <f>ROUND(IF(项目基本情况!$B$8="出让",SUMPRODUCT(PRODUCT(1+N46:N$52)),SUMPRODUCT(PRODUCT(1+N46:N$51))),4)</f>
        <v>1.0467</v>
      </c>
      <c r="V46" s="3181"/>
      <c r="W46" s="3181">
        <f t="shared" si="190"/>
        <v>1.0144</v>
      </c>
      <c r="X46" s="3179"/>
      <c r="Y46" s="3182"/>
      <c r="Z46" s="3210">
        <f t="shared" si="191"/>
        <v>3.8999999999999998E-3</v>
      </c>
      <c r="AA46" s="3212">
        <f t="shared" si="191"/>
        <v>2.7000000000000001E-3</v>
      </c>
      <c r="AB46" s="3182">
        <f t="shared" si="191"/>
        <v>7.9000000000000008E-3</v>
      </c>
      <c r="AC46" s="3211"/>
      <c r="AD46" s="3182">
        <f t="shared" si="191"/>
        <v>2.7000000000000001E-3</v>
      </c>
      <c r="AG46" s="3456">
        <f t="shared" si="129"/>
        <v>102.41</v>
      </c>
      <c r="AH46" s="3456">
        <f t="shared" si="130"/>
        <v>101.44</v>
      </c>
      <c r="AI46" s="3456">
        <f t="shared" si="131"/>
        <v>104.67</v>
      </c>
      <c r="AJ46" s="3458"/>
      <c r="AK46" s="3456">
        <f t="shared" si="132"/>
        <v>101.44</v>
      </c>
      <c r="AN46" s="3456">
        <f t="shared" si="148"/>
        <v>100.90422224593357</v>
      </c>
      <c r="AO46" s="3456">
        <f t="shared" si="159"/>
        <v>100.71596170164771</v>
      </c>
      <c r="AP46" s="3456">
        <f t="shared" si="160"/>
        <v>101.2727656265527</v>
      </c>
      <c r="AQ46" s="3456"/>
      <c r="AR46" s="3456">
        <f t="shared" si="161"/>
        <v>100.71596170164771</v>
      </c>
    </row>
    <row r="47" spans="1:44" s="3183" customFormat="1" ht="12.75">
      <c r="A47" s="3174" t="s">
        <v>3354</v>
      </c>
      <c r="B47" s="3175">
        <v>2022</v>
      </c>
      <c r="C47" s="3176">
        <v>2</v>
      </c>
      <c r="D47" s="3177"/>
      <c r="E47" s="3177">
        <v>-0.11</v>
      </c>
      <c r="F47" s="3177">
        <v>-0.13</v>
      </c>
      <c r="G47" s="3177">
        <v>0.53</v>
      </c>
      <c r="H47" s="3194"/>
      <c r="I47" s="3178">
        <f t="shared" si="174"/>
        <v>-0.13</v>
      </c>
      <c r="J47" s="3179"/>
      <c r="K47" s="3180"/>
      <c r="L47" s="3170">
        <f t="shared" si="175"/>
        <v>-1.1000000000000001E-3</v>
      </c>
      <c r="M47" s="3170">
        <f t="shared" si="175"/>
        <v>-1.2999999999999999E-3</v>
      </c>
      <c r="N47" s="3170">
        <f t="shared" si="175"/>
        <v>5.3E-3</v>
      </c>
      <c r="O47" s="3170"/>
      <c r="P47" s="3170">
        <f t="shared" si="189"/>
        <v>-1.2999999999999999E-3</v>
      </c>
      <c r="Q47" s="3179"/>
      <c r="R47" s="3181"/>
      <c r="S47" s="3181">
        <f>ROUND(IF(项目基本情况!$B$8="出让",SUMPRODUCT(PRODUCT(1+L47:L$52)),SUMPRODUCT(PRODUCT(1+L47:L$51))),4)</f>
        <v>1.0210999999999999</v>
      </c>
      <c r="T47" s="3181">
        <f>ROUND(IF(项目基本情况!$B$8="出让",SUMPRODUCT(PRODUCT(1+M47:M$52)),SUMPRODUCT(PRODUCT(1+M47:M$51))),4)</f>
        <v>1.0114000000000001</v>
      </c>
      <c r="U47" s="3181">
        <f>ROUND(IF(项目基本情况!$B$8="出让",SUMPRODUCT(PRODUCT(1+N47:N$52)),SUMPRODUCT(PRODUCT(1+N47:N$51))),4)</f>
        <v>1.0381</v>
      </c>
      <c r="V47" s="3181"/>
      <c r="W47" s="3181">
        <f t="shared" si="190"/>
        <v>1.0114000000000001</v>
      </c>
      <c r="X47" s="3179"/>
      <c r="Y47" s="3182"/>
      <c r="Z47" s="3210">
        <f t="shared" si="191"/>
        <v>4.1000000000000003E-3</v>
      </c>
      <c r="AA47" s="3212">
        <f t="shared" si="191"/>
        <v>2.7000000000000001E-3</v>
      </c>
      <c r="AB47" s="3182">
        <f t="shared" si="191"/>
        <v>7.9000000000000008E-3</v>
      </c>
      <c r="AC47" s="3211"/>
      <c r="AD47" s="3182">
        <f t="shared" si="191"/>
        <v>2.7000000000000001E-3</v>
      </c>
      <c r="AG47" s="3456">
        <f t="shared" si="129"/>
        <v>102.10999999999999</v>
      </c>
      <c r="AH47" s="3456">
        <f t="shared" si="130"/>
        <v>101.14000000000001</v>
      </c>
      <c r="AI47" s="3456">
        <f t="shared" si="131"/>
        <v>103.81</v>
      </c>
      <c r="AJ47" s="3458"/>
      <c r="AK47" s="3456">
        <f t="shared" si="132"/>
        <v>101.14000000000001</v>
      </c>
      <c r="AN47" s="3456">
        <f t="shared" si="148"/>
        <v>100.60241500093079</v>
      </c>
      <c r="AO47" s="3456">
        <f t="shared" si="159"/>
        <v>100.42472998469212</v>
      </c>
      <c r="AP47" s="3456">
        <f t="shared" si="160"/>
        <v>100.43912092289268</v>
      </c>
      <c r="AQ47" s="3456"/>
      <c r="AR47" s="3456">
        <f t="shared" si="161"/>
        <v>100.42472998469212</v>
      </c>
    </row>
    <row r="48" spans="1:44" s="3183" customFormat="1" ht="12.75">
      <c r="A48" s="3174" t="s">
        <v>2835</v>
      </c>
      <c r="B48" s="3175">
        <v>2022</v>
      </c>
      <c r="C48" s="3176">
        <v>1</v>
      </c>
      <c r="D48" s="3177"/>
      <c r="E48" s="3177">
        <v>0.6</v>
      </c>
      <c r="F48" s="3177">
        <v>0.45</v>
      </c>
      <c r="G48" s="3177">
        <v>0.53</v>
      </c>
      <c r="H48" s="3194"/>
      <c r="I48" s="3178">
        <f t="shared" si="174"/>
        <v>0.45</v>
      </c>
      <c r="J48" s="3179"/>
      <c r="K48" s="3180"/>
      <c r="L48" s="3170">
        <f t="shared" si="175"/>
        <v>6.0000000000000001E-3</v>
      </c>
      <c r="M48" s="3170">
        <f t="shared" si="175"/>
        <v>4.5000000000000005E-3</v>
      </c>
      <c r="N48" s="3170">
        <f t="shared" si="175"/>
        <v>5.3E-3</v>
      </c>
      <c r="O48" s="3170"/>
      <c r="P48" s="3170">
        <f t="shared" si="189"/>
        <v>4.5000000000000005E-3</v>
      </c>
      <c r="Q48" s="3179"/>
      <c r="R48" s="3181"/>
      <c r="S48" s="3181">
        <f>ROUND(IF(项目基本情况!$B$8="出让",SUMPRODUCT(PRODUCT(1+L48:L$52)),SUMPRODUCT(PRODUCT(1+L48:L$51))),4)</f>
        <v>1.0222</v>
      </c>
      <c r="T48" s="3181">
        <f>ROUND(IF(项目基本情况!$B$8="出让",SUMPRODUCT(PRODUCT(1+M48:M$52)),SUMPRODUCT(PRODUCT(1+M48:M$51))),4)</f>
        <v>1.0127999999999999</v>
      </c>
      <c r="U48" s="3181">
        <f>ROUND(IF(项目基本情况!$B$8="出让",SUMPRODUCT(PRODUCT(1+N48:N$52)),SUMPRODUCT(PRODUCT(1+N48:N$51))),4)</f>
        <v>1.0326</v>
      </c>
      <c r="V48" s="3181"/>
      <c r="W48" s="3181">
        <f t="shared" si="190"/>
        <v>1.0127999999999999</v>
      </c>
      <c r="X48" s="3179"/>
      <c r="Y48" s="3182"/>
      <c r="Z48" s="3210">
        <f t="shared" si="191"/>
        <v>5.1000000000000004E-3</v>
      </c>
      <c r="AA48" s="3212">
        <f t="shared" si="191"/>
        <v>3.5000000000000001E-3</v>
      </c>
      <c r="AB48" s="3182">
        <f t="shared" si="191"/>
        <v>8.3999999999999995E-3</v>
      </c>
      <c r="AC48" s="3211"/>
      <c r="AD48" s="3182">
        <f t="shared" si="191"/>
        <v>3.5000000000000001E-3</v>
      </c>
      <c r="AG48" s="3456">
        <f t="shared" si="129"/>
        <v>102.22</v>
      </c>
      <c r="AH48" s="3456">
        <f t="shared" si="130"/>
        <v>101.27999999999999</v>
      </c>
      <c r="AI48" s="3456">
        <f t="shared" si="131"/>
        <v>103.25999999999999</v>
      </c>
      <c r="AJ48" s="3458"/>
      <c r="AK48" s="3456">
        <f t="shared" si="132"/>
        <v>101.27999999999999</v>
      </c>
      <c r="AN48" s="3456">
        <f t="shared" si="148"/>
        <v>100.71319952040324</v>
      </c>
      <c r="AO48" s="3456">
        <f t="shared" si="159"/>
        <v>100.55545207238622</v>
      </c>
      <c r="AP48" s="3456">
        <f t="shared" si="160"/>
        <v>99.90960004266654</v>
      </c>
      <c r="AQ48" s="3456"/>
      <c r="AR48" s="3456">
        <f t="shared" si="161"/>
        <v>100.55545207238622</v>
      </c>
    </row>
    <row r="49" spans="1:44" s="3183" customFormat="1" ht="12.75">
      <c r="A49" s="3174" t="s">
        <v>2836</v>
      </c>
      <c r="B49" s="3175">
        <v>2021</v>
      </c>
      <c r="C49" s="3176">
        <v>4</v>
      </c>
      <c r="D49" s="3177"/>
      <c r="E49" s="3177">
        <v>0.57999999999999996</v>
      </c>
      <c r="F49" s="3177">
        <v>0.08</v>
      </c>
      <c r="G49" s="3177">
        <v>0.68</v>
      </c>
      <c r="H49" s="3194"/>
      <c r="I49" s="3178">
        <f t="shared" si="174"/>
        <v>0.08</v>
      </c>
      <c r="J49" s="3179"/>
      <c r="K49" s="3180"/>
      <c r="L49" s="3170">
        <f t="shared" si="175"/>
        <v>5.7999999999999996E-3</v>
      </c>
      <c r="M49" s="3170">
        <f t="shared" si="175"/>
        <v>8.0000000000000004E-4</v>
      </c>
      <c r="N49" s="3170">
        <f t="shared" si="175"/>
        <v>6.8000000000000005E-3</v>
      </c>
      <c r="O49" s="3170"/>
      <c r="P49" s="3170">
        <f t="shared" si="189"/>
        <v>8.0000000000000004E-4</v>
      </c>
      <c r="Q49" s="3179"/>
      <c r="R49" s="3181"/>
      <c r="S49" s="3181">
        <f>ROUND(IF(项目基本情况!$B$8="出让",SUMPRODUCT(PRODUCT(1+L49:L$52)),SUMPRODUCT(PRODUCT(1+L49:L$51))),4)</f>
        <v>1.0161</v>
      </c>
      <c r="T49" s="3181">
        <f>ROUND(IF(项目基本情况!$B$8="出让",SUMPRODUCT(PRODUCT(1+M49:M$52)),SUMPRODUCT(PRODUCT(1+M49:M$51))),4)</f>
        <v>1.0082</v>
      </c>
      <c r="U49" s="3181">
        <f>ROUND(IF(项目基本情况!$B$8="出让",SUMPRODUCT(PRODUCT(1+N49:N$52)),SUMPRODUCT(PRODUCT(1+N49:N$51))),4)</f>
        <v>1.0270999999999999</v>
      </c>
      <c r="V49" s="3181"/>
      <c r="W49" s="3181">
        <f t="shared" si="190"/>
        <v>1.0082</v>
      </c>
      <c r="X49" s="3179"/>
      <c r="Y49" s="3182"/>
      <c r="Z49" s="3210">
        <f t="shared" si="191"/>
        <v>4.8999999999999998E-3</v>
      </c>
      <c r="AA49" s="3212">
        <f t="shared" si="191"/>
        <v>3.3E-3</v>
      </c>
      <c r="AB49" s="3182">
        <f t="shared" si="191"/>
        <v>9.1999999999999998E-3</v>
      </c>
      <c r="AC49" s="3211"/>
      <c r="AD49" s="3182">
        <f t="shared" si="191"/>
        <v>3.3E-3</v>
      </c>
      <c r="AG49" s="3456">
        <f t="shared" si="129"/>
        <v>101.61</v>
      </c>
      <c r="AH49" s="3456">
        <f t="shared" si="130"/>
        <v>100.82</v>
      </c>
      <c r="AI49" s="3456">
        <f t="shared" si="131"/>
        <v>102.71</v>
      </c>
      <c r="AJ49" s="3458"/>
      <c r="AK49" s="3456">
        <f t="shared" si="132"/>
        <v>100.82</v>
      </c>
      <c r="AN49" s="3456">
        <f t="shared" si="148"/>
        <v>100.11252437415828</v>
      </c>
      <c r="AO49" s="3456">
        <f t="shared" si="159"/>
        <v>100.10497966389867</v>
      </c>
      <c r="AP49" s="3456">
        <f t="shared" si="160"/>
        <v>99.382870827281934</v>
      </c>
      <c r="AQ49" s="3456"/>
      <c r="AR49" s="3456">
        <f t="shared" si="161"/>
        <v>100.10497966389867</v>
      </c>
    </row>
    <row r="50" spans="1:44" s="3183" customFormat="1" ht="12.75">
      <c r="A50" s="3174" t="s">
        <v>2837</v>
      </c>
      <c r="B50" s="3175">
        <v>2021</v>
      </c>
      <c r="C50" s="3176">
        <v>3</v>
      </c>
      <c r="D50" s="3177"/>
      <c r="E50" s="3177">
        <v>0.47</v>
      </c>
      <c r="F50" s="3177">
        <v>0.28000000000000003</v>
      </c>
      <c r="G50" s="3177">
        <v>0.91</v>
      </c>
      <c r="H50" s="3194"/>
      <c r="I50" s="3178">
        <f t="shared" si="174"/>
        <v>0.28000000000000003</v>
      </c>
      <c r="J50" s="3179"/>
      <c r="K50" s="3180"/>
      <c r="L50" s="3170">
        <f t="shared" si="175"/>
        <v>4.6999999999999993E-3</v>
      </c>
      <c r="M50" s="3170">
        <f t="shared" si="175"/>
        <v>2.8000000000000004E-3</v>
      </c>
      <c r="N50" s="3170">
        <f t="shared" si="175"/>
        <v>9.1000000000000004E-3</v>
      </c>
      <c r="O50" s="3170"/>
      <c r="P50" s="3170">
        <f t="shared" si="189"/>
        <v>2.8000000000000004E-3</v>
      </c>
      <c r="Q50" s="3179"/>
      <c r="R50" s="3181"/>
      <c r="S50" s="3181">
        <f>ROUND(IF(项目基本情况!$B$8="出让",SUMPRODUCT(PRODUCT(1+L50:L$52)),SUMPRODUCT(PRODUCT(1+L50:L$51))),4)</f>
        <v>1.0102</v>
      </c>
      <c r="T50" s="3181">
        <f>ROUND(IF(项目基本情况!$B$8="出让",SUMPRODUCT(PRODUCT(1+M50:M$52)),SUMPRODUCT(PRODUCT(1+M50:M$51))),4)</f>
        <v>1.0074000000000001</v>
      </c>
      <c r="U50" s="3181">
        <f>ROUND(IF(项目基本情况!$B$8="出让",SUMPRODUCT(PRODUCT(1+N50:N$52)),SUMPRODUCT(PRODUCT(1+N50:N$51))),4)</f>
        <v>1.0202</v>
      </c>
      <c r="V50" s="3181"/>
      <c r="W50" s="3181">
        <f t="shared" si="190"/>
        <v>1.0074000000000001</v>
      </c>
      <c r="X50" s="3179"/>
      <c r="Y50" s="3182"/>
      <c r="Z50" s="3210">
        <f t="shared" si="191"/>
        <v>4.5999999999999999E-3</v>
      </c>
      <c r="AA50" s="3212">
        <f t="shared" si="191"/>
        <v>4.1000000000000003E-3</v>
      </c>
      <c r="AB50" s="3182">
        <f t="shared" si="191"/>
        <v>0.01</v>
      </c>
      <c r="AC50" s="3211"/>
      <c r="AD50" s="3182">
        <f t="shared" si="191"/>
        <v>4.1000000000000003E-3</v>
      </c>
      <c r="AG50" s="3456">
        <f t="shared" si="129"/>
        <v>101.02</v>
      </c>
      <c r="AH50" s="3456">
        <f t="shared" si="130"/>
        <v>100.74000000000001</v>
      </c>
      <c r="AI50" s="3456">
        <f t="shared" si="131"/>
        <v>102.02</v>
      </c>
      <c r="AJ50" s="3458"/>
      <c r="AK50" s="3456">
        <f t="shared" si="132"/>
        <v>100.74000000000001</v>
      </c>
      <c r="AN50" s="3456">
        <f t="shared" si="148"/>
        <v>99.535220097592244</v>
      </c>
      <c r="AO50" s="3456">
        <f t="shared" si="159"/>
        <v>100.02495969614176</v>
      </c>
      <c r="AP50" s="3456">
        <f t="shared" si="160"/>
        <v>98.711631731507694</v>
      </c>
      <c r="AQ50" s="3456"/>
      <c r="AR50" s="3456">
        <f t="shared" si="161"/>
        <v>100.02495969614176</v>
      </c>
    </row>
    <row r="51" spans="1:44" s="3183" customFormat="1" ht="12.75">
      <c r="A51" s="3174" t="s">
        <v>2838</v>
      </c>
      <c r="B51" s="3175">
        <v>2021</v>
      </c>
      <c r="C51" s="3176">
        <v>2</v>
      </c>
      <c r="D51" s="3177"/>
      <c r="E51" s="3177">
        <v>0.55000000000000004</v>
      </c>
      <c r="F51" s="3177">
        <v>0.46</v>
      </c>
      <c r="G51" s="3177">
        <v>1.1000000000000001</v>
      </c>
      <c r="H51" s="3194"/>
      <c r="I51" s="3178">
        <f t="shared" si="174"/>
        <v>0.46</v>
      </c>
      <c r="J51" s="3179"/>
      <c r="K51" s="3180"/>
      <c r="L51" s="3170">
        <f t="shared" si="175"/>
        <v>5.5000000000000005E-3</v>
      </c>
      <c r="M51" s="3170">
        <f t="shared" si="175"/>
        <v>4.5999999999999999E-3</v>
      </c>
      <c r="N51" s="3170">
        <f t="shared" si="175"/>
        <v>1.1000000000000001E-2</v>
      </c>
      <c r="O51" s="3170"/>
      <c r="P51" s="3170">
        <f t="shared" si="189"/>
        <v>4.5999999999999999E-3</v>
      </c>
      <c r="Q51" s="3179"/>
      <c r="R51" s="3181"/>
      <c r="S51" s="3181">
        <f>ROUND(IF(项目基本情况!$B$8="出让",SUMPRODUCT(PRODUCT(1+L51:L$52)),SUMPRODUCT(PRODUCT(1+L51:L$51))),4)</f>
        <v>1.0055000000000001</v>
      </c>
      <c r="T51" s="3181">
        <f>ROUND(IF(项目基本情况!$B$8="出让",SUMPRODUCT(PRODUCT(1+M51:M$52)),SUMPRODUCT(PRODUCT(1+M51:M$51))),4)</f>
        <v>1.0045999999999999</v>
      </c>
      <c r="U51" s="3181">
        <f>ROUND(IF(项目基本情况!$B$8="出让",SUMPRODUCT(PRODUCT(1+N51:N$52)),SUMPRODUCT(PRODUCT(1+N51:N$51))),4)</f>
        <v>1.0109999999999999</v>
      </c>
      <c r="V51" s="3181"/>
      <c r="W51" s="3181">
        <f t="shared" si="190"/>
        <v>1.0045999999999999</v>
      </c>
      <c r="X51" s="3179"/>
      <c r="Y51" s="3182"/>
      <c r="Z51" s="3210">
        <f t="shared" si="191"/>
        <v>4.4999999999999997E-3</v>
      </c>
      <c r="AA51" s="3212">
        <f t="shared" si="191"/>
        <v>4.7000000000000002E-3</v>
      </c>
      <c r="AB51" s="3182">
        <f t="shared" si="191"/>
        <v>1.04E-2</v>
      </c>
      <c r="AC51" s="3211"/>
      <c r="AD51" s="3182">
        <f t="shared" si="191"/>
        <v>4.7000000000000002E-3</v>
      </c>
      <c r="AG51" s="3456">
        <f>$AG$52*S51</f>
        <v>100.55000000000001</v>
      </c>
      <c r="AH51" s="3456">
        <f t="shared" ref="AH51:AK51" si="192">$AG$52*T51</f>
        <v>100.46</v>
      </c>
      <c r="AI51" s="3456">
        <f t="shared" si="192"/>
        <v>101.1</v>
      </c>
      <c r="AJ51" s="3458"/>
      <c r="AK51" s="3456">
        <f t="shared" si="192"/>
        <v>100.46</v>
      </c>
      <c r="AN51" s="3456">
        <f t="shared" si="148"/>
        <v>99.069593010443171</v>
      </c>
      <c r="AO51" s="3456">
        <f t="shared" si="159"/>
        <v>99.745671815059609</v>
      </c>
      <c r="AP51" s="3456">
        <f t="shared" si="160"/>
        <v>97.821456477561867</v>
      </c>
      <c r="AQ51" s="3456"/>
      <c r="AR51" s="3456">
        <f t="shared" si="161"/>
        <v>99.745671815059609</v>
      </c>
    </row>
    <row r="52" spans="1:44" s="3205" customFormat="1" ht="14.25" thickBot="1">
      <c r="A52" s="3195" t="s">
        <v>2824</v>
      </c>
      <c r="B52" s="3196">
        <v>2021</v>
      </c>
      <c r="C52" s="3197">
        <v>1</v>
      </c>
      <c r="D52" s="3198"/>
      <c r="E52" s="3198">
        <v>0.35</v>
      </c>
      <c r="F52" s="3198">
        <v>0.48</v>
      </c>
      <c r="G52" s="3198">
        <v>0.98</v>
      </c>
      <c r="H52" s="3199"/>
      <c r="I52" s="3200">
        <f t="shared" si="174"/>
        <v>0.48</v>
      </c>
      <c r="J52" s="3201"/>
      <c r="K52" s="3202"/>
      <c r="L52" s="3203">
        <f t="shared" si="175"/>
        <v>3.4999999999999996E-3</v>
      </c>
      <c r="M52" s="3203">
        <f>F52/100</f>
        <v>4.7999999999999996E-3</v>
      </c>
      <c r="N52" s="3203">
        <f t="shared" si="175"/>
        <v>9.7999999999999997E-3</v>
      </c>
      <c r="O52" s="3203"/>
      <c r="P52" s="3203">
        <f t="shared" si="189"/>
        <v>4.7999999999999996E-3</v>
      </c>
      <c r="Q52" s="3201"/>
      <c r="R52" s="3204"/>
      <c r="S52" s="3204">
        <v>1</v>
      </c>
      <c r="T52" s="3204">
        <v>1</v>
      </c>
      <c r="U52" s="3204">
        <v>1</v>
      </c>
      <c r="V52" s="3204"/>
      <c r="W52" s="3204">
        <f t="shared" si="190"/>
        <v>1</v>
      </c>
      <c r="X52" s="3201"/>
      <c r="Y52" s="3203"/>
      <c r="Z52" s="3216">
        <f t="shared" si="191"/>
        <v>3.5000000000000001E-3</v>
      </c>
      <c r="AA52" s="3217">
        <f t="shared" si="191"/>
        <v>4.7999999999999996E-3</v>
      </c>
      <c r="AB52" s="3203">
        <f t="shared" si="191"/>
        <v>9.7999999999999997E-3</v>
      </c>
      <c r="AC52" s="3218"/>
      <c r="AD52" s="3203">
        <f t="shared" si="191"/>
        <v>4.7999999999999996E-3</v>
      </c>
      <c r="AG52" s="3460">
        <v>100</v>
      </c>
      <c r="AH52" s="3460">
        <v>100</v>
      </c>
      <c r="AI52" s="3460">
        <v>100</v>
      </c>
      <c r="AJ52" s="3460"/>
      <c r="AK52" s="3460">
        <v>100</v>
      </c>
      <c r="AN52" s="3463">
        <f t="shared" si="148"/>
        <v>98.527690711529758</v>
      </c>
      <c r="AO52" s="3463">
        <f t="shared" si="159"/>
        <v>99.288942678737428</v>
      </c>
      <c r="AP52" s="3463">
        <f t="shared" si="160"/>
        <v>96.757128068805017</v>
      </c>
      <c r="AQ52" s="3463"/>
      <c r="AR52" s="3463">
        <f t="shared" si="161"/>
        <v>99.288942678737428</v>
      </c>
    </row>
    <row r="53" spans="1:44" ht="14.25" thickTop="1"/>
    <row r="54" spans="1:44">
      <c r="A54" s="3446"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32" t="s">
        <v>452</v>
      </c>
      <c r="C1" s="3832"/>
      <c r="D1" s="3832"/>
      <c r="E1" s="3832"/>
      <c r="F1" s="3832"/>
      <c r="G1" s="3831" t="s">
        <v>453</v>
      </c>
      <c r="H1" s="3831"/>
      <c r="I1" s="3831"/>
      <c r="J1" s="3831"/>
      <c r="K1" s="3831"/>
      <c r="L1" s="3831"/>
      <c r="N1" s="3831" t="s">
        <v>454</v>
      </c>
      <c r="O1" s="3831"/>
      <c r="P1" s="3831"/>
      <c r="Q1" s="3831"/>
      <c r="S1" s="3831" t="s">
        <v>455</v>
      </c>
      <c r="T1" s="3831"/>
      <c r="U1" s="3831"/>
      <c r="V1" s="3831"/>
      <c r="X1" s="3830" t="s">
        <v>456</v>
      </c>
      <c r="Y1" s="3831"/>
      <c r="Z1" s="3831"/>
      <c r="AA1" s="3831"/>
      <c r="AB1" s="3831"/>
      <c r="AD1" s="3830" t="s">
        <v>457</v>
      </c>
      <c r="AE1" s="3831"/>
      <c r="AF1" s="3831"/>
      <c r="AG1" s="3831"/>
      <c r="AH1" s="383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2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2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2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3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3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2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2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3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2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2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2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2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2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2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2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2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3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3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3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2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2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2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2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2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2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2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2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2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2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2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2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2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2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2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2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2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2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2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2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2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2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2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2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2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2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2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2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2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2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2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2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2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2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2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2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2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2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2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2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2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2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2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2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40" t="s">
        <v>2839</v>
      </c>
      <c r="B1" s="3840"/>
      <c r="C1" s="3840"/>
      <c r="D1" s="3840"/>
      <c r="E1" s="3840"/>
      <c r="F1" s="3840"/>
      <c r="G1" s="3841"/>
      <c r="I1" s="3221" t="s">
        <v>2840</v>
      </c>
      <c r="J1" s="3222" t="s">
        <v>2841</v>
      </c>
      <c r="K1" s="3222" t="s">
        <v>2842</v>
      </c>
      <c r="L1" s="3222" t="s">
        <v>2843</v>
      </c>
      <c r="M1" s="3222" t="s">
        <v>2844</v>
      </c>
      <c r="N1" s="3222" t="s">
        <v>2845</v>
      </c>
      <c r="O1" s="3222" t="s">
        <v>2846</v>
      </c>
      <c r="P1" s="3222" t="s">
        <v>2847</v>
      </c>
      <c r="Q1" s="3222" t="s">
        <v>2848</v>
      </c>
      <c r="R1" s="3222" t="s">
        <v>2849</v>
      </c>
      <c r="S1" s="3222" t="s">
        <v>2850</v>
      </c>
      <c r="T1" s="3223" t="s">
        <v>2851</v>
      </c>
    </row>
    <row r="2" spans="1:20" ht="12" thickBot="1">
      <c r="A2" s="3225" t="s">
        <v>2852</v>
      </c>
      <c r="B2" s="3225"/>
      <c r="C2" s="3225"/>
      <c r="D2" s="3225"/>
      <c r="E2" s="3225"/>
      <c r="F2" s="3225"/>
      <c r="G2" s="3226" t="s">
        <v>2853</v>
      </c>
      <c r="I2" s="3227" t="s">
        <v>2854</v>
      </c>
      <c r="J2" s="3227" t="s">
        <v>2855</v>
      </c>
      <c r="K2" s="3227" t="s">
        <v>2856</v>
      </c>
      <c r="L2" s="3227" t="s">
        <v>2857</v>
      </c>
      <c r="M2" s="3227" t="s">
        <v>2858</v>
      </c>
      <c r="N2" s="3227" t="s">
        <v>2859</v>
      </c>
      <c r="O2" s="3227" t="s">
        <v>2860</v>
      </c>
      <c r="P2" s="3227" t="s">
        <v>2861</v>
      </c>
      <c r="Q2" s="3227" t="s">
        <v>2862</v>
      </c>
      <c r="R2" s="3227" t="s">
        <v>2863</v>
      </c>
      <c r="S2" s="3227" t="s">
        <v>2864</v>
      </c>
      <c r="T2" s="3227" t="s">
        <v>2865</v>
      </c>
    </row>
    <row r="3" spans="1:20" s="3233" customFormat="1">
      <c r="A3" s="3838" t="s">
        <v>2866</v>
      </c>
      <c r="B3" s="3228"/>
      <c r="C3" s="3229" t="s">
        <v>2811</v>
      </c>
      <c r="D3" s="3229" t="s">
        <v>2867</v>
      </c>
      <c r="E3" s="3229" t="s">
        <v>2813</v>
      </c>
      <c r="F3" s="3229" t="s">
        <v>2868</v>
      </c>
      <c r="G3" s="3229" t="s">
        <v>2631</v>
      </c>
      <c r="H3" s="3230"/>
      <c r="I3" s="3231" t="s">
        <v>2869</v>
      </c>
      <c r="J3" s="3232" t="s">
        <v>128</v>
      </c>
      <c r="K3" s="3232" t="s">
        <v>129</v>
      </c>
      <c r="L3" s="3231" t="s">
        <v>130</v>
      </c>
      <c r="M3" s="3231" t="s">
        <v>131</v>
      </c>
      <c r="N3" s="3231" t="s">
        <v>132</v>
      </c>
      <c r="O3" s="3231" t="s">
        <v>133</v>
      </c>
      <c r="P3" s="3231" t="s">
        <v>134</v>
      </c>
      <c r="Q3" s="3231" t="s">
        <v>135</v>
      </c>
      <c r="R3" s="3231" t="s">
        <v>136</v>
      </c>
      <c r="S3" s="3231" t="s">
        <v>2870</v>
      </c>
      <c r="T3" s="3231" t="s">
        <v>2871</v>
      </c>
    </row>
    <row r="4" spans="1:20" s="3233" customFormat="1" ht="12" thickBot="1">
      <c r="A4" s="3839"/>
      <c r="B4" s="3234" t="s">
        <v>2872</v>
      </c>
      <c r="C4" s="3234" t="s">
        <v>2873</v>
      </c>
      <c r="D4" s="3234" t="s">
        <v>2873</v>
      </c>
      <c r="E4" s="3234" t="s">
        <v>2873</v>
      </c>
      <c r="F4" s="3235" t="s">
        <v>2873</v>
      </c>
      <c r="G4" s="3235" t="s">
        <v>2873</v>
      </c>
      <c r="H4" s="3230"/>
      <c r="I4" s="3232" t="s">
        <v>137</v>
      </c>
      <c r="J4" s="3232" t="s">
        <v>111</v>
      </c>
      <c r="K4" s="3232" t="s">
        <v>138</v>
      </c>
      <c r="L4" s="3231" t="s">
        <v>139</v>
      </c>
      <c r="M4" s="3231" t="s">
        <v>140</v>
      </c>
      <c r="N4" s="3231" t="s">
        <v>141</v>
      </c>
      <c r="O4" s="3231" t="s">
        <v>142</v>
      </c>
      <c r="P4" s="3231" t="s">
        <v>143</v>
      </c>
      <c r="Q4" s="3231" t="s">
        <v>2874</v>
      </c>
      <c r="R4" s="3231" t="s">
        <v>2875</v>
      </c>
      <c r="S4" s="3231" t="s">
        <v>2876</v>
      </c>
      <c r="T4" s="3231" t="s">
        <v>2877</v>
      </c>
    </row>
    <row r="5" spans="1:20">
      <c r="A5" s="3236" t="s">
        <v>2840</v>
      </c>
      <c r="B5" s="3227" t="s">
        <v>2854</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2878</v>
      </c>
      <c r="R5" s="3231" t="s">
        <v>2879</v>
      </c>
      <c r="S5" s="3231" t="s">
        <v>153</v>
      </c>
      <c r="T5" s="3231" t="s">
        <v>2880</v>
      </c>
    </row>
    <row r="6" spans="1:20" ht="12" thickBot="1">
      <c r="A6" s="3231" t="s">
        <v>144</v>
      </c>
      <c r="B6" s="3231" t="s">
        <v>2869</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2881</v>
      </c>
      <c r="Q6" s="3231" t="s">
        <v>2882</v>
      </c>
      <c r="R6" s="3231" t="s">
        <v>161</v>
      </c>
      <c r="S6" s="3231" t="s">
        <v>2883</v>
      </c>
      <c r="T6" s="3231" t="s">
        <v>2884</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2885</v>
      </c>
      <c r="Q7" s="3231" t="s">
        <v>2886</v>
      </c>
      <c r="R7" s="3231" t="s">
        <v>2887</v>
      </c>
      <c r="S7" s="3231" t="s">
        <v>2888</v>
      </c>
      <c r="T7" s="3231" t="s">
        <v>2889</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2890</v>
      </c>
      <c r="Q8" s="3231" t="s">
        <v>174</v>
      </c>
      <c r="R8" s="3231" t="s">
        <v>2891</v>
      </c>
      <c r="S8" s="3231" t="s">
        <v>2892</v>
      </c>
      <c r="T8" s="3238" t="s">
        <v>2893</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2894</v>
      </c>
      <c r="Q9" s="3231" t="s">
        <v>182</v>
      </c>
      <c r="R9" s="3231" t="s">
        <v>183</v>
      </c>
      <c r="S9" s="3231" t="s">
        <v>200</v>
      </c>
    </row>
    <row r="10" spans="1:20">
      <c r="A10" s="3236" t="s">
        <v>184</v>
      </c>
      <c r="B10" s="3227" t="s">
        <v>2855</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2895</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2896</v>
      </c>
      <c r="P11" s="3231" t="s">
        <v>191</v>
      </c>
      <c r="Q11" s="3231" t="s">
        <v>199</v>
      </c>
      <c r="R11" s="3231" t="s">
        <v>2897</v>
      </c>
      <c r="S11" s="3231" t="s">
        <v>2898</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2899</v>
      </c>
      <c r="P12" s="3231" t="s">
        <v>2900</v>
      </c>
      <c r="Q12" s="3231" t="s">
        <v>2901</v>
      </c>
      <c r="R12" s="3231" t="s">
        <v>2902</v>
      </c>
      <c r="S12" s="3231" t="s">
        <v>2903</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2904</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2905</v>
      </c>
      <c r="K14" s="3232" t="s">
        <v>215</v>
      </c>
      <c r="L14" s="3231" t="s">
        <v>216</v>
      </c>
      <c r="M14" s="3231" t="s">
        <v>217</v>
      </c>
      <c r="N14" s="3231" t="s">
        <v>218</v>
      </c>
      <c r="O14" s="3231" t="s">
        <v>240</v>
      </c>
      <c r="P14" s="3231" t="s">
        <v>213</v>
      </c>
      <c r="Q14" s="3231" t="s">
        <v>2906</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2907</v>
      </c>
      <c r="P15" s="3231" t="s">
        <v>2908</v>
      </c>
      <c r="Q15" s="3231" t="s">
        <v>242</v>
      </c>
      <c r="R15" s="3231" t="s">
        <v>2909</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2910</v>
      </c>
      <c r="P16" s="3231" t="s">
        <v>227</v>
      </c>
      <c r="Q16" s="3231" t="s">
        <v>250</v>
      </c>
      <c r="R16" s="3231" t="s">
        <v>207</v>
      </c>
      <c r="S16" s="3231" t="s">
        <v>2911</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2912</v>
      </c>
      <c r="P17" s="3231" t="s">
        <v>2913</v>
      </c>
      <c r="Q17" s="3231" t="s">
        <v>256</v>
      </c>
      <c r="R17" s="3231" t="s">
        <v>2914</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2915</v>
      </c>
      <c r="P18" s="3231" t="s">
        <v>241</v>
      </c>
      <c r="Q18" s="3231" t="s">
        <v>2916</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2917</v>
      </c>
      <c r="P19" s="3231" t="s">
        <v>249</v>
      </c>
      <c r="Q19" s="3231" t="s">
        <v>2918</v>
      </c>
      <c r="R19" s="3231" t="s">
        <v>265</v>
      </c>
      <c r="S19" s="3231" t="s">
        <v>2919</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2920</v>
      </c>
      <c r="P20" s="3231" t="s">
        <v>2921</v>
      </c>
      <c r="Q20" s="3231" t="s">
        <v>290</v>
      </c>
      <c r="R20" s="3231" t="s">
        <v>2922</v>
      </c>
      <c r="S20" s="3231" t="s">
        <v>277</v>
      </c>
    </row>
    <row r="21" spans="1:19" ht="14.25" customHeight="1" thickBot="1">
      <c r="A21" s="3231" t="s">
        <v>184</v>
      </c>
      <c r="B21" s="3232" t="s">
        <v>208</v>
      </c>
      <c r="C21" s="3231">
        <v>32370</v>
      </c>
      <c r="D21" s="3231">
        <v>26730</v>
      </c>
      <c r="E21" s="3231">
        <v>26640</v>
      </c>
      <c r="F21" s="3231"/>
      <c r="G21" s="3231">
        <v>19440</v>
      </c>
      <c r="J21" s="3238" t="s">
        <v>2923</v>
      </c>
      <c r="K21" s="3232" t="s">
        <v>267</v>
      </c>
      <c r="L21" s="3231" t="s">
        <v>268</v>
      </c>
      <c r="M21" s="3231" t="s">
        <v>269</v>
      </c>
      <c r="N21" s="3231" t="s">
        <v>270</v>
      </c>
      <c r="O21" s="3231" t="s">
        <v>264</v>
      </c>
      <c r="P21" s="3231" t="s">
        <v>283</v>
      </c>
      <c r="Q21" s="3231" t="s">
        <v>293</v>
      </c>
      <c r="R21" s="3231" t="s">
        <v>2924</v>
      </c>
      <c r="S21" s="3238" t="s">
        <v>2925</v>
      </c>
    </row>
    <row r="22" spans="1:19" ht="14.25" customHeight="1">
      <c r="A22" s="3231" t="s">
        <v>184</v>
      </c>
      <c r="B22" s="3232" t="s">
        <v>2905</v>
      </c>
      <c r="C22" s="3231">
        <v>29830</v>
      </c>
      <c r="D22" s="3231">
        <v>27600</v>
      </c>
      <c r="E22" s="3231">
        <v>28150</v>
      </c>
      <c r="F22" s="3231"/>
      <c r="G22" s="3231">
        <v>20080</v>
      </c>
      <c r="K22" s="3232" t="s">
        <v>2926</v>
      </c>
      <c r="L22" s="3231" t="s">
        <v>272</v>
      </c>
      <c r="M22" s="3231" t="s">
        <v>273</v>
      </c>
      <c r="N22" s="3231" t="s">
        <v>274</v>
      </c>
      <c r="O22" s="3231" t="s">
        <v>2927</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2928</v>
      </c>
      <c r="L23" s="3231" t="s">
        <v>278</v>
      </c>
      <c r="M23" s="3231" t="s">
        <v>279</v>
      </c>
      <c r="N23" s="3231" t="s">
        <v>2929</v>
      </c>
      <c r="O23" s="3231" t="s">
        <v>2930</v>
      </c>
      <c r="P23" s="3231" t="s">
        <v>289</v>
      </c>
      <c r="Q23" s="3231" t="s">
        <v>298</v>
      </c>
      <c r="R23" s="3231" t="s">
        <v>2931</v>
      </c>
    </row>
    <row r="24" spans="1:19" ht="14.25" customHeight="1">
      <c r="A24" s="3231" t="s">
        <v>184</v>
      </c>
      <c r="B24" s="3232" t="s">
        <v>230</v>
      </c>
      <c r="C24" s="3231">
        <v>27930</v>
      </c>
      <c r="D24" s="3231">
        <v>32260</v>
      </c>
      <c r="E24" s="3231">
        <v>32120</v>
      </c>
      <c r="F24" s="3231"/>
      <c r="G24" s="3231">
        <v>23470</v>
      </c>
      <c r="K24" s="3232" t="s">
        <v>2932</v>
      </c>
      <c r="L24" s="3231" t="s">
        <v>281</v>
      </c>
      <c r="M24" s="3231" t="s">
        <v>282</v>
      </c>
      <c r="N24" s="3231" t="s">
        <v>2933</v>
      </c>
      <c r="O24" s="3231" t="s">
        <v>285</v>
      </c>
      <c r="P24" s="3231" t="s">
        <v>2934</v>
      </c>
      <c r="Q24" s="3240" t="s">
        <v>2935</v>
      </c>
      <c r="R24" s="3231" t="s">
        <v>2936</v>
      </c>
    </row>
    <row r="25" spans="1:19" ht="14.25" customHeight="1">
      <c r="A25" s="3231" t="s">
        <v>184</v>
      </c>
      <c r="B25" s="3232" t="s">
        <v>235</v>
      </c>
      <c r="C25" s="3231">
        <v>32230</v>
      </c>
      <c r="D25" s="3231">
        <v>29640</v>
      </c>
      <c r="E25" s="3231">
        <v>29510</v>
      </c>
      <c r="F25" s="3231"/>
      <c r="G25" s="3231">
        <v>21560</v>
      </c>
      <c r="K25" s="3232" t="s">
        <v>2937</v>
      </c>
      <c r="L25" s="3231" t="s">
        <v>2938</v>
      </c>
      <c r="M25" s="3231" t="s">
        <v>284</v>
      </c>
      <c r="N25" s="3231" t="s">
        <v>292</v>
      </c>
      <c r="O25" s="3231" t="s">
        <v>288</v>
      </c>
      <c r="P25" s="3231" t="s">
        <v>275</v>
      </c>
      <c r="Q25" s="3240" t="s">
        <v>271</v>
      </c>
      <c r="R25" s="3231" t="s">
        <v>2939</v>
      </c>
    </row>
    <row r="26" spans="1:19" ht="14.25" customHeight="1" thickBot="1">
      <c r="A26" s="3231" t="s">
        <v>184</v>
      </c>
      <c r="B26" s="3232" t="s">
        <v>244</v>
      </c>
      <c r="C26" s="3231">
        <v>31690</v>
      </c>
      <c r="D26" s="3231">
        <v>27650</v>
      </c>
      <c r="E26" s="3231">
        <v>28200</v>
      </c>
      <c r="F26" s="3231"/>
      <c r="G26" s="3231">
        <v>20110</v>
      </c>
      <c r="K26" s="3237" t="s">
        <v>2940</v>
      </c>
      <c r="L26" s="3231" t="s">
        <v>2941</v>
      </c>
      <c r="M26" s="3231" t="s">
        <v>287</v>
      </c>
      <c r="N26" s="3231" t="s">
        <v>294</v>
      </c>
      <c r="O26" s="3231" t="s">
        <v>2942</v>
      </c>
      <c r="P26" s="3231" t="s">
        <v>2943</v>
      </c>
      <c r="Q26" s="3240" t="s">
        <v>276</v>
      </c>
      <c r="R26" s="3231" t="s">
        <v>2944</v>
      </c>
    </row>
    <row r="27" spans="1:19" ht="14.25" customHeight="1">
      <c r="A27" s="3231" t="s">
        <v>184</v>
      </c>
      <c r="B27" s="3232" t="s">
        <v>251</v>
      </c>
      <c r="C27" s="3231">
        <v>29610</v>
      </c>
      <c r="D27" s="3231">
        <v>27770</v>
      </c>
      <c r="E27" s="3231">
        <v>28300</v>
      </c>
      <c r="F27" s="3231"/>
      <c r="G27" s="3231">
        <v>20210</v>
      </c>
      <c r="L27" s="3231" t="s">
        <v>2945</v>
      </c>
      <c r="M27" s="3231" t="s">
        <v>291</v>
      </c>
      <c r="N27" s="3231" t="s">
        <v>297</v>
      </c>
      <c r="O27" s="3231" t="s">
        <v>2946</v>
      </c>
      <c r="P27" s="3231" t="s">
        <v>2947</v>
      </c>
      <c r="Q27" s="3231" t="s">
        <v>2948</v>
      </c>
      <c r="R27" s="3231" t="s">
        <v>2949</v>
      </c>
    </row>
    <row r="28" spans="1:19" ht="14.25" customHeight="1">
      <c r="A28" s="3231" t="s">
        <v>184</v>
      </c>
      <c r="B28" s="3232" t="s">
        <v>259</v>
      </c>
      <c r="C28" s="3231"/>
      <c r="D28" s="3231">
        <v>31520</v>
      </c>
      <c r="E28" s="3231">
        <v>31410</v>
      </c>
      <c r="F28" s="3231"/>
      <c r="G28" s="3231">
        <v>22940</v>
      </c>
      <c r="L28" s="3231" t="s">
        <v>2950</v>
      </c>
      <c r="M28" s="3231" t="s">
        <v>2951</v>
      </c>
      <c r="N28" s="3231" t="s">
        <v>2952</v>
      </c>
      <c r="O28" s="3231" t="s">
        <v>2953</v>
      </c>
      <c r="P28" s="3231" t="s">
        <v>2954</v>
      </c>
      <c r="Q28" s="3231" t="s">
        <v>2955</v>
      </c>
      <c r="R28" s="3231" t="s">
        <v>2956</v>
      </c>
    </row>
    <row r="29" spans="1:19" ht="14.25" customHeight="1" thickBot="1">
      <c r="A29" s="3239" t="s">
        <v>184</v>
      </c>
      <c r="B29" s="3241" t="s">
        <v>2923</v>
      </c>
      <c r="C29" s="3242"/>
      <c r="D29" s="3242">
        <v>29460</v>
      </c>
      <c r="E29" s="3242">
        <v>28640</v>
      </c>
      <c r="F29" s="3242"/>
      <c r="G29" s="3242">
        <v>21430</v>
      </c>
      <c r="L29" s="3231" t="s">
        <v>2957</v>
      </c>
      <c r="M29" s="3231" t="s">
        <v>2958</v>
      </c>
      <c r="N29" s="3231" t="s">
        <v>2959</v>
      </c>
      <c r="O29" s="3231" t="s">
        <v>2960</v>
      </c>
      <c r="P29" s="3231" t="s">
        <v>2961</v>
      </c>
      <c r="Q29" s="3231" t="s">
        <v>2962</v>
      </c>
      <c r="R29" s="3231" t="s">
        <v>280</v>
      </c>
    </row>
    <row r="30" spans="1:19" ht="14.25" customHeight="1">
      <c r="A30" s="3236" t="s">
        <v>296</v>
      </c>
      <c r="B30" s="3227" t="s">
        <v>2856</v>
      </c>
      <c r="C30" s="3227">
        <v>26890</v>
      </c>
      <c r="D30" s="3227">
        <v>26770</v>
      </c>
      <c r="E30" s="3227">
        <v>25700</v>
      </c>
      <c r="F30" s="3227">
        <v>8180</v>
      </c>
      <c r="G30" s="3243">
        <v>18740</v>
      </c>
      <c r="L30" s="3231" t="s">
        <v>2963</v>
      </c>
      <c r="M30" s="3231" t="s">
        <v>2964</v>
      </c>
      <c r="N30" s="3231" t="s">
        <v>2965</v>
      </c>
      <c r="O30" s="3231" t="s">
        <v>2966</v>
      </c>
      <c r="P30" s="3231" t="s">
        <v>2967</v>
      </c>
      <c r="Q30" s="3231" t="s">
        <v>2968</v>
      </c>
      <c r="R30" s="3231" t="s">
        <v>2969</v>
      </c>
    </row>
    <row r="31" spans="1:19" ht="14.25" customHeight="1">
      <c r="A31" s="3231" t="s">
        <v>296</v>
      </c>
      <c r="B31" s="3232" t="s">
        <v>129</v>
      </c>
      <c r="C31" s="3231">
        <v>24550</v>
      </c>
      <c r="D31" s="3231">
        <v>23990</v>
      </c>
      <c r="E31" s="3231">
        <v>22930</v>
      </c>
      <c r="F31" s="3231">
        <v>7470</v>
      </c>
      <c r="G31" s="3244">
        <v>16790</v>
      </c>
      <c r="L31" s="3231" t="s">
        <v>2970</v>
      </c>
      <c r="M31" s="3231" t="s">
        <v>2971</v>
      </c>
      <c r="N31" s="3231" t="s">
        <v>2972</v>
      </c>
      <c r="O31" s="3231" t="s">
        <v>2973</v>
      </c>
      <c r="P31" s="3231" t="s">
        <v>2974</v>
      </c>
      <c r="Q31" s="3231" t="s">
        <v>2975</v>
      </c>
      <c r="R31" s="3231" t="s">
        <v>2976</v>
      </c>
    </row>
    <row r="32" spans="1:19" ht="14.25" customHeight="1" thickBot="1">
      <c r="A32" s="3231" t="s">
        <v>296</v>
      </c>
      <c r="B32" s="3232" t="s">
        <v>138</v>
      </c>
      <c r="C32" s="3231">
        <v>27210</v>
      </c>
      <c r="D32" s="3231">
        <v>23240</v>
      </c>
      <c r="E32" s="3231">
        <v>23260</v>
      </c>
      <c r="F32" s="3231">
        <v>7130</v>
      </c>
      <c r="G32" s="3244">
        <v>16270</v>
      </c>
      <c r="L32" s="3231" t="s">
        <v>2977</v>
      </c>
      <c r="M32" s="3231" t="s">
        <v>2978</v>
      </c>
      <c r="N32" s="3231" t="s">
        <v>300</v>
      </c>
      <c r="O32" s="3231" t="s">
        <v>2979</v>
      </c>
      <c r="P32" s="3231" t="s">
        <v>299</v>
      </c>
      <c r="Q32" s="3231" t="s">
        <v>2980</v>
      </c>
      <c r="R32" s="3238" t="s">
        <v>2981</v>
      </c>
    </row>
    <row r="33" spans="1:17" ht="14.25" customHeight="1" thickBot="1">
      <c r="A33" s="3231" t="s">
        <v>296</v>
      </c>
      <c r="B33" s="3232" t="s">
        <v>147</v>
      </c>
      <c r="C33" s="3231">
        <v>27300</v>
      </c>
      <c r="D33" s="3231">
        <v>22980</v>
      </c>
      <c r="E33" s="3231">
        <v>24260</v>
      </c>
      <c r="F33" s="3231">
        <v>5860</v>
      </c>
      <c r="G33" s="3244">
        <v>16090</v>
      </c>
      <c r="L33" s="3238" t="s">
        <v>2982</v>
      </c>
      <c r="M33" s="3231" t="s">
        <v>2983</v>
      </c>
      <c r="N33" s="3231" t="s">
        <v>301</v>
      </c>
      <c r="O33" s="3231" t="s">
        <v>2984</v>
      </c>
      <c r="P33" s="3231" t="s">
        <v>2985</v>
      </c>
      <c r="Q33" s="3231" t="s">
        <v>2986</v>
      </c>
    </row>
    <row r="34" spans="1:17" ht="14.25" customHeight="1">
      <c r="A34" s="3231" t="s">
        <v>296</v>
      </c>
      <c r="B34" s="3232" t="s">
        <v>156</v>
      </c>
      <c r="C34" s="3231">
        <v>23090</v>
      </c>
      <c r="D34" s="3231">
        <v>23390</v>
      </c>
      <c r="E34" s="3231">
        <v>23510</v>
      </c>
      <c r="F34" s="3231">
        <v>6700</v>
      </c>
      <c r="G34" s="3244">
        <v>16370</v>
      </c>
      <c r="M34" s="3231" t="s">
        <v>2987</v>
      </c>
      <c r="N34" s="3231" t="s">
        <v>302</v>
      </c>
      <c r="O34" s="3231" t="s">
        <v>2988</v>
      </c>
      <c r="P34" s="3231" t="s">
        <v>2989</v>
      </c>
      <c r="Q34" s="3231" t="s">
        <v>2990</v>
      </c>
    </row>
    <row r="35" spans="1:17" ht="14.25" customHeight="1">
      <c r="A35" s="3231" t="s">
        <v>296</v>
      </c>
      <c r="B35" s="3232" t="s">
        <v>163</v>
      </c>
      <c r="C35" s="3231">
        <v>27270</v>
      </c>
      <c r="D35" s="3231">
        <v>24270</v>
      </c>
      <c r="E35" s="3231">
        <v>24950</v>
      </c>
      <c r="F35" s="3231">
        <v>6600</v>
      </c>
      <c r="G35" s="3244">
        <v>16990</v>
      </c>
      <c r="M35" s="3231" t="s">
        <v>2991</v>
      </c>
      <c r="N35" s="3231" t="s">
        <v>2992</v>
      </c>
      <c r="O35" s="3231" t="s">
        <v>2993</v>
      </c>
      <c r="P35" s="3231" t="s">
        <v>2994</v>
      </c>
      <c r="Q35" s="3231" t="s">
        <v>2995</v>
      </c>
    </row>
    <row r="36" spans="1:17" ht="14.25" customHeight="1">
      <c r="A36" s="3231" t="s">
        <v>296</v>
      </c>
      <c r="B36" s="3232" t="s">
        <v>169</v>
      </c>
      <c r="C36" s="3231">
        <v>23490</v>
      </c>
      <c r="D36" s="3231">
        <v>23020</v>
      </c>
      <c r="E36" s="3231">
        <v>25230</v>
      </c>
      <c r="F36" s="3231">
        <v>6780</v>
      </c>
      <c r="G36" s="3244">
        <v>16120</v>
      </c>
      <c r="M36" s="3231" t="s">
        <v>2996</v>
      </c>
      <c r="N36" s="3231" t="s">
        <v>2997</v>
      </c>
      <c r="O36" s="3231" t="s">
        <v>2998</v>
      </c>
      <c r="P36" s="3231" t="s">
        <v>2999</v>
      </c>
      <c r="Q36" s="3231" t="s">
        <v>3000</v>
      </c>
    </row>
    <row r="37" spans="1:17" ht="14.25" customHeight="1">
      <c r="A37" s="3231" t="s">
        <v>296</v>
      </c>
      <c r="B37" s="3232" t="s">
        <v>176</v>
      </c>
      <c r="C37" s="3231">
        <v>24380</v>
      </c>
      <c r="D37" s="3231">
        <v>22240</v>
      </c>
      <c r="E37" s="3231">
        <v>25980</v>
      </c>
      <c r="F37" s="3231">
        <v>8160</v>
      </c>
      <c r="G37" s="3244">
        <v>15570</v>
      </c>
      <c r="M37" s="3231" t="s">
        <v>3001</v>
      </c>
      <c r="N37" s="3231" t="s">
        <v>3002</v>
      </c>
      <c r="O37" s="3231" t="s">
        <v>3003</v>
      </c>
      <c r="P37" s="3231" t="s">
        <v>3004</v>
      </c>
      <c r="Q37" s="3231" t="s">
        <v>3005</v>
      </c>
    </row>
    <row r="38" spans="1:17" ht="14.25" customHeight="1">
      <c r="A38" s="3231" t="s">
        <v>296</v>
      </c>
      <c r="B38" s="3232" t="s">
        <v>186</v>
      </c>
      <c r="C38" s="3231">
        <v>23120</v>
      </c>
      <c r="D38" s="3231">
        <v>24630</v>
      </c>
      <c r="E38" s="3231">
        <v>25030</v>
      </c>
      <c r="F38" s="3231">
        <v>7710</v>
      </c>
      <c r="G38" s="3244">
        <v>17240</v>
      </c>
      <c r="M38" s="3231" t="s">
        <v>3006</v>
      </c>
      <c r="N38" s="3231" t="s">
        <v>3007</v>
      </c>
      <c r="O38" s="3231" t="s">
        <v>3008</v>
      </c>
      <c r="P38" s="3231" t="s">
        <v>3009</v>
      </c>
      <c r="Q38" s="3231" t="s">
        <v>3010</v>
      </c>
    </row>
    <row r="39" spans="1:17" ht="14.25" customHeight="1">
      <c r="A39" s="3231" t="s">
        <v>296</v>
      </c>
      <c r="B39" s="3232" t="s">
        <v>195</v>
      </c>
      <c r="C39" s="3231">
        <v>22330</v>
      </c>
      <c r="D39" s="3231">
        <v>21140</v>
      </c>
      <c r="E39" s="3231">
        <v>23970</v>
      </c>
      <c r="F39" s="3231">
        <v>7940</v>
      </c>
      <c r="G39" s="3244">
        <v>14790</v>
      </c>
      <c r="M39" s="3231" t="s">
        <v>3011</v>
      </c>
      <c r="N39" s="3231" t="s">
        <v>3012</v>
      </c>
      <c r="O39" s="3231" t="s">
        <v>3013</v>
      </c>
      <c r="P39" s="3231" t="s">
        <v>3014</v>
      </c>
      <c r="Q39" s="3231" t="s">
        <v>3015</v>
      </c>
    </row>
    <row r="40" spans="1:17" ht="14.25" customHeight="1">
      <c r="A40" s="3231" t="s">
        <v>296</v>
      </c>
      <c r="B40" s="3232" t="s">
        <v>202</v>
      </c>
      <c r="C40" s="3231">
        <v>24740</v>
      </c>
      <c r="D40" s="3231">
        <v>24690</v>
      </c>
      <c r="E40" s="3231">
        <v>22610</v>
      </c>
      <c r="F40" s="3231"/>
      <c r="G40" s="3244">
        <v>17280</v>
      </c>
      <c r="M40" s="3231" t="s">
        <v>3016</v>
      </c>
      <c r="N40" s="3231" t="s">
        <v>3017</v>
      </c>
      <c r="O40" s="3231" t="s">
        <v>3018</v>
      </c>
      <c r="P40" s="3231" t="s">
        <v>3019</v>
      </c>
      <c r="Q40" s="3231" t="s">
        <v>3020</v>
      </c>
    </row>
    <row r="41" spans="1:17" ht="14.25" customHeight="1" thickBot="1">
      <c r="A41" s="3231" t="s">
        <v>296</v>
      </c>
      <c r="B41" s="3232" t="s">
        <v>209</v>
      </c>
      <c r="C41" s="3231">
        <v>21220</v>
      </c>
      <c r="D41" s="3231">
        <v>21120</v>
      </c>
      <c r="E41" s="3231">
        <v>22590</v>
      </c>
      <c r="F41" s="3231"/>
      <c r="G41" s="3244">
        <v>14780</v>
      </c>
      <c r="M41" s="3238" t="s">
        <v>3021</v>
      </c>
      <c r="N41" s="3231" t="s">
        <v>3022</v>
      </c>
      <c r="O41" s="3231" t="s">
        <v>3023</v>
      </c>
      <c r="P41" s="3231" t="s">
        <v>3024</v>
      </c>
      <c r="Q41" s="3231" t="s">
        <v>3025</v>
      </c>
    </row>
    <row r="42" spans="1:17" ht="14.25" customHeight="1">
      <c r="A42" s="3231" t="s">
        <v>296</v>
      </c>
      <c r="B42" s="3232" t="s">
        <v>215</v>
      </c>
      <c r="C42" s="3231">
        <v>24800</v>
      </c>
      <c r="D42" s="3231">
        <v>22280</v>
      </c>
      <c r="E42" s="3231">
        <v>24350</v>
      </c>
      <c r="F42" s="3231"/>
      <c r="G42" s="3244">
        <v>15590</v>
      </c>
      <c r="N42" s="3231" t="s">
        <v>3026</v>
      </c>
      <c r="O42" s="3231" t="s">
        <v>3027</v>
      </c>
      <c r="P42" s="3231" t="s">
        <v>3028</v>
      </c>
      <c r="Q42" s="3231" t="s">
        <v>3029</v>
      </c>
    </row>
    <row r="43" spans="1:17" ht="14.25" customHeight="1">
      <c r="A43" s="3231" t="s">
        <v>3030</v>
      </c>
      <c r="B43" s="3232" t="s">
        <v>223</v>
      </c>
      <c r="C43" s="3231">
        <v>21210</v>
      </c>
      <c r="D43" s="3231">
        <v>21160</v>
      </c>
      <c r="E43" s="3231">
        <v>22650</v>
      </c>
      <c r="F43" s="3231"/>
      <c r="G43" s="3244">
        <v>14800</v>
      </c>
      <c r="N43" s="3231" t="s">
        <v>3031</v>
      </c>
      <c r="O43" s="3231" t="s">
        <v>3032</v>
      </c>
      <c r="P43" s="3231" t="s">
        <v>3033</v>
      </c>
      <c r="Q43" s="3231" t="s">
        <v>3034</v>
      </c>
    </row>
    <row r="44" spans="1:17" ht="14.25" customHeight="1" thickBot="1">
      <c r="A44" s="3231" t="s">
        <v>296</v>
      </c>
      <c r="B44" s="3232" t="s">
        <v>231</v>
      </c>
      <c r="C44" s="3231">
        <v>22370</v>
      </c>
      <c r="D44" s="3231">
        <v>23140</v>
      </c>
      <c r="E44" s="3231">
        <v>25090</v>
      </c>
      <c r="F44" s="3231"/>
      <c r="G44" s="3244">
        <v>16190</v>
      </c>
      <c r="N44" s="3231" t="s">
        <v>3035</v>
      </c>
      <c r="O44" s="3231" t="s">
        <v>3036</v>
      </c>
      <c r="P44" s="3238" t="s">
        <v>3037</v>
      </c>
      <c r="Q44" s="3231" t="s">
        <v>3038</v>
      </c>
    </row>
    <row r="45" spans="1:17" ht="14.25" customHeight="1" thickBot="1">
      <c r="A45" s="3231" t="s">
        <v>296</v>
      </c>
      <c r="B45" s="3232" t="s">
        <v>236</v>
      </c>
      <c r="C45" s="3231">
        <v>21240</v>
      </c>
      <c r="D45" s="3231">
        <v>27050</v>
      </c>
      <c r="E45" s="3231">
        <v>28000</v>
      </c>
      <c r="F45" s="3231"/>
      <c r="G45" s="3244">
        <v>18940</v>
      </c>
      <c r="N45" s="3231" t="s">
        <v>3039</v>
      </c>
      <c r="O45" s="3238" t="s">
        <v>3040</v>
      </c>
      <c r="Q45" s="3231" t="s">
        <v>3041</v>
      </c>
    </row>
    <row r="46" spans="1:17" ht="14.25" customHeight="1">
      <c r="A46" s="3231" t="s">
        <v>296</v>
      </c>
      <c r="B46" s="3232" t="s">
        <v>245</v>
      </c>
      <c r="C46" s="3231">
        <v>23240</v>
      </c>
      <c r="D46" s="3231">
        <v>23000</v>
      </c>
      <c r="E46" s="3231">
        <v>24980</v>
      </c>
      <c r="F46" s="3231"/>
      <c r="G46" s="3244">
        <v>16100</v>
      </c>
      <c r="N46" s="3231" t="s">
        <v>3042</v>
      </c>
      <c r="Q46" s="3231" t="s">
        <v>3043</v>
      </c>
    </row>
    <row r="47" spans="1:17" ht="14.25" customHeight="1">
      <c r="A47" s="3231" t="s">
        <v>296</v>
      </c>
      <c r="B47" s="3232" t="s">
        <v>252</v>
      </c>
      <c r="C47" s="3231">
        <v>27150</v>
      </c>
      <c r="D47" s="3231">
        <v>23310</v>
      </c>
      <c r="E47" s="3231">
        <v>25150</v>
      </c>
      <c r="F47" s="3231"/>
      <c r="G47" s="3244">
        <v>16310</v>
      </c>
      <c r="N47" s="3231" t="s">
        <v>3044</v>
      </c>
      <c r="Q47" s="3231" t="s">
        <v>3045</v>
      </c>
    </row>
    <row r="48" spans="1:17" ht="14.25" customHeight="1">
      <c r="A48" s="3231" t="s">
        <v>296</v>
      </c>
      <c r="B48" s="3232" t="s">
        <v>260</v>
      </c>
      <c r="C48" s="3231">
        <v>23100</v>
      </c>
      <c r="D48" s="3231">
        <v>21110</v>
      </c>
      <c r="E48" s="3231">
        <v>23080</v>
      </c>
      <c r="F48" s="3231"/>
      <c r="G48" s="3244">
        <v>14780</v>
      </c>
      <c r="N48" s="3231" t="s">
        <v>3046</v>
      </c>
      <c r="Q48" s="3231" t="s">
        <v>3047</v>
      </c>
    </row>
    <row r="49" spans="1:17" ht="14.25" customHeight="1">
      <c r="A49" s="3231" t="s">
        <v>296</v>
      </c>
      <c r="B49" s="3232" t="s">
        <v>267</v>
      </c>
      <c r="C49" s="3231">
        <v>23400</v>
      </c>
      <c r="D49" s="3231">
        <v>22920</v>
      </c>
      <c r="E49" s="3231">
        <v>24900</v>
      </c>
      <c r="F49" s="3231"/>
      <c r="G49" s="3244">
        <v>16040</v>
      </c>
      <c r="N49" s="3231" t="s">
        <v>3048</v>
      </c>
      <c r="Q49" s="3231" t="s">
        <v>3049</v>
      </c>
    </row>
    <row r="50" spans="1:17" ht="14.25" customHeight="1">
      <c r="A50" s="3231" t="s">
        <v>296</v>
      </c>
      <c r="B50" s="3232" t="s">
        <v>2926</v>
      </c>
      <c r="C50" s="3231">
        <v>21200</v>
      </c>
      <c r="D50" s="3231">
        <v>26540</v>
      </c>
      <c r="E50" s="3231">
        <v>23200</v>
      </c>
      <c r="F50" s="3231"/>
      <c r="G50" s="3244">
        <v>18580</v>
      </c>
      <c r="N50" s="3231" t="s">
        <v>3050</v>
      </c>
      <c r="Q50" s="3232" t="s">
        <v>3051</v>
      </c>
    </row>
    <row r="51" spans="1:17" ht="14.25" customHeight="1" thickBot="1">
      <c r="A51" s="3231" t="s">
        <v>296</v>
      </c>
      <c r="B51" s="3232" t="s">
        <v>2928</v>
      </c>
      <c r="C51" s="3231">
        <v>23000</v>
      </c>
      <c r="D51" s="3231">
        <v>23460</v>
      </c>
      <c r="E51" s="3231">
        <v>25290</v>
      </c>
      <c r="F51" s="3231"/>
      <c r="G51" s="3244">
        <v>16420</v>
      </c>
      <c r="N51" s="3231" t="s">
        <v>3052</v>
      </c>
      <c r="Q51" s="3238" t="s">
        <v>3053</v>
      </c>
    </row>
    <row r="52" spans="1:17" ht="14.25" customHeight="1">
      <c r="A52" s="3231" t="s">
        <v>296</v>
      </c>
      <c r="B52" s="3232" t="s">
        <v>2932</v>
      </c>
      <c r="C52" s="3231">
        <v>26660</v>
      </c>
      <c r="D52" s="3231">
        <v>22350</v>
      </c>
      <c r="E52" s="3231">
        <v>22920</v>
      </c>
      <c r="F52" s="3231"/>
      <c r="G52" s="3244">
        <v>15640</v>
      </c>
      <c r="N52" s="3231" t="s">
        <v>3054</v>
      </c>
    </row>
    <row r="53" spans="1:17" ht="14.25" customHeight="1">
      <c r="A53" s="3231" t="s">
        <v>296</v>
      </c>
      <c r="B53" s="3232" t="s">
        <v>2937</v>
      </c>
      <c r="C53" s="3231">
        <v>23580</v>
      </c>
      <c r="D53" s="3231"/>
      <c r="E53" s="3231">
        <v>24280</v>
      </c>
      <c r="F53" s="3231"/>
      <c r="G53" s="3244"/>
      <c r="N53" s="3231" t="s">
        <v>3055</v>
      </c>
    </row>
    <row r="54" spans="1:17" ht="14.25" customHeight="1" thickBot="1">
      <c r="A54" s="3245" t="s">
        <v>296</v>
      </c>
      <c r="B54" s="3237" t="s">
        <v>2940</v>
      </c>
      <c r="C54" s="3238">
        <v>22460</v>
      </c>
      <c r="D54" s="3238"/>
      <c r="E54" s="3238"/>
      <c r="F54" s="3238"/>
      <c r="G54" s="3246"/>
      <c r="N54" s="3231" t="s">
        <v>3056</v>
      </c>
    </row>
    <row r="55" spans="1:17" ht="14.25" customHeight="1">
      <c r="A55" s="3236" t="s">
        <v>110</v>
      </c>
      <c r="B55" s="3227" t="s">
        <v>3057</v>
      </c>
      <c r="C55" s="3231">
        <v>21970</v>
      </c>
      <c r="D55" s="3231">
        <v>20370</v>
      </c>
      <c r="E55" s="3231">
        <v>20180</v>
      </c>
      <c r="F55" s="3231">
        <v>5730</v>
      </c>
      <c r="G55" s="3231">
        <v>13820</v>
      </c>
      <c r="N55" s="3231" t="s">
        <v>3058</v>
      </c>
    </row>
    <row r="56" spans="1:17" ht="14.25" customHeight="1">
      <c r="A56" s="3231" t="s">
        <v>110</v>
      </c>
      <c r="B56" s="3231" t="s">
        <v>130</v>
      </c>
      <c r="C56" s="3231">
        <v>20470</v>
      </c>
      <c r="D56" s="3231">
        <v>20700</v>
      </c>
      <c r="E56" s="3231">
        <v>20380</v>
      </c>
      <c r="F56" s="3231">
        <v>4760</v>
      </c>
      <c r="G56" s="3231">
        <v>14050</v>
      </c>
      <c r="N56" s="3231" t="s">
        <v>3059</v>
      </c>
    </row>
    <row r="57" spans="1:17" ht="14.25" customHeight="1">
      <c r="A57" s="3231" t="s">
        <v>110</v>
      </c>
      <c r="B57" s="3231" t="s">
        <v>139</v>
      </c>
      <c r="C57" s="3231">
        <v>20790</v>
      </c>
      <c r="D57" s="3231">
        <v>21370</v>
      </c>
      <c r="E57" s="3231">
        <v>20890</v>
      </c>
      <c r="F57" s="3231">
        <v>4910</v>
      </c>
      <c r="G57" s="3231">
        <v>14510</v>
      </c>
      <c r="N57" s="3231" t="s">
        <v>3060</v>
      </c>
    </row>
    <row r="58" spans="1:17" ht="14.25" customHeight="1">
      <c r="A58" s="3231" t="s">
        <v>110</v>
      </c>
      <c r="B58" s="3231" t="s">
        <v>148</v>
      </c>
      <c r="C58" s="3231">
        <v>21460</v>
      </c>
      <c r="D58" s="3231">
        <v>20920</v>
      </c>
      <c r="E58" s="3231">
        <v>23410</v>
      </c>
      <c r="F58" s="3231">
        <v>5100</v>
      </c>
      <c r="G58" s="3231">
        <v>14200</v>
      </c>
      <c r="N58" s="3231" t="s">
        <v>3061</v>
      </c>
    </row>
    <row r="59" spans="1:17" ht="14.25" customHeight="1">
      <c r="A59" s="3231" t="s">
        <v>110</v>
      </c>
      <c r="B59" s="3231" t="s">
        <v>157</v>
      </c>
      <c r="C59" s="3231">
        <v>21000</v>
      </c>
      <c r="D59" s="3231">
        <v>21550</v>
      </c>
      <c r="E59" s="3231">
        <v>21150</v>
      </c>
      <c r="F59" s="3231">
        <v>5250</v>
      </c>
      <c r="G59" s="3231">
        <v>14630</v>
      </c>
      <c r="N59" s="3231" t="s">
        <v>3062</v>
      </c>
    </row>
    <row r="60" spans="1:17" ht="14.25" customHeight="1">
      <c r="A60" s="3231" t="s">
        <v>110</v>
      </c>
      <c r="B60" s="3231" t="s">
        <v>164</v>
      </c>
      <c r="C60" s="3231">
        <v>21640</v>
      </c>
      <c r="D60" s="3231">
        <v>21260</v>
      </c>
      <c r="E60" s="3231">
        <v>24040</v>
      </c>
      <c r="F60" s="3231">
        <v>4470</v>
      </c>
      <c r="G60" s="3231">
        <v>14430</v>
      </c>
      <c r="N60" s="3231" t="s">
        <v>3063</v>
      </c>
    </row>
    <row r="61" spans="1:17" ht="14.25" customHeight="1">
      <c r="A61" s="3231" t="s">
        <v>110</v>
      </c>
      <c r="B61" s="3231" t="s">
        <v>170</v>
      </c>
      <c r="C61" s="3231">
        <v>21330</v>
      </c>
      <c r="D61" s="3231">
        <v>18640</v>
      </c>
      <c r="E61" s="3231">
        <v>21190</v>
      </c>
      <c r="F61" s="3231">
        <v>4180</v>
      </c>
      <c r="G61" s="3231">
        <v>12650</v>
      </c>
      <c r="N61" s="3231" t="s">
        <v>3064</v>
      </c>
    </row>
    <row r="62" spans="1:17" ht="14.25" customHeight="1">
      <c r="A62" s="3231" t="s">
        <v>110</v>
      </c>
      <c r="B62" s="3231" t="s">
        <v>177</v>
      </c>
      <c r="C62" s="3231">
        <v>18710</v>
      </c>
      <c r="D62" s="3231">
        <v>19400</v>
      </c>
      <c r="E62" s="3231">
        <v>23750</v>
      </c>
      <c r="F62" s="3231">
        <v>4860</v>
      </c>
      <c r="G62" s="3231">
        <v>13170</v>
      </c>
      <c r="N62" s="3231" t="s">
        <v>3065</v>
      </c>
    </row>
    <row r="63" spans="1:17" ht="14.25" customHeight="1">
      <c r="A63" s="3231" t="s">
        <v>110</v>
      </c>
      <c r="B63" s="3231" t="s">
        <v>187</v>
      </c>
      <c r="C63" s="3231">
        <v>19480</v>
      </c>
      <c r="D63" s="3231">
        <v>16830</v>
      </c>
      <c r="E63" s="3231">
        <v>21590</v>
      </c>
      <c r="F63" s="3231">
        <v>4560</v>
      </c>
      <c r="G63" s="3231">
        <v>11420</v>
      </c>
      <c r="N63" s="3231" t="s">
        <v>3066</v>
      </c>
    </row>
    <row r="64" spans="1:17" ht="14.25" customHeight="1" thickBot="1">
      <c r="A64" s="3231" t="s">
        <v>110</v>
      </c>
      <c r="B64" s="3231" t="s">
        <v>196</v>
      </c>
      <c r="C64" s="3231">
        <v>16920</v>
      </c>
      <c r="D64" s="3231">
        <v>19190</v>
      </c>
      <c r="E64" s="3231">
        <v>22200</v>
      </c>
      <c r="F64" s="3231">
        <v>4390</v>
      </c>
      <c r="G64" s="3231">
        <v>13030</v>
      </c>
      <c r="N64" s="3238" t="s">
        <v>3067</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2938</v>
      </c>
      <c r="C78" s="3231">
        <v>19820</v>
      </c>
      <c r="D78" s="3231">
        <v>19780</v>
      </c>
      <c r="E78" s="3231">
        <v>18560</v>
      </c>
      <c r="F78" s="3231"/>
      <c r="G78" s="3231">
        <v>13430</v>
      </c>
    </row>
    <row r="79" spans="1:7" s="3220" customFormat="1" ht="14.25" customHeight="1">
      <c r="A79" s="3231" t="s">
        <v>110</v>
      </c>
      <c r="B79" s="3231" t="s">
        <v>2941</v>
      </c>
      <c r="C79" s="3231">
        <v>21660</v>
      </c>
      <c r="D79" s="3231">
        <v>18000</v>
      </c>
      <c r="E79" s="3231">
        <v>22570</v>
      </c>
      <c r="F79" s="3231"/>
      <c r="G79" s="3231">
        <v>12220</v>
      </c>
    </row>
    <row r="80" spans="1:7" s="3220" customFormat="1" ht="14.25" customHeight="1">
      <c r="A80" s="3231" t="s">
        <v>110</v>
      </c>
      <c r="B80" s="3231" t="s">
        <v>2945</v>
      </c>
      <c r="C80" s="3231">
        <v>19850</v>
      </c>
      <c r="D80" s="3231"/>
      <c r="E80" s="3231">
        <v>21700</v>
      </c>
      <c r="F80" s="3231"/>
      <c r="G80" s="3231"/>
    </row>
    <row r="81" spans="1:7" s="3220" customFormat="1" ht="14.25" customHeight="1">
      <c r="A81" s="3231" t="s">
        <v>110</v>
      </c>
      <c r="B81" s="3231" t="s">
        <v>2950</v>
      </c>
      <c r="C81" s="3231">
        <v>18080</v>
      </c>
      <c r="D81" s="3231"/>
      <c r="E81" s="3231">
        <v>20900</v>
      </c>
      <c r="F81" s="3231"/>
      <c r="G81" s="3231"/>
    </row>
    <row r="82" spans="1:7" s="3220" customFormat="1" ht="14.25" customHeight="1">
      <c r="A82" s="3231" t="s">
        <v>110</v>
      </c>
      <c r="B82" s="3231" t="s">
        <v>2957</v>
      </c>
      <c r="C82" s="3231"/>
      <c r="D82" s="3231"/>
      <c r="E82" s="3231">
        <v>20840</v>
      </c>
      <c r="F82" s="3231"/>
      <c r="G82" s="3231"/>
    </row>
    <row r="83" spans="1:7" s="3220" customFormat="1" ht="14.25" customHeight="1">
      <c r="A83" s="3231" t="s">
        <v>110</v>
      </c>
      <c r="B83" s="3231" t="s">
        <v>3068</v>
      </c>
      <c r="C83" s="3231"/>
      <c r="D83" s="3231"/>
      <c r="E83" s="3231"/>
      <c r="F83" s="3231">
        <v>4770</v>
      </c>
      <c r="G83" s="3231"/>
    </row>
    <row r="84" spans="1:7" s="3220" customFormat="1" ht="14.25" customHeight="1">
      <c r="A84" s="3231" t="s">
        <v>110</v>
      </c>
      <c r="B84" s="3231" t="s">
        <v>3069</v>
      </c>
      <c r="C84" s="3231"/>
      <c r="D84" s="3231"/>
      <c r="E84" s="3231"/>
      <c r="F84" s="3231">
        <v>4600</v>
      </c>
      <c r="G84" s="3231"/>
    </row>
    <row r="85" spans="1:7" s="3220" customFormat="1" ht="14.25" customHeight="1">
      <c r="A85" s="3231" t="s">
        <v>110</v>
      </c>
      <c r="B85" s="3231" t="s">
        <v>3070</v>
      </c>
      <c r="C85" s="3231"/>
      <c r="D85" s="3231"/>
      <c r="E85" s="3231"/>
      <c r="F85" s="3231">
        <v>4680</v>
      </c>
      <c r="G85" s="3231"/>
    </row>
    <row r="86" spans="1:7" s="3220" customFormat="1" ht="14.25" customHeight="1" thickBot="1">
      <c r="A86" s="3239" t="s">
        <v>110</v>
      </c>
      <c r="B86" s="3241" t="s">
        <v>3071</v>
      </c>
      <c r="C86" s="3242">
        <v>16610</v>
      </c>
      <c r="D86" s="3242">
        <v>16540</v>
      </c>
      <c r="E86" s="3242">
        <v>18850</v>
      </c>
      <c r="F86" s="3242"/>
      <c r="G86" s="3242">
        <v>11220</v>
      </c>
    </row>
    <row r="87" spans="1:7" s="3220" customFormat="1" ht="14.25" customHeight="1">
      <c r="A87" s="3236" t="s">
        <v>303</v>
      </c>
      <c r="B87" s="3227" t="s">
        <v>3072</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2951</v>
      </c>
      <c r="C113" s="3231">
        <v>15520</v>
      </c>
      <c r="D113" s="3231">
        <v>15450</v>
      </c>
      <c r="E113" s="3231"/>
      <c r="F113" s="3231"/>
      <c r="G113" s="3244">
        <v>10210</v>
      </c>
    </row>
    <row r="114" spans="1:7" s="3220" customFormat="1" ht="14.25" customHeight="1">
      <c r="A114" s="3231" t="s">
        <v>303</v>
      </c>
      <c r="B114" s="3231" t="s">
        <v>2958</v>
      </c>
      <c r="C114" s="3231">
        <v>13110</v>
      </c>
      <c r="D114" s="3231">
        <v>13050</v>
      </c>
      <c r="E114" s="3231"/>
      <c r="F114" s="3231"/>
      <c r="G114" s="3244">
        <v>8620</v>
      </c>
    </row>
    <row r="115" spans="1:7" s="3220" customFormat="1" ht="14.25" customHeight="1">
      <c r="A115" s="3231" t="s">
        <v>303</v>
      </c>
      <c r="B115" s="3231" t="s">
        <v>2964</v>
      </c>
      <c r="C115" s="3231">
        <v>12460</v>
      </c>
      <c r="D115" s="3231">
        <v>12390</v>
      </c>
      <c r="E115" s="3231"/>
      <c r="F115" s="3231"/>
      <c r="G115" s="3244">
        <v>8190</v>
      </c>
    </row>
    <row r="116" spans="1:7" s="3220" customFormat="1" ht="14.25" customHeight="1">
      <c r="A116" s="3231" t="s">
        <v>303</v>
      </c>
      <c r="B116" s="3231" t="s">
        <v>2971</v>
      </c>
      <c r="C116" s="3231">
        <v>13580</v>
      </c>
      <c r="D116" s="3231">
        <v>13520</v>
      </c>
      <c r="E116" s="3231"/>
      <c r="F116" s="3231"/>
      <c r="G116" s="3244">
        <v>8930</v>
      </c>
    </row>
    <row r="117" spans="1:7" s="3220" customFormat="1" ht="14.25" customHeight="1">
      <c r="A117" s="3231" t="s">
        <v>303</v>
      </c>
      <c r="B117" s="3231" t="s">
        <v>2978</v>
      </c>
      <c r="C117" s="3231">
        <v>17120</v>
      </c>
      <c r="D117" s="3231">
        <v>17040</v>
      </c>
      <c r="E117" s="3231"/>
      <c r="F117" s="3231"/>
      <c r="G117" s="3244">
        <v>11260</v>
      </c>
    </row>
    <row r="118" spans="1:7" s="3220" customFormat="1" ht="14.25" customHeight="1">
      <c r="A118" s="3231" t="s">
        <v>303</v>
      </c>
      <c r="B118" s="3231" t="s">
        <v>2983</v>
      </c>
      <c r="C118" s="3231">
        <v>14860</v>
      </c>
      <c r="D118" s="3231">
        <v>14790</v>
      </c>
      <c r="E118" s="3231"/>
      <c r="F118" s="3231"/>
      <c r="G118" s="3244">
        <v>9780</v>
      </c>
    </row>
    <row r="119" spans="1:7" s="3220" customFormat="1" ht="14.25" customHeight="1">
      <c r="A119" s="3231" t="s">
        <v>303</v>
      </c>
      <c r="B119" s="3231" t="s">
        <v>2987</v>
      </c>
      <c r="C119" s="3231">
        <v>16470</v>
      </c>
      <c r="D119" s="3231">
        <v>16400</v>
      </c>
      <c r="E119" s="3231"/>
      <c r="F119" s="3231"/>
      <c r="G119" s="3244">
        <v>10840</v>
      </c>
    </row>
    <row r="120" spans="1:7" s="3220" customFormat="1" ht="14.25" customHeight="1">
      <c r="A120" s="3231" t="s">
        <v>303</v>
      </c>
      <c r="B120" s="3231" t="s">
        <v>3073</v>
      </c>
      <c r="C120" s="3231"/>
      <c r="D120" s="3231"/>
      <c r="E120" s="3231"/>
      <c r="F120" s="3231">
        <v>4160</v>
      </c>
      <c r="G120" s="3244"/>
    </row>
    <row r="121" spans="1:7" s="3220" customFormat="1" ht="14.25" customHeight="1">
      <c r="A121" s="3231" t="s">
        <v>303</v>
      </c>
      <c r="B121" s="3231" t="s">
        <v>3074</v>
      </c>
      <c r="C121" s="3231"/>
      <c r="D121" s="3231"/>
      <c r="E121" s="3231"/>
      <c r="F121" s="3231">
        <v>3880</v>
      </c>
      <c r="G121" s="3244"/>
    </row>
    <row r="122" spans="1:7" s="3220" customFormat="1" ht="14.25" customHeight="1">
      <c r="A122" s="3231" t="s">
        <v>303</v>
      </c>
      <c r="B122" s="3231" t="s">
        <v>3075</v>
      </c>
      <c r="C122" s="3231">
        <v>13750</v>
      </c>
      <c r="D122" s="3231">
        <v>13680</v>
      </c>
      <c r="E122" s="3231">
        <v>16460</v>
      </c>
      <c r="F122" s="3231">
        <v>2880</v>
      </c>
      <c r="G122" s="3244">
        <v>9040</v>
      </c>
    </row>
    <row r="123" spans="1:7" s="3220" customFormat="1" ht="14.25" customHeight="1">
      <c r="A123" s="3231" t="s">
        <v>303</v>
      </c>
      <c r="B123" s="3231" t="s">
        <v>3006</v>
      </c>
      <c r="C123" s="3231">
        <v>13590</v>
      </c>
      <c r="D123" s="3231">
        <v>13520</v>
      </c>
      <c r="E123" s="3231">
        <v>16290</v>
      </c>
      <c r="F123" s="3231">
        <v>2790</v>
      </c>
      <c r="G123" s="3244">
        <v>8930</v>
      </c>
    </row>
    <row r="124" spans="1:7" s="3220" customFormat="1" ht="14.25" customHeight="1">
      <c r="A124" s="3231" t="s">
        <v>303</v>
      </c>
      <c r="B124" s="3231" t="s">
        <v>3011</v>
      </c>
      <c r="C124" s="3231">
        <v>13400</v>
      </c>
      <c r="D124" s="3231">
        <v>13320</v>
      </c>
      <c r="E124" s="3231">
        <v>16100</v>
      </c>
      <c r="F124" s="3231">
        <v>2320</v>
      </c>
      <c r="G124" s="3244">
        <v>8800</v>
      </c>
    </row>
    <row r="125" spans="1:7" s="3220" customFormat="1" ht="14.25" customHeight="1">
      <c r="A125" s="3231" t="s">
        <v>303</v>
      </c>
      <c r="B125" s="3231" t="s">
        <v>3016</v>
      </c>
      <c r="C125" s="3231">
        <v>12860</v>
      </c>
      <c r="D125" s="3231">
        <v>12790</v>
      </c>
      <c r="E125" s="3231">
        <v>15370</v>
      </c>
      <c r="F125" s="3231">
        <v>2280</v>
      </c>
      <c r="G125" s="3244">
        <v>8450</v>
      </c>
    </row>
    <row r="126" spans="1:7" s="3220" customFormat="1" ht="14.25" customHeight="1" thickBot="1">
      <c r="A126" s="3245" t="s">
        <v>303</v>
      </c>
      <c r="B126" s="3238" t="s">
        <v>3021</v>
      </c>
      <c r="C126" s="3238">
        <v>12960</v>
      </c>
      <c r="D126" s="3238">
        <v>12890</v>
      </c>
      <c r="E126" s="3238">
        <v>15530</v>
      </c>
      <c r="F126" s="3238">
        <v>2910</v>
      </c>
      <c r="G126" s="3246">
        <v>8520</v>
      </c>
    </row>
    <row r="127" spans="1:7" s="3220" customFormat="1" ht="14.25" customHeight="1">
      <c r="A127" s="3236" t="s">
        <v>29</v>
      </c>
      <c r="B127" s="3227" t="s">
        <v>3076</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3077</v>
      </c>
      <c r="C148" s="3231">
        <v>10370</v>
      </c>
      <c r="D148" s="3231">
        <v>10310</v>
      </c>
      <c r="E148" s="3231">
        <v>12970</v>
      </c>
      <c r="F148" s="3231"/>
      <c r="G148" s="3231">
        <v>6630</v>
      </c>
    </row>
    <row r="149" spans="1:7" s="3220" customFormat="1" ht="14.25" customHeight="1">
      <c r="A149" s="3231" t="s">
        <v>29</v>
      </c>
      <c r="B149" s="3231" t="s">
        <v>3078</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2952</v>
      </c>
      <c r="C153" s="3231">
        <v>10880</v>
      </c>
      <c r="D153" s="3231">
        <v>10820</v>
      </c>
      <c r="E153" s="3231">
        <v>13660</v>
      </c>
      <c r="F153" s="3231">
        <v>2260</v>
      </c>
      <c r="G153" s="3231">
        <v>6970</v>
      </c>
    </row>
    <row r="154" spans="1:7" s="3220" customFormat="1" ht="14.25" customHeight="1">
      <c r="A154" s="3231" t="s">
        <v>29</v>
      </c>
      <c r="B154" s="3231" t="s">
        <v>3079</v>
      </c>
      <c r="C154" s="3231">
        <v>11220</v>
      </c>
      <c r="D154" s="3231">
        <v>11160</v>
      </c>
      <c r="E154" s="3231">
        <v>14130</v>
      </c>
      <c r="F154" s="3231">
        <v>2230</v>
      </c>
      <c r="G154" s="3231">
        <v>7180</v>
      </c>
    </row>
    <row r="155" spans="1:7" s="3220" customFormat="1" ht="14.25" customHeight="1">
      <c r="A155" s="3231" t="s">
        <v>29</v>
      </c>
      <c r="B155" s="3231" t="s">
        <v>2965</v>
      </c>
      <c r="C155" s="3231">
        <v>10430</v>
      </c>
      <c r="D155" s="3231">
        <v>10380</v>
      </c>
      <c r="E155" s="3231">
        <v>13140</v>
      </c>
      <c r="F155" s="3231">
        <v>2080</v>
      </c>
      <c r="G155" s="3231">
        <v>6650</v>
      </c>
    </row>
    <row r="156" spans="1:7" s="3220" customFormat="1" ht="14.25" customHeight="1">
      <c r="A156" s="3231" t="s">
        <v>29</v>
      </c>
      <c r="B156" s="3231" t="s">
        <v>3080</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3081</v>
      </c>
      <c r="C160" s="3231">
        <v>11180</v>
      </c>
      <c r="D160" s="3231">
        <v>11140</v>
      </c>
      <c r="E160" s="3231">
        <v>14050</v>
      </c>
      <c r="F160" s="3231">
        <v>2270</v>
      </c>
      <c r="G160" s="3231">
        <v>7170</v>
      </c>
    </row>
    <row r="161" spans="1:7" s="3220" customFormat="1" ht="14.25" customHeight="1">
      <c r="A161" s="3231" t="s">
        <v>29</v>
      </c>
      <c r="B161" s="3231" t="s">
        <v>2997</v>
      </c>
      <c r="C161" s="3231">
        <v>11160</v>
      </c>
      <c r="D161" s="3231">
        <v>11120</v>
      </c>
      <c r="E161" s="3231">
        <v>14020</v>
      </c>
      <c r="F161" s="3231">
        <v>2150</v>
      </c>
      <c r="G161" s="3231">
        <v>7160</v>
      </c>
    </row>
    <row r="162" spans="1:7" s="3220" customFormat="1" ht="14.25" customHeight="1">
      <c r="A162" s="3231" t="s">
        <v>29</v>
      </c>
      <c r="B162" s="3231" t="s">
        <v>3002</v>
      </c>
      <c r="C162" s="3231">
        <v>9620</v>
      </c>
      <c r="D162" s="3231">
        <v>9570</v>
      </c>
      <c r="E162" s="3231">
        <v>12320</v>
      </c>
      <c r="F162" s="3231">
        <v>2010</v>
      </c>
      <c r="G162" s="3231">
        <v>6160</v>
      </c>
    </row>
    <row r="163" spans="1:7" s="3220" customFormat="1" ht="14.25" customHeight="1">
      <c r="A163" s="3231" t="s">
        <v>29</v>
      </c>
      <c r="B163" s="3231" t="s">
        <v>3007</v>
      </c>
      <c r="C163" s="3231">
        <v>9320</v>
      </c>
      <c r="D163" s="3231">
        <v>9270</v>
      </c>
      <c r="E163" s="3231">
        <v>11790</v>
      </c>
      <c r="F163" s="3231">
        <v>1920</v>
      </c>
      <c r="G163" s="3231">
        <v>5960</v>
      </c>
    </row>
    <row r="164" spans="1:7" s="3220" customFormat="1" ht="14.25" customHeight="1">
      <c r="A164" s="3231" t="s">
        <v>29</v>
      </c>
      <c r="B164" s="3231" t="s">
        <v>3012</v>
      </c>
      <c r="C164" s="3231"/>
      <c r="D164" s="3231"/>
      <c r="E164" s="3231"/>
      <c r="F164" s="3231">
        <v>1980</v>
      </c>
      <c r="G164" s="3231"/>
    </row>
    <row r="165" spans="1:7" s="3220" customFormat="1" ht="14.25" customHeight="1">
      <c r="A165" s="3231" t="s">
        <v>29</v>
      </c>
      <c r="B165" s="3231" t="s">
        <v>3082</v>
      </c>
      <c r="C165" s="3231">
        <v>11060</v>
      </c>
      <c r="D165" s="3231">
        <v>11030</v>
      </c>
      <c r="E165" s="3231">
        <v>13850</v>
      </c>
      <c r="F165" s="3231">
        <v>2170</v>
      </c>
      <c r="G165" s="3231">
        <v>7090</v>
      </c>
    </row>
    <row r="166" spans="1:7" s="3220" customFormat="1" ht="14.25" customHeight="1">
      <c r="A166" s="3231" t="s">
        <v>29</v>
      </c>
      <c r="B166" s="3231" t="s">
        <v>3022</v>
      </c>
      <c r="C166" s="3231">
        <v>11050</v>
      </c>
      <c r="D166" s="3231">
        <v>11010</v>
      </c>
      <c r="E166" s="3231">
        <v>13920</v>
      </c>
      <c r="F166" s="3231">
        <v>2140</v>
      </c>
      <c r="G166" s="3231">
        <v>7080</v>
      </c>
    </row>
    <row r="167" spans="1:7" s="3220" customFormat="1" ht="14.25" customHeight="1">
      <c r="A167" s="3231" t="s">
        <v>29</v>
      </c>
      <c r="B167" s="3231" t="s">
        <v>3026</v>
      </c>
      <c r="C167" s="3231">
        <v>10930</v>
      </c>
      <c r="D167" s="3231">
        <v>10890</v>
      </c>
      <c r="E167" s="3231">
        <v>13790</v>
      </c>
      <c r="F167" s="3231">
        <v>2010</v>
      </c>
      <c r="G167" s="3231">
        <v>7000</v>
      </c>
    </row>
    <row r="168" spans="1:7" s="3220" customFormat="1" ht="14.25" customHeight="1">
      <c r="A168" s="3231" t="s">
        <v>29</v>
      </c>
      <c r="B168" s="3231" t="s">
        <v>3031</v>
      </c>
      <c r="C168" s="3231">
        <v>9420</v>
      </c>
      <c r="D168" s="3231">
        <v>9380</v>
      </c>
      <c r="E168" s="3231">
        <v>11970</v>
      </c>
      <c r="F168" s="3231"/>
      <c r="G168" s="3231">
        <v>6040</v>
      </c>
    </row>
    <row r="169" spans="1:7" s="3220" customFormat="1" ht="14.25" customHeight="1">
      <c r="A169" s="3231" t="s">
        <v>29</v>
      </c>
      <c r="B169" s="3231" t="s">
        <v>3083</v>
      </c>
      <c r="C169" s="3231"/>
      <c r="D169" s="3231"/>
      <c r="E169" s="3231"/>
      <c r="F169" s="3231">
        <v>2880</v>
      </c>
      <c r="G169" s="3231"/>
    </row>
    <row r="170" spans="1:7" s="3220" customFormat="1" ht="14.25" customHeight="1">
      <c r="A170" s="3231" t="s">
        <v>29</v>
      </c>
      <c r="B170" s="3231" t="s">
        <v>3039</v>
      </c>
      <c r="C170" s="3231"/>
      <c r="D170" s="3231"/>
      <c r="E170" s="3231"/>
      <c r="F170" s="3231">
        <v>2880</v>
      </c>
      <c r="G170" s="3231"/>
    </row>
    <row r="171" spans="1:7" s="3220" customFormat="1" ht="14.25" customHeight="1">
      <c r="A171" s="3231" t="s">
        <v>29</v>
      </c>
      <c r="B171" s="3231" t="s">
        <v>3042</v>
      </c>
      <c r="C171" s="3231"/>
      <c r="D171" s="3231"/>
      <c r="E171" s="3231"/>
      <c r="F171" s="3231">
        <v>2880</v>
      </c>
      <c r="G171" s="3231"/>
    </row>
    <row r="172" spans="1:7" s="3220" customFormat="1" ht="14.25" customHeight="1">
      <c r="A172" s="3231" t="s">
        <v>29</v>
      </c>
      <c r="B172" s="3231" t="s">
        <v>3044</v>
      </c>
      <c r="C172" s="3231"/>
      <c r="D172" s="3231"/>
      <c r="E172" s="3231"/>
      <c r="F172" s="3231">
        <v>2880</v>
      </c>
      <c r="G172" s="3231"/>
    </row>
    <row r="173" spans="1:7" s="3220" customFormat="1" ht="14.25" customHeight="1">
      <c r="A173" s="3231" t="s">
        <v>29</v>
      </c>
      <c r="B173" s="3231" t="s">
        <v>3046</v>
      </c>
      <c r="C173" s="3231"/>
      <c r="D173" s="3231"/>
      <c r="E173" s="3231"/>
      <c r="F173" s="3231">
        <v>2150</v>
      </c>
      <c r="G173" s="3231"/>
    </row>
    <row r="174" spans="1:7" s="3220" customFormat="1" ht="14.25" customHeight="1">
      <c r="A174" s="3231" t="s">
        <v>29</v>
      </c>
      <c r="B174" s="3231" t="s">
        <v>3048</v>
      </c>
      <c r="C174" s="3231"/>
      <c r="D174" s="3231"/>
      <c r="E174" s="3231"/>
      <c r="F174" s="3231">
        <v>2030</v>
      </c>
      <c r="G174" s="3231"/>
    </row>
    <row r="175" spans="1:7" s="3220" customFormat="1" ht="14.25" customHeight="1">
      <c r="A175" s="3231" t="s">
        <v>29</v>
      </c>
      <c r="B175" s="3231" t="s">
        <v>3050</v>
      </c>
      <c r="C175" s="3231"/>
      <c r="D175" s="3231"/>
      <c r="E175" s="3231"/>
      <c r="F175" s="3231">
        <v>2780</v>
      </c>
      <c r="G175" s="3231"/>
    </row>
    <row r="176" spans="1:7" s="3220" customFormat="1" ht="14.25" customHeight="1">
      <c r="A176" s="3231" t="s">
        <v>29</v>
      </c>
      <c r="B176" s="3231" t="s">
        <v>3052</v>
      </c>
      <c r="C176" s="3231"/>
      <c r="D176" s="3231"/>
      <c r="E176" s="3231"/>
      <c r="F176" s="3231">
        <v>2780</v>
      </c>
      <c r="G176" s="3231"/>
    </row>
    <row r="177" spans="1:7" s="3220" customFormat="1" ht="14.25" customHeight="1">
      <c r="A177" s="3231" t="s">
        <v>29</v>
      </c>
      <c r="B177" s="3231" t="s">
        <v>3084</v>
      </c>
      <c r="C177" s="3231"/>
      <c r="D177" s="3231"/>
      <c r="E177" s="3231"/>
      <c r="F177" s="3231">
        <v>2780</v>
      </c>
      <c r="G177" s="3231"/>
    </row>
    <row r="178" spans="1:7" s="3220" customFormat="1" ht="14.25" customHeight="1">
      <c r="A178" s="3231" t="s">
        <v>29</v>
      </c>
      <c r="B178" s="3231" t="s">
        <v>3085</v>
      </c>
      <c r="C178" s="3231"/>
      <c r="D178" s="3231"/>
      <c r="E178" s="3231"/>
      <c r="F178" s="3231">
        <v>2060</v>
      </c>
      <c r="G178" s="3231"/>
    </row>
    <row r="179" spans="1:7" s="3220" customFormat="1" ht="14.25" customHeight="1">
      <c r="A179" s="3231" t="s">
        <v>29</v>
      </c>
      <c r="B179" s="3231" t="s">
        <v>3086</v>
      </c>
      <c r="C179" s="3231"/>
      <c r="D179" s="3231"/>
      <c r="E179" s="3231"/>
      <c r="F179" s="3231">
        <v>2120</v>
      </c>
      <c r="G179" s="3231"/>
    </row>
    <row r="180" spans="1:7" s="3220" customFormat="1" ht="14.25" customHeight="1">
      <c r="A180" s="3231" t="s">
        <v>29</v>
      </c>
      <c r="B180" s="3231" t="s">
        <v>3058</v>
      </c>
      <c r="C180" s="3231"/>
      <c r="D180" s="3231"/>
      <c r="E180" s="3231"/>
      <c r="F180" s="3231">
        <v>2340</v>
      </c>
      <c r="G180" s="3231"/>
    </row>
    <row r="181" spans="1:7" s="3220" customFormat="1" ht="14.25" customHeight="1">
      <c r="A181" s="3231" t="s">
        <v>29</v>
      </c>
      <c r="B181" s="3231" t="s">
        <v>3059</v>
      </c>
      <c r="C181" s="3231"/>
      <c r="D181" s="3231"/>
      <c r="E181" s="3231"/>
      <c r="F181" s="3231">
        <v>2340</v>
      </c>
      <c r="G181" s="3231"/>
    </row>
    <row r="182" spans="1:7" s="3220" customFormat="1" ht="14.25" customHeight="1">
      <c r="A182" s="3231" t="s">
        <v>29</v>
      </c>
      <c r="B182" s="3231" t="s">
        <v>3060</v>
      </c>
      <c r="C182" s="3231"/>
      <c r="D182" s="3231"/>
      <c r="E182" s="3231"/>
      <c r="F182" s="3231">
        <v>2340</v>
      </c>
      <c r="G182" s="3231"/>
    </row>
    <row r="183" spans="1:7" s="3220" customFormat="1" ht="14.25" customHeight="1">
      <c r="A183" s="3231" t="s">
        <v>29</v>
      </c>
      <c r="B183" s="3231" t="s">
        <v>3061</v>
      </c>
      <c r="C183" s="3231"/>
      <c r="D183" s="3231"/>
      <c r="E183" s="3231"/>
      <c r="F183" s="3231">
        <v>2340</v>
      </c>
      <c r="G183" s="3231"/>
    </row>
    <row r="184" spans="1:7" s="3220" customFormat="1" ht="14.25" customHeight="1">
      <c r="A184" s="3231" t="s">
        <v>29</v>
      </c>
      <c r="B184" s="3231" t="s">
        <v>3062</v>
      </c>
      <c r="C184" s="3231"/>
      <c r="D184" s="3231"/>
      <c r="E184" s="3231"/>
      <c r="F184" s="3231">
        <v>2340</v>
      </c>
      <c r="G184" s="3231"/>
    </row>
    <row r="185" spans="1:7" s="3220" customFormat="1" ht="14.25" customHeight="1">
      <c r="A185" s="3231" t="s">
        <v>29</v>
      </c>
      <c r="B185" s="3231" t="s">
        <v>3063</v>
      </c>
      <c r="C185" s="3231"/>
      <c r="D185" s="3231"/>
      <c r="E185" s="3231"/>
      <c r="F185" s="3231">
        <v>2530</v>
      </c>
      <c r="G185" s="3231"/>
    </row>
    <row r="186" spans="1:7" s="3220" customFormat="1" ht="14.25" customHeight="1">
      <c r="A186" s="3231" t="s">
        <v>29</v>
      </c>
      <c r="B186" s="3231" t="s">
        <v>3064</v>
      </c>
      <c r="C186" s="3231"/>
      <c r="D186" s="3231"/>
      <c r="E186" s="3231"/>
      <c r="F186" s="3231">
        <v>2550</v>
      </c>
      <c r="G186" s="3231"/>
    </row>
    <row r="187" spans="1:7" s="3220" customFormat="1" ht="14.25" customHeight="1">
      <c r="A187" s="3231" t="s">
        <v>29</v>
      </c>
      <c r="B187" s="3231" t="s">
        <v>3065</v>
      </c>
      <c r="C187" s="3231"/>
      <c r="D187" s="3231"/>
      <c r="E187" s="3231"/>
      <c r="F187" s="3231">
        <v>2070</v>
      </c>
      <c r="G187" s="3231"/>
    </row>
    <row r="188" spans="1:7" s="3220" customFormat="1" ht="14.25" customHeight="1">
      <c r="A188" s="3231" t="s">
        <v>29</v>
      </c>
      <c r="B188" s="3231" t="s">
        <v>3066</v>
      </c>
      <c r="C188" s="3231"/>
      <c r="D188" s="3231"/>
      <c r="E188" s="3231"/>
      <c r="F188" s="3231">
        <v>2340</v>
      </c>
      <c r="G188" s="3231"/>
    </row>
    <row r="189" spans="1:7" s="3220" customFormat="1" ht="14.25" customHeight="1" thickBot="1">
      <c r="A189" s="3239" t="s">
        <v>29</v>
      </c>
      <c r="B189" s="3242" t="s">
        <v>3067</v>
      </c>
      <c r="C189" s="3242"/>
      <c r="D189" s="3242"/>
      <c r="E189" s="3242"/>
      <c r="F189" s="3242">
        <v>2050</v>
      </c>
      <c r="G189" s="3242"/>
    </row>
    <row r="190" spans="1:7" s="3220" customFormat="1" ht="14.25" customHeight="1">
      <c r="A190" s="3236" t="s">
        <v>304</v>
      </c>
      <c r="B190" s="3227" t="s">
        <v>3087</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3088</v>
      </c>
      <c r="C199" s="3231">
        <v>8690</v>
      </c>
      <c r="D199" s="3231">
        <v>8630</v>
      </c>
      <c r="E199" s="3231">
        <v>11350</v>
      </c>
      <c r="F199" s="3231">
        <v>1600</v>
      </c>
      <c r="G199" s="3244">
        <v>5450</v>
      </c>
    </row>
    <row r="200" spans="1:7" s="3220" customFormat="1" ht="14.25" customHeight="1">
      <c r="A200" s="3231" t="s">
        <v>304</v>
      </c>
      <c r="B200" s="3231" t="s">
        <v>2899</v>
      </c>
      <c r="C200" s="3231"/>
      <c r="D200" s="3231"/>
      <c r="E200" s="3231"/>
      <c r="F200" s="3231">
        <v>1510</v>
      </c>
      <c r="G200" s="3244"/>
    </row>
    <row r="201" spans="1:7" s="3220" customFormat="1" ht="14.25" customHeight="1">
      <c r="A201" s="3231" t="s">
        <v>304</v>
      </c>
      <c r="B201" s="3231" t="s">
        <v>3089</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3090</v>
      </c>
      <c r="C203" s="3231">
        <v>8130</v>
      </c>
      <c r="D203" s="3231">
        <v>8070</v>
      </c>
      <c r="E203" s="3231">
        <v>10820</v>
      </c>
      <c r="F203" s="3231">
        <v>1690</v>
      </c>
      <c r="G203" s="3244">
        <v>5100</v>
      </c>
    </row>
    <row r="204" spans="1:7" s="3220" customFormat="1" ht="14.25" customHeight="1">
      <c r="A204" s="3231" t="s">
        <v>304</v>
      </c>
      <c r="B204" s="3231" t="s">
        <v>2910</v>
      </c>
      <c r="C204" s="3231">
        <v>8350</v>
      </c>
      <c r="D204" s="3231">
        <v>8290</v>
      </c>
      <c r="E204" s="3231">
        <v>11080</v>
      </c>
      <c r="F204" s="3231">
        <v>1450</v>
      </c>
      <c r="G204" s="3244">
        <v>5240</v>
      </c>
    </row>
    <row r="205" spans="1:7" s="3220" customFormat="1" ht="14.25" customHeight="1">
      <c r="A205" s="3231" t="s">
        <v>304</v>
      </c>
      <c r="B205" s="3231" t="s">
        <v>2912</v>
      </c>
      <c r="C205" s="3231">
        <v>7190</v>
      </c>
      <c r="D205" s="3231">
        <v>7130</v>
      </c>
      <c r="E205" s="3231">
        <v>9490</v>
      </c>
      <c r="F205" s="3231">
        <v>1470</v>
      </c>
      <c r="G205" s="3244">
        <v>4510</v>
      </c>
    </row>
    <row r="206" spans="1:7" s="3220" customFormat="1" ht="14.25" customHeight="1">
      <c r="A206" s="3231" t="s">
        <v>304</v>
      </c>
      <c r="B206" s="3231" t="s">
        <v>2915</v>
      </c>
      <c r="C206" s="3231">
        <v>7000</v>
      </c>
      <c r="D206" s="3231">
        <v>6950</v>
      </c>
      <c r="E206" s="3231">
        <v>9170</v>
      </c>
      <c r="F206" s="3231">
        <v>1400</v>
      </c>
      <c r="G206" s="3244">
        <v>4380</v>
      </c>
    </row>
    <row r="207" spans="1:7" s="3220" customFormat="1" ht="14.25" customHeight="1">
      <c r="A207" s="3231" t="s">
        <v>304</v>
      </c>
      <c r="B207" s="3231" t="s">
        <v>2917</v>
      </c>
      <c r="C207" s="3231">
        <v>6950</v>
      </c>
      <c r="D207" s="3231">
        <v>6900</v>
      </c>
      <c r="E207" s="3231">
        <v>9110</v>
      </c>
      <c r="F207" s="3231">
        <v>1790</v>
      </c>
      <c r="G207" s="3244">
        <v>4360</v>
      </c>
    </row>
    <row r="208" spans="1:7" s="3220" customFormat="1" ht="14.25" customHeight="1">
      <c r="A208" s="3231" t="s">
        <v>304</v>
      </c>
      <c r="B208" s="3231" t="s">
        <v>3091</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2927</v>
      </c>
      <c r="C210" s="3231">
        <v>8710</v>
      </c>
      <c r="D210" s="3231">
        <v>8660</v>
      </c>
      <c r="E210" s="3231">
        <v>11440</v>
      </c>
      <c r="F210" s="3231">
        <v>1740</v>
      </c>
      <c r="G210" s="3244">
        <v>5470</v>
      </c>
    </row>
    <row r="211" spans="1:7" s="3220" customFormat="1" ht="14.25" customHeight="1">
      <c r="A211" s="3231" t="s">
        <v>304</v>
      </c>
      <c r="B211" s="3231" t="s">
        <v>3092</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3093</v>
      </c>
      <c r="C214" s="3231">
        <v>8090</v>
      </c>
      <c r="D214" s="3231">
        <v>8030</v>
      </c>
      <c r="E214" s="3231">
        <v>10780</v>
      </c>
      <c r="F214" s="3231">
        <v>1570</v>
      </c>
      <c r="G214" s="3244">
        <v>5070</v>
      </c>
    </row>
    <row r="215" spans="1:7" s="3220" customFormat="1" ht="14.25" customHeight="1">
      <c r="A215" s="3231" t="s">
        <v>304</v>
      </c>
      <c r="B215" s="3231" t="s">
        <v>3094</v>
      </c>
      <c r="C215" s="3231">
        <v>7950</v>
      </c>
      <c r="D215" s="3231">
        <v>7900</v>
      </c>
      <c r="E215" s="3231">
        <v>10560</v>
      </c>
      <c r="F215" s="3231">
        <v>1630</v>
      </c>
      <c r="G215" s="3244">
        <v>4990</v>
      </c>
    </row>
    <row r="216" spans="1:7" s="3220" customFormat="1" ht="14.25" customHeight="1">
      <c r="A216" s="3231" t="s">
        <v>304</v>
      </c>
      <c r="B216" s="3231" t="s">
        <v>3095</v>
      </c>
      <c r="C216" s="3231">
        <v>8490</v>
      </c>
      <c r="D216" s="3231">
        <v>8440</v>
      </c>
      <c r="E216" s="3231">
        <v>11260</v>
      </c>
      <c r="F216" s="3231">
        <v>1690</v>
      </c>
      <c r="G216" s="3244">
        <v>5330</v>
      </c>
    </row>
    <row r="217" spans="1:7" s="3220" customFormat="1" ht="14.25" customHeight="1">
      <c r="A217" s="3231" t="s">
        <v>304</v>
      </c>
      <c r="B217" s="3231" t="s">
        <v>2960</v>
      </c>
      <c r="C217" s="3231">
        <v>8200</v>
      </c>
      <c r="D217" s="3231">
        <v>8150</v>
      </c>
      <c r="E217" s="3231">
        <v>10910</v>
      </c>
      <c r="F217" s="3231">
        <v>1670</v>
      </c>
      <c r="G217" s="3244">
        <v>5150</v>
      </c>
    </row>
    <row r="218" spans="1:7" s="3220" customFormat="1" ht="14.25" customHeight="1">
      <c r="A218" s="3231" t="s">
        <v>304</v>
      </c>
      <c r="B218" s="3231" t="s">
        <v>3096</v>
      </c>
      <c r="C218" s="3231"/>
      <c r="D218" s="3231"/>
      <c r="E218" s="3231"/>
      <c r="F218" s="3231">
        <v>2040</v>
      </c>
      <c r="G218" s="3244"/>
    </row>
    <row r="219" spans="1:7" s="3220" customFormat="1" ht="14.25" customHeight="1">
      <c r="A219" s="3231" t="s">
        <v>304</v>
      </c>
      <c r="B219" s="3231" t="s">
        <v>3097</v>
      </c>
      <c r="C219" s="3231"/>
      <c r="D219" s="3231"/>
      <c r="E219" s="3231"/>
      <c r="F219" s="3231">
        <v>2040</v>
      </c>
      <c r="G219" s="3244"/>
    </row>
    <row r="220" spans="1:7" s="3220" customFormat="1" ht="14.25" customHeight="1">
      <c r="A220" s="3231" t="s">
        <v>304</v>
      </c>
      <c r="B220" s="3231" t="s">
        <v>3098</v>
      </c>
      <c r="C220" s="3231"/>
      <c r="D220" s="3231"/>
      <c r="E220" s="3231"/>
      <c r="F220" s="3231">
        <v>2040</v>
      </c>
      <c r="G220" s="3244"/>
    </row>
    <row r="221" spans="1:7" s="3220" customFormat="1" ht="14.25" customHeight="1">
      <c r="A221" s="3231" t="s">
        <v>304</v>
      </c>
      <c r="B221" s="3231" t="s">
        <v>3099</v>
      </c>
      <c r="C221" s="3231"/>
      <c r="D221" s="3231"/>
      <c r="E221" s="3231"/>
      <c r="F221" s="3231">
        <v>2040</v>
      </c>
      <c r="G221" s="3244"/>
    </row>
    <row r="222" spans="1:7" s="3220" customFormat="1" ht="14.25" customHeight="1">
      <c r="A222" s="3231" t="s">
        <v>304</v>
      </c>
      <c r="B222" s="3231" t="s">
        <v>3100</v>
      </c>
      <c r="C222" s="3231"/>
      <c r="D222" s="3231"/>
      <c r="E222" s="3231"/>
      <c r="F222" s="3231">
        <v>2040</v>
      </c>
      <c r="G222" s="3244"/>
    </row>
    <row r="223" spans="1:7" s="3220" customFormat="1" ht="14.25" customHeight="1">
      <c r="A223" s="3231" t="s">
        <v>304</v>
      </c>
      <c r="B223" s="3231" t="s">
        <v>3101</v>
      </c>
      <c r="C223" s="3231"/>
      <c r="D223" s="3231"/>
      <c r="E223" s="3231"/>
      <c r="F223" s="3231">
        <v>1930</v>
      </c>
      <c r="G223" s="3244"/>
    </row>
    <row r="224" spans="1:7" s="3220" customFormat="1" ht="14.25" customHeight="1">
      <c r="A224" s="3231" t="s">
        <v>304</v>
      </c>
      <c r="B224" s="3231" t="s">
        <v>3102</v>
      </c>
      <c r="C224" s="3231"/>
      <c r="D224" s="3231"/>
      <c r="E224" s="3231"/>
      <c r="F224" s="3231">
        <v>1930</v>
      </c>
      <c r="G224" s="3244"/>
    </row>
    <row r="225" spans="1:7" s="3220" customFormat="1" ht="14.25" customHeight="1">
      <c r="A225" s="3231" t="s">
        <v>304</v>
      </c>
      <c r="B225" s="3231" t="s">
        <v>3103</v>
      </c>
      <c r="C225" s="3231"/>
      <c r="D225" s="3231"/>
      <c r="E225" s="3231"/>
      <c r="F225" s="3231">
        <v>1930</v>
      </c>
      <c r="G225" s="3244"/>
    </row>
    <row r="226" spans="1:7" s="3220" customFormat="1" ht="14.25" customHeight="1">
      <c r="A226" s="3231" t="s">
        <v>304</v>
      </c>
      <c r="B226" s="3231" t="s">
        <v>3104</v>
      </c>
      <c r="C226" s="3231"/>
      <c r="D226" s="3231"/>
      <c r="E226" s="3231"/>
      <c r="F226" s="3231">
        <v>1700</v>
      </c>
      <c r="G226" s="3244"/>
    </row>
    <row r="227" spans="1:7" s="3220" customFormat="1" ht="14.25" customHeight="1">
      <c r="A227" s="3231" t="s">
        <v>304</v>
      </c>
      <c r="B227" s="3231" t="s">
        <v>3105</v>
      </c>
      <c r="C227" s="3231"/>
      <c r="D227" s="3231"/>
      <c r="E227" s="3231"/>
      <c r="F227" s="3231">
        <v>1520</v>
      </c>
      <c r="G227" s="3244"/>
    </row>
    <row r="228" spans="1:7" s="3220" customFormat="1" ht="14.25" customHeight="1">
      <c r="A228" s="3231" t="s">
        <v>304</v>
      </c>
      <c r="B228" s="3231" t="s">
        <v>3106</v>
      </c>
      <c r="C228" s="3231"/>
      <c r="D228" s="3231"/>
      <c r="E228" s="3231"/>
      <c r="F228" s="3231">
        <v>1520</v>
      </c>
      <c r="G228" s="3244"/>
    </row>
    <row r="229" spans="1:7" s="3220" customFormat="1" ht="14.25" customHeight="1">
      <c r="A229" s="3231" t="s">
        <v>304</v>
      </c>
      <c r="B229" s="3231" t="s">
        <v>3023</v>
      </c>
      <c r="C229" s="3231"/>
      <c r="D229" s="3231"/>
      <c r="E229" s="3231"/>
      <c r="F229" s="3231">
        <v>1520</v>
      </c>
      <c r="G229" s="3244"/>
    </row>
    <row r="230" spans="1:7" s="3220" customFormat="1" ht="14.25" customHeight="1">
      <c r="A230" s="3231" t="s">
        <v>304</v>
      </c>
      <c r="B230" s="3231" t="s">
        <v>3107</v>
      </c>
      <c r="C230" s="3231"/>
      <c r="D230" s="3231"/>
      <c r="E230" s="3231"/>
      <c r="F230" s="3231">
        <v>1820</v>
      </c>
      <c r="G230" s="3244"/>
    </row>
    <row r="231" spans="1:7" s="3220" customFormat="1" ht="14.25" customHeight="1">
      <c r="A231" s="3231" t="s">
        <v>304</v>
      </c>
      <c r="B231" s="3231" t="s">
        <v>3108</v>
      </c>
      <c r="C231" s="3231"/>
      <c r="D231" s="3231"/>
      <c r="E231" s="3231"/>
      <c r="F231" s="3231">
        <v>1760</v>
      </c>
      <c r="G231" s="3244"/>
    </row>
    <row r="232" spans="1:7" s="3220" customFormat="1" ht="14.25" customHeight="1">
      <c r="A232" s="3231" t="s">
        <v>304</v>
      </c>
      <c r="B232" s="3231" t="s">
        <v>3109</v>
      </c>
      <c r="C232" s="3231"/>
      <c r="D232" s="3231"/>
      <c r="E232" s="3231"/>
      <c r="F232" s="3231">
        <v>1840</v>
      </c>
      <c r="G232" s="3244"/>
    </row>
    <row r="233" spans="1:7" s="3220" customFormat="1" ht="14.25" customHeight="1" thickBot="1">
      <c r="A233" s="3245" t="s">
        <v>304</v>
      </c>
      <c r="B233" s="3238" t="s">
        <v>3040</v>
      </c>
      <c r="C233" s="3238"/>
      <c r="D233" s="3238"/>
      <c r="E233" s="3238"/>
      <c r="F233" s="3238">
        <v>1770</v>
      </c>
      <c r="G233" s="3246"/>
    </row>
    <row r="234" spans="1:7" s="3220" customFormat="1" ht="14.25" customHeight="1">
      <c r="A234" s="3236" t="s">
        <v>305</v>
      </c>
      <c r="B234" s="3227" t="s">
        <v>3110</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2881</v>
      </c>
      <c r="C238" s="3231">
        <v>6920</v>
      </c>
      <c r="D238" s="3231">
        <v>6890</v>
      </c>
      <c r="E238" s="3231">
        <v>8640</v>
      </c>
      <c r="F238" s="3231">
        <v>1310</v>
      </c>
      <c r="G238" s="3231">
        <v>4230</v>
      </c>
    </row>
    <row r="239" spans="1:7" s="3220" customFormat="1" ht="14.25" customHeight="1">
      <c r="A239" s="3231" t="s">
        <v>305</v>
      </c>
      <c r="B239" s="3231" t="s">
        <v>3111</v>
      </c>
      <c r="C239" s="3231">
        <v>6780</v>
      </c>
      <c r="D239" s="3231">
        <v>6750</v>
      </c>
      <c r="E239" s="3231">
        <v>8440</v>
      </c>
      <c r="F239" s="3231">
        <v>1160</v>
      </c>
      <c r="G239" s="3231">
        <v>4140</v>
      </c>
    </row>
    <row r="240" spans="1:7" s="3220" customFormat="1" ht="14.25" customHeight="1">
      <c r="A240" s="3231" t="s">
        <v>305</v>
      </c>
      <c r="B240" s="3231" t="s">
        <v>3112</v>
      </c>
      <c r="C240" s="3231">
        <v>5420</v>
      </c>
      <c r="D240" s="3231">
        <v>5380</v>
      </c>
      <c r="E240" s="3231">
        <v>6640</v>
      </c>
      <c r="F240" s="3231">
        <v>1020</v>
      </c>
      <c r="G240" s="3231">
        <v>3300</v>
      </c>
    </row>
    <row r="241" spans="1:7" s="3220" customFormat="1" ht="14.25" customHeight="1">
      <c r="A241" s="3231" t="s">
        <v>305</v>
      </c>
      <c r="B241" s="3231" t="s">
        <v>3113</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3114</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3115</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3116</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3117</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3118</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2943</v>
      </c>
      <c r="C258" s="3231">
        <v>6190</v>
      </c>
      <c r="D258" s="3231">
        <v>6160</v>
      </c>
      <c r="E258" s="3231">
        <v>7680</v>
      </c>
      <c r="F258" s="3231">
        <v>1170</v>
      </c>
      <c r="G258" s="3231">
        <v>3780</v>
      </c>
    </row>
    <row r="259" spans="1:7" s="3220" customFormat="1" ht="14.25" customHeight="1">
      <c r="A259" s="3231" t="s">
        <v>305</v>
      </c>
      <c r="B259" s="3231" t="s">
        <v>3119</v>
      </c>
      <c r="C259" s="3231">
        <v>7610</v>
      </c>
      <c r="D259" s="3231">
        <v>7570</v>
      </c>
      <c r="E259" s="3231">
        <v>9350</v>
      </c>
      <c r="F259" s="3231">
        <v>1350</v>
      </c>
      <c r="G259" s="3231">
        <v>4650</v>
      </c>
    </row>
    <row r="260" spans="1:7" s="3220" customFormat="1" ht="14.25" customHeight="1">
      <c r="A260" s="3231" t="s">
        <v>305</v>
      </c>
      <c r="B260" s="3231" t="s">
        <v>3120</v>
      </c>
      <c r="C260" s="3231">
        <v>6920</v>
      </c>
      <c r="D260" s="3231">
        <v>6880</v>
      </c>
      <c r="E260" s="3231">
        <v>8380</v>
      </c>
      <c r="F260" s="3231">
        <v>1160</v>
      </c>
      <c r="G260" s="3231">
        <v>4220</v>
      </c>
    </row>
    <row r="261" spans="1:7" s="3220" customFormat="1" ht="14.25" customHeight="1">
      <c r="A261" s="3231" t="s">
        <v>305</v>
      </c>
      <c r="B261" s="3231" t="s">
        <v>3121</v>
      </c>
      <c r="C261" s="3231">
        <v>6850</v>
      </c>
      <c r="D261" s="3231">
        <v>6810</v>
      </c>
      <c r="E261" s="3231">
        <v>8290</v>
      </c>
      <c r="F261" s="3231">
        <v>1130</v>
      </c>
      <c r="G261" s="3231">
        <v>4180</v>
      </c>
    </row>
    <row r="262" spans="1:7" s="3220" customFormat="1" ht="14.25" customHeight="1">
      <c r="A262" s="3231" t="s">
        <v>305</v>
      </c>
      <c r="B262" s="3231" t="s">
        <v>3122</v>
      </c>
      <c r="C262" s="3231">
        <v>5860</v>
      </c>
      <c r="D262" s="3231">
        <v>5820</v>
      </c>
      <c r="E262" s="3231">
        <v>7640</v>
      </c>
      <c r="F262" s="3231">
        <v>1070</v>
      </c>
      <c r="G262" s="3231">
        <v>3570</v>
      </c>
    </row>
    <row r="263" spans="1:7" s="3220" customFormat="1" ht="14.25" customHeight="1">
      <c r="A263" s="3231" t="s">
        <v>305</v>
      </c>
      <c r="B263" s="3231" t="s">
        <v>3123</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3124</v>
      </c>
      <c r="C265" s="3231"/>
      <c r="D265" s="3231"/>
      <c r="E265" s="3231"/>
      <c r="F265" s="3231">
        <v>1500</v>
      </c>
      <c r="G265" s="3231"/>
    </row>
    <row r="266" spans="1:7" s="3220" customFormat="1" ht="14.25" customHeight="1">
      <c r="A266" s="3231" t="s">
        <v>305</v>
      </c>
      <c r="B266" s="3231" t="s">
        <v>3125</v>
      </c>
      <c r="C266" s="3231"/>
      <c r="D266" s="3231"/>
      <c r="E266" s="3231"/>
      <c r="F266" s="3231">
        <v>1500</v>
      </c>
      <c r="G266" s="3231"/>
    </row>
    <row r="267" spans="1:7" s="3220" customFormat="1" ht="14.25" customHeight="1">
      <c r="A267" s="3231" t="s">
        <v>305</v>
      </c>
      <c r="B267" s="3231" t="s">
        <v>3126</v>
      </c>
      <c r="C267" s="3231"/>
      <c r="D267" s="3231"/>
      <c r="E267" s="3231"/>
      <c r="F267" s="3231">
        <v>1500</v>
      </c>
      <c r="G267" s="3231"/>
    </row>
    <row r="268" spans="1:7" s="3220" customFormat="1" ht="14.25" customHeight="1">
      <c r="A268" s="3231" t="s">
        <v>305</v>
      </c>
      <c r="B268" s="3231" t="s">
        <v>3127</v>
      </c>
      <c r="C268" s="3231"/>
      <c r="D268" s="3231"/>
      <c r="E268" s="3231"/>
      <c r="F268" s="3231">
        <v>1290</v>
      </c>
      <c r="G268" s="3231"/>
    </row>
    <row r="269" spans="1:7" s="3220" customFormat="1" ht="14.25" customHeight="1">
      <c r="A269" s="3231" t="s">
        <v>305</v>
      </c>
      <c r="B269" s="3231" t="s">
        <v>3128</v>
      </c>
      <c r="C269" s="3231"/>
      <c r="D269" s="3231"/>
      <c r="E269" s="3231"/>
      <c r="F269" s="3231">
        <v>1150</v>
      </c>
      <c r="G269" s="3231"/>
    </row>
    <row r="270" spans="1:7" s="3220" customFormat="1" ht="14.25" customHeight="1">
      <c r="A270" s="3231" t="s">
        <v>305</v>
      </c>
      <c r="B270" s="3231" t="s">
        <v>3129</v>
      </c>
      <c r="C270" s="3231"/>
      <c r="D270" s="3231"/>
      <c r="E270" s="3231"/>
      <c r="F270" s="3231">
        <v>1380</v>
      </c>
      <c r="G270" s="3231"/>
    </row>
    <row r="271" spans="1:7" s="3220" customFormat="1" ht="14.25" customHeight="1">
      <c r="A271" s="3231" t="s">
        <v>305</v>
      </c>
      <c r="B271" s="3231" t="s">
        <v>3130</v>
      </c>
      <c r="C271" s="3231"/>
      <c r="D271" s="3231"/>
      <c r="E271" s="3231"/>
      <c r="F271" s="3231">
        <v>1460</v>
      </c>
      <c r="G271" s="3231"/>
    </row>
    <row r="272" spans="1:7" s="3220" customFormat="1" ht="14.25" customHeight="1">
      <c r="A272" s="3231" t="s">
        <v>305</v>
      </c>
      <c r="B272" s="3231" t="s">
        <v>3131</v>
      </c>
      <c r="C272" s="3231"/>
      <c r="D272" s="3231"/>
      <c r="E272" s="3231"/>
      <c r="F272" s="3231">
        <v>1460</v>
      </c>
      <c r="G272" s="3231"/>
    </row>
    <row r="273" spans="1:7" s="3220" customFormat="1" ht="14.25" customHeight="1">
      <c r="A273" s="3231" t="s">
        <v>305</v>
      </c>
      <c r="B273" s="3231" t="s">
        <v>3024</v>
      </c>
      <c r="C273" s="3231"/>
      <c r="D273" s="3231"/>
      <c r="E273" s="3231"/>
      <c r="F273" s="3231">
        <v>1490</v>
      </c>
      <c r="G273" s="3231"/>
    </row>
    <row r="274" spans="1:7" s="3220" customFormat="1" ht="14.25" customHeight="1">
      <c r="A274" s="3231" t="s">
        <v>305</v>
      </c>
      <c r="B274" s="3231" t="s">
        <v>3132</v>
      </c>
      <c r="C274" s="3231"/>
      <c r="D274" s="3231"/>
      <c r="E274" s="3231"/>
      <c r="F274" s="3231">
        <v>1490</v>
      </c>
      <c r="G274" s="3231"/>
    </row>
    <row r="275" spans="1:7" s="3220" customFormat="1" ht="14.25" customHeight="1">
      <c r="A275" s="3231" t="s">
        <v>305</v>
      </c>
      <c r="B275" s="3231" t="s">
        <v>3133</v>
      </c>
      <c r="C275" s="3231"/>
      <c r="D275" s="3231"/>
      <c r="E275" s="3231"/>
      <c r="F275" s="3231">
        <v>1220</v>
      </c>
      <c r="G275" s="3231"/>
    </row>
    <row r="276" spans="1:7" s="3220" customFormat="1" ht="14.25" customHeight="1" thickBot="1">
      <c r="A276" s="3239" t="s">
        <v>305</v>
      </c>
      <c r="B276" s="3241" t="s">
        <v>3134</v>
      </c>
      <c r="C276" s="3242"/>
      <c r="D276" s="3242"/>
      <c r="E276" s="3242"/>
      <c r="F276" s="3242">
        <v>1380</v>
      </c>
      <c r="G276" s="3242"/>
    </row>
    <row r="277" spans="1:7" s="3220" customFormat="1" ht="14.25" customHeight="1">
      <c r="A277" s="3236" t="s">
        <v>306</v>
      </c>
      <c r="B277" s="3227" t="s">
        <v>3135</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3136</v>
      </c>
      <c r="C279" s="3231">
        <v>4760</v>
      </c>
      <c r="D279" s="3231">
        <v>4720</v>
      </c>
      <c r="E279" s="3231">
        <v>5540</v>
      </c>
      <c r="F279" s="3231">
        <v>810</v>
      </c>
      <c r="G279" s="3244">
        <v>2850</v>
      </c>
    </row>
    <row r="280" spans="1:7" s="3220" customFormat="1" ht="14.25" customHeight="1">
      <c r="A280" s="3231" t="s">
        <v>306</v>
      </c>
      <c r="B280" s="3231" t="s">
        <v>3137</v>
      </c>
      <c r="C280" s="3231">
        <v>4010</v>
      </c>
      <c r="D280" s="3231">
        <v>3950</v>
      </c>
      <c r="E280" s="3231">
        <v>4710</v>
      </c>
      <c r="F280" s="3231">
        <v>800</v>
      </c>
      <c r="G280" s="3244">
        <v>2390</v>
      </c>
    </row>
    <row r="281" spans="1:7" s="3220" customFormat="1" ht="14.25" customHeight="1">
      <c r="A281" s="3231" t="s">
        <v>306</v>
      </c>
      <c r="B281" s="3231" t="s">
        <v>3138</v>
      </c>
      <c r="C281" s="3231">
        <v>4480</v>
      </c>
      <c r="D281" s="3231">
        <v>4420</v>
      </c>
      <c r="E281" s="3231">
        <v>5230</v>
      </c>
      <c r="F281" s="3231">
        <v>870</v>
      </c>
      <c r="G281" s="3244">
        <v>2660</v>
      </c>
    </row>
    <row r="282" spans="1:7" s="3220" customFormat="1" ht="14.25" customHeight="1">
      <c r="A282" s="3231" t="s">
        <v>306</v>
      </c>
      <c r="B282" s="3231" t="s">
        <v>3139</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3140</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3141</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2916</v>
      </c>
      <c r="C293" s="3231">
        <v>5320</v>
      </c>
      <c r="D293" s="3231">
        <v>5270</v>
      </c>
      <c r="E293" s="3231">
        <v>6160</v>
      </c>
      <c r="F293" s="3231">
        <v>990</v>
      </c>
      <c r="G293" s="3244">
        <v>3170</v>
      </c>
    </row>
    <row r="294" spans="1:7" s="3220" customFormat="1" ht="14.25" customHeight="1">
      <c r="A294" s="3231" t="s">
        <v>306</v>
      </c>
      <c r="B294" s="3231" t="s">
        <v>3142</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2935</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3143</v>
      </c>
      <c r="C302" s="3231">
        <v>5520</v>
      </c>
      <c r="D302" s="3231">
        <v>5470</v>
      </c>
      <c r="E302" s="3231">
        <v>6410</v>
      </c>
      <c r="F302" s="3231">
        <v>950</v>
      </c>
      <c r="G302" s="3244">
        <v>3300</v>
      </c>
    </row>
    <row r="303" spans="1:7" s="3220" customFormat="1" ht="14.25" customHeight="1">
      <c r="A303" s="3231" t="s">
        <v>306</v>
      </c>
      <c r="B303" s="3231" t="s">
        <v>2955</v>
      </c>
      <c r="C303" s="3231">
        <v>5630</v>
      </c>
      <c r="D303" s="3231">
        <v>5590</v>
      </c>
      <c r="E303" s="3231">
        <v>6550</v>
      </c>
      <c r="F303" s="3231">
        <v>1010</v>
      </c>
      <c r="G303" s="3244">
        <v>3370</v>
      </c>
    </row>
    <row r="304" spans="1:7" s="3220" customFormat="1" ht="14.25" customHeight="1">
      <c r="A304" s="3231" t="s">
        <v>306</v>
      </c>
      <c r="B304" s="3231" t="s">
        <v>2962</v>
      </c>
      <c r="C304" s="3231">
        <v>5680</v>
      </c>
      <c r="D304" s="3231">
        <v>5620</v>
      </c>
      <c r="E304" s="3231">
        <v>6620</v>
      </c>
      <c r="F304" s="3231">
        <v>1050</v>
      </c>
      <c r="G304" s="3244">
        <v>3390</v>
      </c>
    </row>
    <row r="305" spans="1:7" s="3220" customFormat="1" ht="14.25" customHeight="1">
      <c r="A305" s="3231" t="s">
        <v>306</v>
      </c>
      <c r="B305" s="3231" t="s">
        <v>2968</v>
      </c>
      <c r="C305" s="3231">
        <v>5590</v>
      </c>
      <c r="D305" s="3231">
        <v>5530</v>
      </c>
      <c r="E305" s="3231">
        <v>6460</v>
      </c>
      <c r="F305" s="3231">
        <v>900</v>
      </c>
      <c r="G305" s="3244">
        <v>3340</v>
      </c>
    </row>
    <row r="306" spans="1:7" s="3220" customFormat="1" ht="14.25" customHeight="1">
      <c r="A306" s="3231" t="s">
        <v>306</v>
      </c>
      <c r="B306" s="3231" t="s">
        <v>3144</v>
      </c>
      <c r="C306" s="3231">
        <v>5560</v>
      </c>
      <c r="D306" s="3231">
        <v>5510</v>
      </c>
      <c r="E306" s="3231">
        <v>6440</v>
      </c>
      <c r="F306" s="3231">
        <v>900</v>
      </c>
      <c r="G306" s="3244">
        <v>3320</v>
      </c>
    </row>
    <row r="307" spans="1:7" s="3220" customFormat="1" ht="14.25" customHeight="1">
      <c r="A307" s="3231" t="s">
        <v>306</v>
      </c>
      <c r="B307" s="3231" t="s">
        <v>2980</v>
      </c>
      <c r="C307" s="3231">
        <v>5650</v>
      </c>
      <c r="D307" s="3231">
        <v>5600</v>
      </c>
      <c r="E307" s="3231">
        <v>6590</v>
      </c>
      <c r="F307" s="3231">
        <v>930</v>
      </c>
      <c r="G307" s="3244">
        <v>3380</v>
      </c>
    </row>
    <row r="308" spans="1:7" s="3220" customFormat="1" ht="14.25" customHeight="1">
      <c r="A308" s="3231" t="s">
        <v>306</v>
      </c>
      <c r="B308" s="3231" t="s">
        <v>3145</v>
      </c>
      <c r="C308" s="3231">
        <v>5620</v>
      </c>
      <c r="D308" s="3231">
        <v>5580</v>
      </c>
      <c r="E308" s="3231">
        <v>6540</v>
      </c>
      <c r="F308" s="3231">
        <v>910</v>
      </c>
      <c r="G308" s="3244">
        <v>3370</v>
      </c>
    </row>
    <row r="309" spans="1:7" s="3220" customFormat="1" ht="14.25" customHeight="1">
      <c r="A309" s="3231" t="s">
        <v>306</v>
      </c>
      <c r="B309" s="3231" t="s">
        <v>3146</v>
      </c>
      <c r="C309" s="3231">
        <v>5060</v>
      </c>
      <c r="D309" s="3231">
        <v>5020</v>
      </c>
      <c r="E309" s="3231">
        <v>6370</v>
      </c>
      <c r="F309" s="3231">
        <v>800</v>
      </c>
      <c r="G309" s="3244">
        <v>3020</v>
      </c>
    </row>
    <row r="310" spans="1:7" s="3220" customFormat="1" ht="14.25" customHeight="1">
      <c r="A310" s="3231" t="s">
        <v>306</v>
      </c>
      <c r="B310" s="3231" t="s">
        <v>2995</v>
      </c>
      <c r="C310" s="3231">
        <v>5150</v>
      </c>
      <c r="D310" s="3231">
        <v>5110</v>
      </c>
      <c r="E310" s="3231">
        <v>6500</v>
      </c>
      <c r="F310" s="3231">
        <v>880</v>
      </c>
      <c r="G310" s="3244">
        <v>3080</v>
      </c>
    </row>
    <row r="311" spans="1:7" s="3220" customFormat="1" ht="14.25" customHeight="1">
      <c r="A311" s="3231" t="s">
        <v>306</v>
      </c>
      <c r="B311" s="3231" t="s">
        <v>3147</v>
      </c>
      <c r="C311" s="3231">
        <v>4750</v>
      </c>
      <c r="D311" s="3231">
        <v>4710</v>
      </c>
      <c r="E311" s="3231">
        <v>5510</v>
      </c>
      <c r="F311" s="3231">
        <v>880</v>
      </c>
      <c r="G311" s="3244">
        <v>2840</v>
      </c>
    </row>
    <row r="312" spans="1:7" s="3220" customFormat="1" ht="14.25" customHeight="1">
      <c r="A312" s="3231" t="s">
        <v>306</v>
      </c>
      <c r="B312" s="3231" t="s">
        <v>3005</v>
      </c>
      <c r="C312" s="3231">
        <v>4690</v>
      </c>
      <c r="D312" s="3231">
        <v>4640</v>
      </c>
      <c r="E312" s="3231">
        <v>5420</v>
      </c>
      <c r="F312" s="3231">
        <v>800</v>
      </c>
      <c r="G312" s="3244">
        <v>2800</v>
      </c>
    </row>
    <row r="313" spans="1:7" s="3220" customFormat="1" ht="14.25" customHeight="1">
      <c r="A313" s="3231" t="s">
        <v>306</v>
      </c>
      <c r="B313" s="3231" t="s">
        <v>3010</v>
      </c>
      <c r="C313" s="3231">
        <v>4810</v>
      </c>
      <c r="D313" s="3231">
        <v>4760</v>
      </c>
      <c r="E313" s="3231">
        <v>5550</v>
      </c>
      <c r="F313" s="3231">
        <v>920</v>
      </c>
      <c r="G313" s="3244">
        <v>2870</v>
      </c>
    </row>
    <row r="314" spans="1:7" s="3220" customFormat="1" ht="14.25" customHeight="1">
      <c r="A314" s="3231" t="s">
        <v>306</v>
      </c>
      <c r="B314" s="3231" t="s">
        <v>3148</v>
      </c>
      <c r="C314" s="3231"/>
      <c r="D314" s="3231"/>
      <c r="E314" s="3231"/>
      <c r="F314" s="3231">
        <v>1020</v>
      </c>
      <c r="G314" s="3244"/>
    </row>
    <row r="315" spans="1:7" s="3220" customFormat="1" ht="14.25" customHeight="1">
      <c r="A315" s="3231" t="s">
        <v>306</v>
      </c>
      <c r="B315" s="3231" t="s">
        <v>3149</v>
      </c>
      <c r="C315" s="3231"/>
      <c r="D315" s="3231"/>
      <c r="E315" s="3231"/>
      <c r="F315" s="3231">
        <v>1050</v>
      </c>
      <c r="G315" s="3244"/>
    </row>
    <row r="316" spans="1:7" s="3220" customFormat="1" ht="14.25" customHeight="1">
      <c r="A316" s="3231" t="s">
        <v>306</v>
      </c>
      <c r="B316" s="3231" t="s">
        <v>3025</v>
      </c>
      <c r="C316" s="3231"/>
      <c r="D316" s="3231"/>
      <c r="E316" s="3231"/>
      <c r="F316" s="3231">
        <v>900</v>
      </c>
      <c r="G316" s="3244"/>
    </row>
    <row r="317" spans="1:7" s="3220" customFormat="1" ht="14.25" customHeight="1">
      <c r="A317" s="3231" t="s">
        <v>306</v>
      </c>
      <c r="B317" s="3231" t="s">
        <v>3150</v>
      </c>
      <c r="C317" s="3231"/>
      <c r="D317" s="3231"/>
      <c r="E317" s="3231"/>
      <c r="F317" s="3231">
        <v>920</v>
      </c>
      <c r="G317" s="3244"/>
    </row>
    <row r="318" spans="1:7" s="3220" customFormat="1" ht="14.25" customHeight="1">
      <c r="A318" s="3231" t="s">
        <v>306</v>
      </c>
      <c r="B318" s="3231" t="s">
        <v>3151</v>
      </c>
      <c r="C318" s="3231"/>
      <c r="D318" s="3231"/>
      <c r="E318" s="3231"/>
      <c r="F318" s="3231">
        <v>1080</v>
      </c>
      <c r="G318" s="3244"/>
    </row>
    <row r="319" spans="1:7" s="3220" customFormat="1" ht="14.25" customHeight="1">
      <c r="A319" s="3231" t="s">
        <v>306</v>
      </c>
      <c r="B319" s="3231" t="s">
        <v>3038</v>
      </c>
      <c r="C319" s="3231"/>
      <c r="D319" s="3231"/>
      <c r="E319" s="3231"/>
      <c r="F319" s="3231">
        <v>1020</v>
      </c>
      <c r="G319" s="3244"/>
    </row>
    <row r="320" spans="1:7" s="3220" customFormat="1" ht="14.25" customHeight="1">
      <c r="A320" s="3231" t="s">
        <v>306</v>
      </c>
      <c r="B320" s="3231" t="s">
        <v>3041</v>
      </c>
      <c r="C320" s="3231"/>
      <c r="D320" s="3231"/>
      <c r="E320" s="3231"/>
      <c r="F320" s="3231">
        <v>1050</v>
      </c>
      <c r="G320" s="3244"/>
    </row>
    <row r="321" spans="1:7" s="3220" customFormat="1" ht="14.25" customHeight="1">
      <c r="A321" s="3231" t="s">
        <v>306</v>
      </c>
      <c r="B321" s="3231" t="s">
        <v>3043</v>
      </c>
      <c r="C321" s="3231"/>
      <c r="D321" s="3231"/>
      <c r="E321" s="3231"/>
      <c r="F321" s="3231">
        <v>960</v>
      </c>
      <c r="G321" s="3244"/>
    </row>
    <row r="322" spans="1:7" s="3220" customFormat="1" ht="14.25" customHeight="1">
      <c r="A322" s="3231" t="s">
        <v>306</v>
      </c>
      <c r="B322" s="3231" t="s">
        <v>3045</v>
      </c>
      <c r="C322" s="3231"/>
      <c r="D322" s="3231"/>
      <c r="E322" s="3231"/>
      <c r="F322" s="3231">
        <v>960</v>
      </c>
      <c r="G322" s="3244"/>
    </row>
    <row r="323" spans="1:7" s="3220" customFormat="1" ht="14.25" customHeight="1">
      <c r="A323" s="3231" t="s">
        <v>306</v>
      </c>
      <c r="B323" s="3231" t="s">
        <v>3047</v>
      </c>
      <c r="C323" s="3231"/>
      <c r="D323" s="3231"/>
      <c r="E323" s="3231"/>
      <c r="F323" s="3231">
        <v>880</v>
      </c>
      <c r="G323" s="3244"/>
    </row>
    <row r="324" spans="1:7" s="3220" customFormat="1" ht="14.25" customHeight="1">
      <c r="A324" s="3231" t="s">
        <v>306</v>
      </c>
      <c r="B324" s="3231" t="s">
        <v>3049</v>
      </c>
      <c r="C324" s="3231"/>
      <c r="D324" s="3231"/>
      <c r="E324" s="3231"/>
      <c r="F324" s="3231">
        <v>930</v>
      </c>
      <c r="G324" s="3244"/>
    </row>
    <row r="325" spans="1:7" s="3220" customFormat="1" ht="14.25" customHeight="1">
      <c r="A325" s="3231" t="s">
        <v>306</v>
      </c>
      <c r="B325" s="3232" t="s">
        <v>3051</v>
      </c>
      <c r="C325" s="3231"/>
      <c r="D325" s="3231"/>
      <c r="E325" s="3231"/>
      <c r="F325" s="3231">
        <v>900</v>
      </c>
      <c r="G325" s="3244"/>
    </row>
    <row r="326" spans="1:7" s="3220" customFormat="1" ht="14.25" customHeight="1" thickBot="1">
      <c r="A326" s="3245" t="s">
        <v>306</v>
      </c>
      <c r="B326" s="3238" t="s">
        <v>3053</v>
      </c>
      <c r="C326" s="3238"/>
      <c r="D326" s="3238"/>
      <c r="E326" s="3238"/>
      <c r="F326" s="3238">
        <v>790</v>
      </c>
      <c r="G326" s="3246"/>
    </row>
    <row r="327" spans="1:7" s="3220" customFormat="1" ht="14.25" customHeight="1">
      <c r="A327" s="3236" t="s">
        <v>307</v>
      </c>
      <c r="B327" s="3227" t="s">
        <v>3152</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3153</v>
      </c>
      <c r="C329" s="3231">
        <v>2730</v>
      </c>
      <c r="D329" s="3231">
        <v>2690</v>
      </c>
      <c r="E329" s="3231">
        <v>3100</v>
      </c>
      <c r="F329" s="3231">
        <v>660</v>
      </c>
      <c r="G329" s="3231">
        <v>1610</v>
      </c>
    </row>
    <row r="330" spans="1:7" s="3220" customFormat="1" ht="14.25" customHeight="1">
      <c r="A330" s="3231" t="s">
        <v>307</v>
      </c>
      <c r="B330" s="3231" t="s">
        <v>3154</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2887</v>
      </c>
      <c r="C332" s="3231">
        <v>3520</v>
      </c>
      <c r="D332" s="3231">
        <v>3480</v>
      </c>
      <c r="E332" s="3231">
        <v>3830</v>
      </c>
      <c r="F332" s="3231">
        <v>720</v>
      </c>
      <c r="G332" s="3231">
        <v>2090</v>
      </c>
    </row>
    <row r="333" spans="1:7" s="3220" customFormat="1" ht="14.25" customHeight="1">
      <c r="A333" s="3231" t="s">
        <v>307</v>
      </c>
      <c r="B333" s="3231" t="s">
        <v>3155</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2897</v>
      </c>
      <c r="C336" s="3231">
        <v>3570</v>
      </c>
      <c r="D336" s="3231">
        <v>3530</v>
      </c>
      <c r="E336" s="3231">
        <v>3880</v>
      </c>
      <c r="F336" s="3231">
        <v>770</v>
      </c>
      <c r="G336" s="3231">
        <v>2110</v>
      </c>
    </row>
    <row r="337" spans="1:10" s="3220" customFormat="1" ht="14.25" customHeight="1">
      <c r="A337" s="3231" t="s">
        <v>307</v>
      </c>
      <c r="B337" s="3231" t="s">
        <v>3156</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3157</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3158</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2922</v>
      </c>
      <c r="C345" s="3231">
        <v>3190</v>
      </c>
      <c r="D345" s="3231">
        <v>3140</v>
      </c>
      <c r="E345" s="3231">
        <v>3450</v>
      </c>
      <c r="F345" s="3231">
        <v>720</v>
      </c>
      <c r="G345" s="3231">
        <v>1880</v>
      </c>
      <c r="J345" s="3220"/>
    </row>
    <row r="346" spans="1:10">
      <c r="A346" s="3231" t="s">
        <v>307</v>
      </c>
      <c r="B346" s="3231" t="s">
        <v>3159</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2931</v>
      </c>
      <c r="C348" s="3231">
        <v>4000</v>
      </c>
      <c r="D348" s="3231">
        <v>3950</v>
      </c>
      <c r="E348" s="3231">
        <v>4430</v>
      </c>
      <c r="F348" s="3231">
        <v>760</v>
      </c>
      <c r="G348" s="3231">
        <v>2360</v>
      </c>
      <c r="J348" s="3220"/>
    </row>
    <row r="349" spans="1:10">
      <c r="A349" s="3231" t="s">
        <v>307</v>
      </c>
      <c r="B349" s="3231" t="s">
        <v>2936</v>
      </c>
      <c r="C349" s="3231">
        <v>3820</v>
      </c>
      <c r="D349" s="3231">
        <v>3780</v>
      </c>
      <c r="E349" s="3231">
        <v>4170</v>
      </c>
      <c r="F349" s="3231">
        <v>710</v>
      </c>
      <c r="G349" s="3231">
        <v>2260</v>
      </c>
      <c r="J349" s="3220"/>
    </row>
    <row r="350" spans="1:10">
      <c r="A350" s="3231" t="s">
        <v>307</v>
      </c>
      <c r="B350" s="3231" t="s">
        <v>3160</v>
      </c>
      <c r="C350" s="3231">
        <v>3760</v>
      </c>
      <c r="D350" s="3231">
        <v>3730</v>
      </c>
      <c r="E350" s="3231">
        <v>4100</v>
      </c>
      <c r="F350" s="3231">
        <v>800</v>
      </c>
      <c r="G350" s="3231">
        <v>2230</v>
      </c>
      <c r="J350" s="3220"/>
    </row>
    <row r="351" spans="1:10">
      <c r="A351" s="3231" t="s">
        <v>307</v>
      </c>
      <c r="B351" s="3231" t="s">
        <v>2944</v>
      </c>
      <c r="C351" s="3231">
        <v>3610</v>
      </c>
      <c r="D351" s="3231">
        <v>3580</v>
      </c>
      <c r="E351" s="3231">
        <v>3930</v>
      </c>
      <c r="F351" s="3231">
        <v>700</v>
      </c>
      <c r="G351" s="3231">
        <v>2140</v>
      </c>
      <c r="J351" s="3220"/>
    </row>
    <row r="352" spans="1:10">
      <c r="A352" s="3231" t="s">
        <v>307</v>
      </c>
      <c r="B352" s="3231" t="s">
        <v>2949</v>
      </c>
      <c r="C352" s="3231">
        <v>3670</v>
      </c>
      <c r="D352" s="3231">
        <v>3630</v>
      </c>
      <c r="E352" s="3231">
        <v>4000</v>
      </c>
      <c r="F352" s="3231">
        <v>750</v>
      </c>
      <c r="G352" s="3231">
        <v>2180</v>
      </c>
    </row>
    <row r="353" spans="1:7" s="3224" customFormat="1">
      <c r="A353" s="3231" t="s">
        <v>307</v>
      </c>
      <c r="B353" s="3231" t="s">
        <v>3161</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2969</v>
      </c>
      <c r="C355" s="3231">
        <v>3650</v>
      </c>
      <c r="D355" s="3231">
        <v>3610</v>
      </c>
      <c r="E355" s="3231">
        <v>4200</v>
      </c>
      <c r="F355" s="3231">
        <v>640</v>
      </c>
      <c r="G355" s="3231">
        <v>2160</v>
      </c>
    </row>
    <row r="356" spans="1:7" s="3224" customFormat="1">
      <c r="A356" s="3231" t="s">
        <v>307</v>
      </c>
      <c r="B356" s="3231" t="s">
        <v>2976</v>
      </c>
      <c r="C356" s="3231">
        <v>3260</v>
      </c>
      <c r="D356" s="3231">
        <v>3230</v>
      </c>
      <c r="E356" s="3231">
        <v>3740</v>
      </c>
      <c r="F356" s="3231">
        <v>600</v>
      </c>
      <c r="G356" s="3231">
        <v>1930</v>
      </c>
    </row>
    <row r="357" spans="1:7" s="3224" customFormat="1" ht="12" thickBot="1">
      <c r="A357" s="3239" t="s">
        <v>307</v>
      </c>
      <c r="B357" s="3242" t="s">
        <v>3162</v>
      </c>
      <c r="C357" s="3242">
        <v>3690</v>
      </c>
      <c r="D357" s="3242">
        <v>3650</v>
      </c>
      <c r="E357" s="3242">
        <v>4020</v>
      </c>
      <c r="F357" s="3242">
        <v>700</v>
      </c>
      <c r="G357" s="3242">
        <v>2190</v>
      </c>
    </row>
    <row r="358" spans="1:7" s="3224" customFormat="1">
      <c r="A358" s="3236" t="s">
        <v>3163</v>
      </c>
      <c r="B358" s="3227" t="s">
        <v>3164</v>
      </c>
      <c r="C358" s="3227">
        <v>2080</v>
      </c>
      <c r="D358" s="3227">
        <v>2040</v>
      </c>
      <c r="E358" s="3227">
        <v>2010</v>
      </c>
      <c r="F358" s="3227">
        <v>530</v>
      </c>
      <c r="G358" s="3243">
        <v>1230</v>
      </c>
    </row>
    <row r="359" spans="1:7" s="3224" customFormat="1">
      <c r="A359" s="3231" t="s">
        <v>3163</v>
      </c>
      <c r="B359" s="3231" t="s">
        <v>3165</v>
      </c>
      <c r="C359" s="3231">
        <v>1850</v>
      </c>
      <c r="D359" s="3231">
        <v>1820</v>
      </c>
      <c r="E359" s="3231">
        <v>1780</v>
      </c>
      <c r="F359" s="3231">
        <v>520</v>
      </c>
      <c r="G359" s="3244">
        <v>1100</v>
      </c>
    </row>
    <row r="360" spans="1:7" s="3224" customFormat="1">
      <c r="A360" s="3231" t="s">
        <v>3163</v>
      </c>
      <c r="B360" s="3231" t="s">
        <v>3166</v>
      </c>
      <c r="C360" s="3231">
        <v>2020</v>
      </c>
      <c r="D360" s="3231">
        <v>1990</v>
      </c>
      <c r="E360" s="3231">
        <v>1950</v>
      </c>
      <c r="F360" s="3231">
        <v>500</v>
      </c>
      <c r="G360" s="3244">
        <v>1200</v>
      </c>
    </row>
    <row r="361" spans="1:7" s="3224" customFormat="1">
      <c r="A361" s="3231" t="s">
        <v>3163</v>
      </c>
      <c r="B361" s="3231" t="s">
        <v>153</v>
      </c>
      <c r="C361" s="3231">
        <v>2260</v>
      </c>
      <c r="D361" s="3231">
        <v>2220</v>
      </c>
      <c r="E361" s="3231">
        <v>2180</v>
      </c>
      <c r="F361" s="3231">
        <v>580</v>
      </c>
      <c r="G361" s="3244">
        <v>1340</v>
      </c>
    </row>
    <row r="362" spans="1:7" s="3224" customFormat="1">
      <c r="A362" s="3231" t="s">
        <v>3163</v>
      </c>
      <c r="B362" s="3231" t="s">
        <v>3167</v>
      </c>
      <c r="C362" s="3231">
        <v>2650</v>
      </c>
      <c r="D362" s="3231">
        <v>2610</v>
      </c>
      <c r="E362" s="3231">
        <v>2570</v>
      </c>
      <c r="F362" s="3231">
        <v>630</v>
      </c>
      <c r="G362" s="3244">
        <v>1570</v>
      </c>
    </row>
    <row r="363" spans="1:7" s="3224" customFormat="1">
      <c r="A363" s="3231" t="s">
        <v>3163</v>
      </c>
      <c r="B363" s="3231" t="s">
        <v>2888</v>
      </c>
      <c r="C363" s="3231">
        <v>2390</v>
      </c>
      <c r="D363" s="3231">
        <v>2360</v>
      </c>
      <c r="E363" s="3231">
        <v>2320</v>
      </c>
      <c r="F363" s="3231">
        <v>600</v>
      </c>
      <c r="G363" s="3244">
        <v>1420</v>
      </c>
    </row>
    <row r="364" spans="1:7" s="3224" customFormat="1">
      <c r="A364" s="3231" t="s">
        <v>3163</v>
      </c>
      <c r="B364" s="3231" t="s">
        <v>3168</v>
      </c>
      <c r="C364" s="3231">
        <v>2050</v>
      </c>
      <c r="D364" s="3231">
        <v>2030</v>
      </c>
      <c r="E364" s="3231">
        <v>1990</v>
      </c>
      <c r="F364" s="3231">
        <v>550</v>
      </c>
      <c r="G364" s="3244">
        <v>1220</v>
      </c>
    </row>
    <row r="365" spans="1:7" s="3224" customFormat="1">
      <c r="A365" s="3231" t="s">
        <v>3163</v>
      </c>
      <c r="B365" s="3231" t="s">
        <v>200</v>
      </c>
      <c r="C365" s="3231">
        <v>2140</v>
      </c>
      <c r="D365" s="3231">
        <v>2100</v>
      </c>
      <c r="E365" s="3231">
        <v>2060</v>
      </c>
      <c r="F365" s="3231">
        <v>540</v>
      </c>
      <c r="G365" s="3244">
        <v>1270</v>
      </c>
    </row>
    <row r="366" spans="1:7" s="3224" customFormat="1">
      <c r="A366" s="3231" t="s">
        <v>3163</v>
      </c>
      <c r="B366" s="3231" t="s">
        <v>2895</v>
      </c>
      <c r="C366" s="3231">
        <v>2410</v>
      </c>
      <c r="D366" s="3231">
        <v>2370</v>
      </c>
      <c r="E366" s="3231">
        <v>2330</v>
      </c>
      <c r="F366" s="3231">
        <v>570</v>
      </c>
      <c r="G366" s="3244">
        <v>1440</v>
      </c>
    </row>
    <row r="367" spans="1:7" s="3224" customFormat="1">
      <c r="A367" s="3231" t="s">
        <v>3163</v>
      </c>
      <c r="B367" s="3231" t="s">
        <v>3169</v>
      </c>
      <c r="C367" s="3231">
        <v>2300</v>
      </c>
      <c r="D367" s="3231">
        <v>2260</v>
      </c>
      <c r="E367" s="3231">
        <v>2220</v>
      </c>
      <c r="F367" s="3231">
        <v>560</v>
      </c>
      <c r="G367" s="3244">
        <v>1370</v>
      </c>
    </row>
    <row r="368" spans="1:7" s="3224" customFormat="1">
      <c r="A368" s="3231" t="s">
        <v>3163</v>
      </c>
      <c r="B368" s="3231" t="s">
        <v>3170</v>
      </c>
      <c r="C368" s="3231">
        <v>2430</v>
      </c>
      <c r="D368" s="3231">
        <v>2390</v>
      </c>
      <c r="E368" s="3231">
        <v>2350</v>
      </c>
      <c r="F368" s="3231">
        <v>570</v>
      </c>
      <c r="G368" s="3244">
        <v>1450</v>
      </c>
    </row>
    <row r="369" spans="1:7" s="3224" customFormat="1">
      <c r="A369" s="3231" t="s">
        <v>3163</v>
      </c>
      <c r="B369" s="3231" t="s">
        <v>214</v>
      </c>
      <c r="C369" s="3231">
        <v>2320</v>
      </c>
      <c r="D369" s="3231">
        <v>2290</v>
      </c>
      <c r="E369" s="3231">
        <v>2250</v>
      </c>
      <c r="F369" s="3231">
        <v>550</v>
      </c>
      <c r="G369" s="3244">
        <v>1380</v>
      </c>
    </row>
    <row r="370" spans="1:7" s="3224" customFormat="1">
      <c r="A370" s="3231" t="s">
        <v>3163</v>
      </c>
      <c r="B370" s="3231" t="s">
        <v>221</v>
      </c>
      <c r="C370" s="3231">
        <v>2190</v>
      </c>
      <c r="D370" s="3231">
        <v>2170</v>
      </c>
      <c r="E370" s="3231">
        <v>2130</v>
      </c>
      <c r="F370" s="3231">
        <v>530</v>
      </c>
      <c r="G370" s="3244">
        <v>1310</v>
      </c>
    </row>
    <row r="371" spans="1:7" s="3224" customFormat="1">
      <c r="A371" s="3231" t="s">
        <v>3163</v>
      </c>
      <c r="B371" s="3231" t="s">
        <v>229</v>
      </c>
      <c r="C371" s="3231">
        <v>2460</v>
      </c>
      <c r="D371" s="3231">
        <v>2420</v>
      </c>
      <c r="E371" s="3231">
        <v>2370</v>
      </c>
      <c r="F371" s="3231">
        <v>560</v>
      </c>
      <c r="G371" s="3244">
        <v>1470</v>
      </c>
    </row>
    <row r="372" spans="1:7" s="3224" customFormat="1">
      <c r="A372" s="3231" t="s">
        <v>3163</v>
      </c>
      <c r="B372" s="3231" t="s">
        <v>3171</v>
      </c>
      <c r="C372" s="3231">
        <v>2250</v>
      </c>
      <c r="D372" s="3231">
        <v>2210</v>
      </c>
      <c r="E372" s="3231">
        <v>2180</v>
      </c>
      <c r="F372" s="3231">
        <v>550</v>
      </c>
      <c r="G372" s="3244">
        <v>1340</v>
      </c>
    </row>
    <row r="373" spans="1:7" s="3224" customFormat="1">
      <c r="A373" s="3231" t="s">
        <v>3163</v>
      </c>
      <c r="B373" s="3231" t="s">
        <v>258</v>
      </c>
      <c r="C373" s="3231">
        <v>2210</v>
      </c>
      <c r="D373" s="3231">
        <v>2190</v>
      </c>
      <c r="E373" s="3231">
        <v>2150</v>
      </c>
      <c r="F373" s="3231">
        <v>530</v>
      </c>
      <c r="G373" s="3244">
        <v>1320</v>
      </c>
    </row>
    <row r="374" spans="1:7" s="3224" customFormat="1">
      <c r="A374" s="3231" t="s">
        <v>3163</v>
      </c>
      <c r="B374" s="3231" t="s">
        <v>266</v>
      </c>
      <c r="C374" s="3231">
        <v>2320</v>
      </c>
      <c r="D374" s="3231">
        <v>2280</v>
      </c>
      <c r="E374" s="3231">
        <v>2230</v>
      </c>
      <c r="F374" s="3231">
        <v>580</v>
      </c>
      <c r="G374" s="3244">
        <v>1380</v>
      </c>
    </row>
    <row r="375" spans="1:7" s="3224" customFormat="1">
      <c r="A375" s="3231" t="s">
        <v>3163</v>
      </c>
      <c r="B375" s="3231" t="s">
        <v>3172</v>
      </c>
      <c r="C375" s="3231">
        <v>2090</v>
      </c>
      <c r="D375" s="3231">
        <v>2050</v>
      </c>
      <c r="E375" s="3231">
        <v>2020</v>
      </c>
      <c r="F375" s="3231">
        <v>520</v>
      </c>
      <c r="G375" s="3244">
        <v>1240</v>
      </c>
    </row>
    <row r="376" spans="1:7" s="3224" customFormat="1">
      <c r="A376" s="3231" t="s">
        <v>3163</v>
      </c>
      <c r="B376" s="3231" t="s">
        <v>277</v>
      </c>
      <c r="C376" s="3231">
        <v>2010</v>
      </c>
      <c r="D376" s="3231">
        <v>1980</v>
      </c>
      <c r="E376" s="3231">
        <v>1940</v>
      </c>
      <c r="F376" s="3231">
        <v>540</v>
      </c>
      <c r="G376" s="3244">
        <v>1190</v>
      </c>
    </row>
    <row r="377" spans="1:7" s="3224" customFormat="1" ht="12" thickBot="1">
      <c r="A377" s="3239" t="s">
        <v>3163</v>
      </c>
      <c r="B377" s="3242" t="s">
        <v>2925</v>
      </c>
      <c r="C377" s="3242">
        <v>1930</v>
      </c>
      <c r="D377" s="3242">
        <v>1890</v>
      </c>
      <c r="E377" s="3242">
        <v>1860</v>
      </c>
      <c r="F377" s="3242">
        <v>530</v>
      </c>
      <c r="G377" s="3247">
        <v>1150</v>
      </c>
    </row>
    <row r="378" spans="1:7" s="3224" customFormat="1">
      <c r="A378" s="3248" t="s">
        <v>3173</v>
      </c>
      <c r="B378" s="3227" t="s">
        <v>3174</v>
      </c>
      <c r="C378" s="3227">
        <v>1520</v>
      </c>
      <c r="D378" s="3227">
        <v>1490</v>
      </c>
      <c r="E378" s="3227">
        <v>1460</v>
      </c>
      <c r="F378" s="3227">
        <v>460</v>
      </c>
      <c r="G378" s="3243">
        <v>940</v>
      </c>
    </row>
    <row r="379" spans="1:7" s="3224" customFormat="1">
      <c r="A379" s="3249" t="s">
        <v>3173</v>
      </c>
      <c r="B379" s="3231" t="s">
        <v>3175</v>
      </c>
      <c r="C379" s="3231">
        <v>1500</v>
      </c>
      <c r="D379" s="3231">
        <v>1470</v>
      </c>
      <c r="E379" s="3231">
        <v>1430</v>
      </c>
      <c r="F379" s="3231">
        <v>460</v>
      </c>
      <c r="G379" s="3244">
        <v>920</v>
      </c>
    </row>
    <row r="380" spans="1:7" s="3224" customFormat="1">
      <c r="A380" s="3249" t="s">
        <v>3173</v>
      </c>
      <c r="B380" s="3231" t="s">
        <v>3176</v>
      </c>
      <c r="C380" s="3231">
        <v>1620</v>
      </c>
      <c r="D380" s="3231">
        <v>1590</v>
      </c>
      <c r="E380" s="3231">
        <v>1560</v>
      </c>
      <c r="F380" s="3231">
        <v>480</v>
      </c>
      <c r="G380" s="3244">
        <v>1000</v>
      </c>
    </row>
    <row r="381" spans="1:7" s="3224" customFormat="1">
      <c r="A381" s="3249" t="s">
        <v>3173</v>
      </c>
      <c r="B381" s="3231" t="s">
        <v>3177</v>
      </c>
      <c r="C381" s="3231">
        <v>1460</v>
      </c>
      <c r="D381" s="3231">
        <v>1430</v>
      </c>
      <c r="E381" s="3231">
        <v>1390</v>
      </c>
      <c r="F381" s="3231">
        <v>450</v>
      </c>
      <c r="G381" s="3244">
        <v>900</v>
      </c>
    </row>
    <row r="382" spans="1:7" s="3224" customFormat="1">
      <c r="A382" s="3249" t="s">
        <v>3173</v>
      </c>
      <c r="B382" s="3231" t="s">
        <v>3178</v>
      </c>
      <c r="C382" s="3231">
        <v>1310</v>
      </c>
      <c r="D382" s="3231">
        <v>1280</v>
      </c>
      <c r="E382" s="3231">
        <v>1250</v>
      </c>
      <c r="F382" s="3231">
        <v>440</v>
      </c>
      <c r="G382" s="3244">
        <v>800</v>
      </c>
    </row>
    <row r="383" spans="1:7" s="3224" customFormat="1">
      <c r="A383" s="3249" t="s">
        <v>3173</v>
      </c>
      <c r="B383" s="3231" t="s">
        <v>3179</v>
      </c>
      <c r="C383" s="3231">
        <v>1260</v>
      </c>
      <c r="D383" s="3231">
        <v>1230</v>
      </c>
      <c r="E383" s="3231">
        <v>1200</v>
      </c>
      <c r="F383" s="3231">
        <v>420</v>
      </c>
      <c r="G383" s="3244">
        <v>770</v>
      </c>
    </row>
    <row r="384" spans="1:7" s="3224" customFormat="1" ht="12" thickBot="1">
      <c r="A384" s="3250" t="s">
        <v>3173</v>
      </c>
      <c r="B384" s="3238" t="s">
        <v>3180</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45821</v>
      </c>
      <c r="D1" s="1301" t="s">
        <v>603</v>
      </c>
      <c r="E1" s="1296">
        <f>'数据-取费表'!B22</f>
        <v>2</v>
      </c>
      <c r="F1" s="1301" t="s">
        <v>604</v>
      </c>
      <c r="G1" s="1297">
        <f ca="1">INDIRECT("d"&amp;$K$1)/100</f>
        <v>0.03</v>
      </c>
      <c r="H1" s="1301" t="s">
        <v>634</v>
      </c>
      <c r="I1" s="1297">
        <f ca="1">F4/100</f>
        <v>1.4999999999999999E-2</v>
      </c>
      <c r="J1" s="1302">
        <f>IF(C1&gt;C13,0,MATCH(C1,C$13:C$115,-1))+IF(SUMIF(C13:C115,C1,D13:D115)=0,13,12)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45797</v>
      </c>
      <c r="D13" s="2820">
        <v>3</v>
      </c>
      <c r="E13" s="2820">
        <v>3</v>
      </c>
      <c r="F13" s="2820">
        <f t="shared" ref="F13:F18" si="0">D13</f>
        <v>3</v>
      </c>
      <c r="G13" s="2820">
        <f t="shared" ref="G13:G18" si="1">D13</f>
        <v>3</v>
      </c>
      <c r="H13" s="2820">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45586</v>
      </c>
      <c r="D14" s="2815">
        <v>3.1</v>
      </c>
      <c r="E14" s="2815">
        <f>D14</f>
        <v>3.1</v>
      </c>
      <c r="F14" s="2815">
        <f t="shared" si="0"/>
        <v>3.1</v>
      </c>
      <c r="G14" s="2815">
        <f t="shared" si="1"/>
        <v>3.1</v>
      </c>
      <c r="H14" s="2815">
        <v>3.6</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45495</v>
      </c>
      <c r="D15" s="2815">
        <v>3.35</v>
      </c>
      <c r="E15" s="2815">
        <f>D15</f>
        <v>3.35</v>
      </c>
      <c r="F15" s="2815">
        <f t="shared" si="0"/>
        <v>3.35</v>
      </c>
      <c r="G15" s="2815">
        <f t="shared" si="1"/>
        <v>3.35</v>
      </c>
      <c r="H15" s="2815">
        <v>3.85</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45342</v>
      </c>
      <c r="D16" s="2815">
        <v>3.45</v>
      </c>
      <c r="E16" s="2815">
        <f>D16</f>
        <v>3.45</v>
      </c>
      <c r="F16" s="2815">
        <f t="shared" si="0"/>
        <v>3.45</v>
      </c>
      <c r="G16" s="2815">
        <f t="shared" si="1"/>
        <v>3.45</v>
      </c>
      <c r="H16" s="2815">
        <v>3.95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45159</v>
      </c>
      <c r="D17" s="2815">
        <v>3.45</v>
      </c>
      <c r="E17" s="2815">
        <f>D17</f>
        <v>3.45</v>
      </c>
      <c r="F17" s="2815">
        <f t="shared" si="0"/>
        <v>3.45</v>
      </c>
      <c r="G17" s="2815">
        <f t="shared" si="1"/>
        <v>3.45</v>
      </c>
      <c r="H17" s="2815">
        <v>4.2</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6">
        <v>45097</v>
      </c>
      <c r="D18" s="2815">
        <v>3.55</v>
      </c>
      <c r="E18" s="2815">
        <f>D18</f>
        <v>3.55</v>
      </c>
      <c r="F18" s="2815">
        <f t="shared" si="0"/>
        <v>3.55</v>
      </c>
      <c r="G18" s="2815">
        <f t="shared" si="1"/>
        <v>3.55</v>
      </c>
      <c r="H18" s="2815">
        <v>4.2</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4"/>
      <c r="C19" s="2816">
        <v>44795</v>
      </c>
      <c r="D19" s="2815">
        <v>3.65</v>
      </c>
      <c r="E19" s="2815">
        <v>3.65</v>
      </c>
      <c r="F19" s="2815">
        <v>3.65</v>
      </c>
      <c r="G19" s="2815">
        <v>3.65</v>
      </c>
      <c r="H19" s="2815">
        <v>4.3</v>
      </c>
      <c r="I19" s="2820"/>
      <c r="J19" s="2820"/>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6">
        <v>44701</v>
      </c>
      <c r="D20" s="2815">
        <v>3.7</v>
      </c>
      <c r="E20" s="2815">
        <f>D20</f>
        <v>3.7</v>
      </c>
      <c r="F20" s="2815">
        <f>D20</f>
        <v>3.7</v>
      </c>
      <c r="G20" s="2815">
        <f>D20</f>
        <v>3.7</v>
      </c>
      <c r="H20" s="2815">
        <v>4.45</v>
      </c>
      <c r="I20" s="2820"/>
      <c r="J20" s="2820"/>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c r="C21" s="2816">
        <v>44581</v>
      </c>
      <c r="D21" s="2815">
        <v>3.7</v>
      </c>
      <c r="E21" s="2815">
        <f>D21</f>
        <v>3.7</v>
      </c>
      <c r="F21" s="2815">
        <f>D21</f>
        <v>3.7</v>
      </c>
      <c r="G21" s="2815">
        <f>D21</f>
        <v>3.7</v>
      </c>
      <c r="H21" s="2815">
        <v>4.5999999999999996</v>
      </c>
      <c r="I21" s="2820"/>
      <c r="J21" s="2820"/>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44550</v>
      </c>
      <c r="D22" s="2815">
        <v>3.8</v>
      </c>
      <c r="E22" s="2815">
        <f>D22</f>
        <v>3.8</v>
      </c>
      <c r="F22" s="2815">
        <f>D22</f>
        <v>3.8</v>
      </c>
      <c r="G22" s="2815">
        <f>D22</f>
        <v>3.8</v>
      </c>
      <c r="H22" s="2815">
        <v>4.6500000000000004</v>
      </c>
      <c r="I22" s="2815"/>
      <c r="J22" s="2820"/>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5"/>
      <c r="C23" s="2816">
        <v>43941</v>
      </c>
      <c r="D23" s="2815">
        <v>3.85</v>
      </c>
      <c r="E23" s="2815">
        <v>3.85</v>
      </c>
      <c r="F23" s="2815">
        <v>3.85</v>
      </c>
      <c r="G23" s="2815">
        <v>3.85</v>
      </c>
      <c r="H23" s="2815">
        <v>4.6500000000000004</v>
      </c>
      <c r="I23" s="2815"/>
      <c r="J23" s="281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5"/>
      <c r="C24" s="2816">
        <v>43881</v>
      </c>
      <c r="D24" s="2815">
        <v>4.05</v>
      </c>
      <c r="E24" s="2815">
        <v>4.05</v>
      </c>
      <c r="F24" s="2815">
        <v>4.05</v>
      </c>
      <c r="G24" s="2815">
        <v>4.05</v>
      </c>
      <c r="H24" s="2815">
        <v>4.75</v>
      </c>
      <c r="I24" s="2815"/>
      <c r="J24" s="281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5"/>
      <c r="C25" s="2816">
        <v>43789</v>
      </c>
      <c r="D25" s="2815">
        <v>4.1500000000000004</v>
      </c>
      <c r="E25" s="2815">
        <v>4.1500000000000004</v>
      </c>
      <c r="F25" s="2815">
        <v>4.1500000000000004</v>
      </c>
      <c r="G25" s="2815">
        <v>4.1500000000000004</v>
      </c>
      <c r="H25" s="2815">
        <v>4.8</v>
      </c>
      <c r="I25" s="2815"/>
      <c r="J25" s="2815"/>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5"/>
      <c r="C26" s="2816">
        <v>43728</v>
      </c>
      <c r="D26" s="2815">
        <v>4.2</v>
      </c>
      <c r="E26" s="2815">
        <v>4.2</v>
      </c>
      <c r="F26" s="2815">
        <v>4.2</v>
      </c>
      <c r="G26" s="2815">
        <v>4.2</v>
      </c>
      <c r="H26" s="2815">
        <v>4.8499999999999996</v>
      </c>
      <c r="I26" s="2815"/>
      <c r="J26" s="2815"/>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4" t="s">
        <v>2309</v>
      </c>
      <c r="C27" s="2817">
        <v>43697</v>
      </c>
      <c r="D27" s="2818">
        <v>4.25</v>
      </c>
      <c r="E27" s="2818">
        <v>4.25</v>
      </c>
      <c r="F27" s="2818">
        <v>4.25</v>
      </c>
      <c r="G27" s="2818">
        <v>4.25</v>
      </c>
      <c r="H27" s="2818">
        <v>4.8499999999999996</v>
      </c>
      <c r="I27" s="2818"/>
      <c r="J27" s="2818"/>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2"/>
      <c r="C28" s="2823">
        <v>42301</v>
      </c>
      <c r="D28" s="2824">
        <v>4.3499999999999996</v>
      </c>
      <c r="E28" s="2824">
        <v>4.3499999999999996</v>
      </c>
      <c r="F28" s="2824">
        <v>4.75</v>
      </c>
      <c r="G28" s="2824">
        <v>4.75</v>
      </c>
      <c r="H28" s="2824">
        <v>4.9000000000000004</v>
      </c>
      <c r="I28" s="2824"/>
      <c r="J28" s="2824"/>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4:L27"/>
  <sheetViews>
    <sheetView topLeftCell="A46" workbookViewId="0">
      <selection activeCell="A80" sqref="A80"/>
    </sheetView>
  </sheetViews>
  <sheetFormatPr defaultRowHeight="13.5"/>
  <sheetData>
    <row r="4" spans="12:12">
      <c r="L4" s="3499" t="s">
        <v>3529</v>
      </c>
    </row>
    <row r="5" spans="12:12">
      <c r="L5" s="3499" t="s">
        <v>3530</v>
      </c>
    </row>
    <row r="7" spans="12:12">
      <c r="L7">
        <f>7*12/365</f>
        <v>0.23013698630136986</v>
      </c>
    </row>
    <row r="8" spans="12:12">
      <c r="L8">
        <f>45/365</f>
        <v>0.12328767123287671</v>
      </c>
    </row>
    <row r="9" spans="12:12">
      <c r="L9">
        <f>L7+L8</f>
        <v>0.35342465753424657</v>
      </c>
    </row>
    <row r="10" spans="12:12">
      <c r="L10">
        <f>6.98+0.35</f>
        <v>7.33</v>
      </c>
    </row>
    <row r="27" spans="12:12">
      <c r="L27" s="3499" t="s">
        <v>3531</v>
      </c>
    </row>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70" sqref="A70"/>
    </sheetView>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1" workbookViewId="0">
      <selection activeCell="G129" sqref="G129"/>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8" t="str">
        <f>IF(项目基本情况!B9="房地产市场价值","估价结果一览表","结果表-2")</f>
        <v>结果表-2</v>
      </c>
      <c r="B1" s="3518"/>
      <c r="C1" s="3518"/>
      <c r="D1" s="3518"/>
      <c r="E1" s="3518"/>
      <c r="F1" s="3518"/>
      <c r="G1" s="3518"/>
      <c r="H1" s="3518"/>
      <c r="I1" s="3518"/>
    </row>
    <row r="2" spans="1:9" ht="30" customHeight="1" thickTop="1">
      <c r="A2" s="3519" t="s">
        <v>928</v>
      </c>
      <c r="B2" s="3519" t="s">
        <v>929</v>
      </c>
      <c r="C2" s="3519" t="s">
        <v>930</v>
      </c>
      <c r="D2" s="3519" t="str">
        <f>结果表!D116</f>
        <v>出让国有建设用地使用权价值</v>
      </c>
      <c r="E2" s="3519"/>
      <c r="F2" s="3519" t="str">
        <f>结果表!F116</f>
        <v>在建建筑物价值</v>
      </c>
      <c r="G2" s="3519"/>
      <c r="H2" s="3519" t="str">
        <f>IF(项目基本情况!B9="房地产市场价值","房地产市场价值","房地产价值")</f>
        <v>房地产价值</v>
      </c>
      <c r="I2" s="3519"/>
    </row>
    <row r="3" spans="1:9" ht="15">
      <c r="A3" s="3514"/>
      <c r="B3" s="3514"/>
      <c r="C3" s="3514"/>
      <c r="D3" s="853" t="s">
        <v>925</v>
      </c>
      <c r="E3" s="853" t="s">
        <v>931</v>
      </c>
      <c r="F3" s="853" t="s">
        <v>925</v>
      </c>
      <c r="G3" s="853" t="s">
        <v>926</v>
      </c>
      <c r="H3" s="853" t="s">
        <v>925</v>
      </c>
      <c r="I3" s="853" t="s">
        <v>926</v>
      </c>
    </row>
    <row r="4" spans="1:9" ht="30">
      <c r="A4" s="1504" t="str">
        <f>项目基本情况!S2</f>
        <v>北京市朝阳区霞光里15号楼1层102商铺用房房地产</v>
      </c>
      <c r="B4" s="853">
        <f>项目基本情况!C17</f>
        <v>47.88</v>
      </c>
      <c r="C4" s="853">
        <f>项目基本情况!C18</f>
        <v>0</v>
      </c>
      <c r="D4" s="853">
        <f ca="1">结果表!D118</f>
        <v>33</v>
      </c>
      <c r="E4" s="853">
        <f ca="1">结果表!E118</f>
        <v>6924</v>
      </c>
      <c r="F4" s="853">
        <f ca="1">结果表!F118</f>
        <v>186</v>
      </c>
      <c r="G4" s="853">
        <f ca="1">结果表!G118</f>
        <v>38928</v>
      </c>
      <c r="H4" s="853">
        <f ca="1">结果表!H118</f>
        <v>220</v>
      </c>
      <c r="I4" s="853">
        <f ca="1">结果表!I118</f>
        <v>45852</v>
      </c>
    </row>
    <row r="5" spans="1:9" ht="30" customHeight="1">
      <c r="A5" s="3514" t="s">
        <v>927</v>
      </c>
      <c r="B5" s="3514"/>
      <c r="C5" s="3514"/>
      <c r="D5" s="3514" t="str">
        <f ca="1">结果表!D119</f>
        <v>叁拾叁万元整</v>
      </c>
      <c r="E5" s="3514"/>
      <c r="F5" s="3514" t="str">
        <f ca="1">结果表!F119</f>
        <v>壹佰捌拾陆万元整</v>
      </c>
      <c r="G5" s="3514"/>
      <c r="H5" s="3514" t="str">
        <f ca="1">结果表!H119</f>
        <v>贰佰贰拾万元整</v>
      </c>
      <c r="I5" s="3514"/>
    </row>
    <row r="6" spans="1:9" ht="15.75">
      <c r="A6" s="3513" t="str">
        <f>结果表!A120</f>
        <v>估价师知悉的法定优先受偿款</v>
      </c>
      <c r="B6" s="3513"/>
      <c r="C6" s="3513"/>
      <c r="D6" s="3513">
        <f>结果表!D120</f>
        <v>0</v>
      </c>
      <c r="E6" s="3513"/>
      <c r="F6" s="3513"/>
      <c r="G6" s="3513"/>
      <c r="H6" s="3513"/>
      <c r="I6" s="3513"/>
    </row>
    <row r="7" spans="1:9" ht="15">
      <c r="A7" s="3514" t="s">
        <v>927</v>
      </c>
      <c r="B7" s="3514"/>
      <c r="C7" s="3514"/>
      <c r="D7" s="3515" t="str">
        <f>结果表!D121</f>
        <v>零元整</v>
      </c>
      <c r="E7" s="3516"/>
      <c r="F7" s="3516"/>
      <c r="G7" s="3516"/>
      <c r="H7" s="3516"/>
      <c r="I7" s="3517"/>
    </row>
    <row r="8" spans="1:9" ht="15.75">
      <c r="A8" s="3513" t="str">
        <f>结果表!A122</f>
        <v>房地产抵押价值</v>
      </c>
      <c r="B8" s="3513"/>
      <c r="C8" s="3513"/>
      <c r="D8" s="3513">
        <f ca="1">结果表!D122</f>
        <v>220</v>
      </c>
      <c r="E8" s="3513"/>
      <c r="F8" s="3513"/>
      <c r="G8" s="3513"/>
      <c r="H8" s="3513"/>
      <c r="I8" s="3513"/>
    </row>
    <row r="9" spans="1:9" ht="15">
      <c r="A9" s="3514" t="s">
        <v>927</v>
      </c>
      <c r="B9" s="3514"/>
      <c r="C9" s="3514"/>
      <c r="D9" s="3514" t="str">
        <f ca="1">结果表!D123</f>
        <v>贰佰贰拾万元整</v>
      </c>
      <c r="E9" s="3514"/>
      <c r="F9" s="3514"/>
      <c r="G9" s="3514"/>
      <c r="H9" s="3514"/>
      <c r="I9" s="3514"/>
    </row>
    <row r="10" spans="1:9" ht="15.75">
      <c r="A10" s="3513" t="str">
        <f>结果表!A124</f>
        <v/>
      </c>
      <c r="B10" s="3513"/>
      <c r="C10" s="3513"/>
      <c r="D10" s="3513" t="str">
        <f>结果表!D124</f>
        <v>——</v>
      </c>
      <c r="E10" s="3513"/>
      <c r="F10" s="3513"/>
      <c r="G10" s="3513"/>
      <c r="H10" s="3513"/>
      <c r="I10" s="3513"/>
    </row>
    <row r="11" spans="1:9" ht="15">
      <c r="A11" s="3514" t="s">
        <v>927</v>
      </c>
      <c r="B11" s="3514"/>
      <c r="C11" s="3514"/>
      <c r="D11" s="3514" t="e">
        <f>结果表!D125</f>
        <v>#VALUE!</v>
      </c>
      <c r="E11" s="3514"/>
      <c r="F11" s="3514"/>
      <c r="G11" s="3514"/>
      <c r="H11" s="3514"/>
      <c r="I11" s="3514"/>
    </row>
    <row r="12" spans="1:9" ht="15.75">
      <c r="A12" s="3513" t="str">
        <f>结果表!A126</f>
        <v/>
      </c>
      <c r="B12" s="3513"/>
      <c r="C12" s="3513"/>
      <c r="D12" s="3513" t="str">
        <f>结果表!D126</f>
        <v>——</v>
      </c>
      <c r="E12" s="3513"/>
      <c r="F12" s="3513"/>
      <c r="G12" s="3513"/>
      <c r="H12" s="3513"/>
      <c r="I12" s="3513"/>
    </row>
    <row r="13" spans="1:9" ht="15.75" thickBot="1">
      <c r="A13" s="3511" t="s">
        <v>927</v>
      </c>
      <c r="B13" s="3511"/>
      <c r="C13" s="3511"/>
      <c r="D13" s="3511" t="e">
        <f>结果表!D127</f>
        <v>#VALUE!</v>
      </c>
      <c r="E13" s="3511"/>
      <c r="F13" s="3511"/>
      <c r="G13" s="3511"/>
      <c r="H13" s="3511"/>
      <c r="I13" s="3511"/>
    </row>
    <row r="14" spans="1:9" ht="15" thickTop="1">
      <c r="A14" s="3512" t="s">
        <v>932</v>
      </c>
      <c r="B14" s="3512"/>
      <c r="C14" s="3512"/>
      <c r="D14" s="3512"/>
      <c r="E14" s="3512"/>
      <c r="F14" s="3512"/>
      <c r="G14" s="3512"/>
      <c r="H14" s="3512"/>
      <c r="I14" s="351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57" sqref="I57"/>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26" t="s">
        <v>949</v>
      </c>
      <c r="B1" s="3526"/>
      <c r="C1" s="3526"/>
      <c r="D1" s="3526"/>
    </row>
    <row r="2" spans="1:4" ht="18">
      <c r="A2" s="3527" t="s">
        <v>933</v>
      </c>
      <c r="B2" s="3527"/>
      <c r="C2" s="3527"/>
      <c r="D2" s="3527"/>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27" t="s">
        <v>939</v>
      </c>
      <c r="B6" s="3527"/>
      <c r="C6" s="3527"/>
      <c r="D6" s="3527"/>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28" t="s">
        <v>942</v>
      </c>
      <c r="B11" s="3520"/>
      <c r="C11" s="3520"/>
      <c r="D11" s="3520"/>
    </row>
    <row r="12" spans="1:4" ht="15.75">
      <c r="A12" s="35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5"/>
      <c r="C12" s="3525"/>
      <c r="D12" s="3525"/>
    </row>
    <row r="13" spans="1:4" ht="30" customHeight="1">
      <c r="A13" s="35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5"/>
      <c r="C13" s="3525"/>
      <c r="D13" s="3525"/>
    </row>
    <row r="14" spans="1:4" ht="15.75" customHeight="1">
      <c r="A14" s="3520" t="str">
        <f>IF(项目基本情况!B8="抵押","4.本次评估估价师所知悉的法定优先受偿款情况说明如下：","——")</f>
        <v>4.本次评估估价师所知悉的法定优先受偿款情况说明如下：</v>
      </c>
      <c r="B14" s="3525"/>
      <c r="C14" s="3525"/>
      <c r="D14" s="3525"/>
    </row>
    <row r="15" spans="1:4" ht="42" customHeight="1">
      <c r="A15" s="35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0"/>
      <c r="C15" s="3520"/>
      <c r="D15" s="3520"/>
    </row>
    <row r="16" spans="1:4" ht="30" customHeight="1">
      <c r="A16" s="3522" t="s">
        <v>943</v>
      </c>
      <c r="B16" s="3522"/>
      <c r="C16" s="3522"/>
      <c r="D16" s="3522"/>
    </row>
    <row r="17" spans="1:4" ht="144" customHeight="1">
      <c r="A17" s="3522" t="s">
        <v>944</v>
      </c>
      <c r="B17" s="3522"/>
      <c r="C17" s="3522"/>
      <c r="D17" s="3522"/>
    </row>
    <row r="18" spans="1:4" ht="15.75" customHeight="1">
      <c r="A18" s="3520" t="str">
        <f>IF(项目基本情况!B8="抵押",结果表!K120,"——")</f>
        <v>故，本次评估不存在估价师知悉的法定优先受偿款</v>
      </c>
      <c r="B18" s="3520"/>
      <c r="C18" s="3520"/>
      <c r="D18" s="3520"/>
    </row>
    <row r="19" spans="1:4" ht="46.5" customHeight="1">
      <c r="A19" s="35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0"/>
      <c r="C19" s="3520"/>
      <c r="D19" s="3520"/>
    </row>
    <row r="20" spans="1:4" ht="57.75" customHeight="1">
      <c r="A20" s="35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0"/>
      <c r="C20" s="3520"/>
      <c r="D20" s="3520"/>
    </row>
    <row r="21" spans="1:4" ht="57.75" customHeight="1">
      <c r="A21" s="35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3"/>
      <c r="C21" s="3523"/>
      <c r="D21" s="3523"/>
    </row>
    <row r="22" spans="1:4" ht="18.75" customHeight="1">
      <c r="A22" s="3524" t="s">
        <v>945</v>
      </c>
      <c r="B22" s="3524"/>
      <c r="C22" s="3524"/>
      <c r="D22" s="352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1">
        <v>42551</v>
      </c>
      <c r="D31" s="35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4" t="s">
        <v>956</v>
      </c>
      <c r="B15" s="3529" t="s">
        <v>109</v>
      </c>
      <c r="C15" s="3530"/>
    </row>
    <row r="16" spans="1:7" ht="13.5">
      <c r="A16" s="3535"/>
      <c r="B16" s="3529" t="s">
        <v>42</v>
      </c>
      <c r="C16" s="3530"/>
    </row>
    <row r="17" spans="1:3" ht="13.5">
      <c r="A17" s="3535"/>
      <c r="B17" s="3532" t="s">
        <v>957</v>
      </c>
      <c r="C17" s="1531" t="s">
        <v>956</v>
      </c>
    </row>
    <row r="18" spans="1:3" ht="13.5">
      <c r="A18" s="3535"/>
      <c r="B18" s="3532"/>
      <c r="C18" s="1531" t="s">
        <v>958</v>
      </c>
    </row>
    <row r="19" spans="1:3" ht="13.5">
      <c r="A19" s="3535"/>
      <c r="B19" s="3532"/>
      <c r="C19" s="1531" t="s">
        <v>959</v>
      </c>
    </row>
    <row r="20" spans="1:3" ht="13.5">
      <c r="A20" s="3536"/>
      <c r="B20" s="3531" t="s">
        <v>960</v>
      </c>
      <c r="C20" s="3530"/>
    </row>
    <row r="21" spans="1:3" ht="13.5">
      <c r="A21" s="1532" t="s">
        <v>961</v>
      </c>
      <c r="B21" s="1533"/>
      <c r="C21" s="1534"/>
    </row>
    <row r="22" spans="1:3" ht="13.5">
      <c r="A22" s="3533" t="s">
        <v>962</v>
      </c>
      <c r="B22" s="3531" t="s">
        <v>963</v>
      </c>
      <c r="C22" s="3530"/>
    </row>
    <row r="23" spans="1:3" ht="13.5">
      <c r="A23" s="3533"/>
      <c r="B23" s="3531" t="s">
        <v>964</v>
      </c>
      <c r="C23" s="3530"/>
    </row>
    <row r="24" spans="1:3" ht="13.5">
      <c r="A24" s="3533"/>
      <c r="B24" s="3531" t="s">
        <v>965</v>
      </c>
      <c r="C24" s="3530"/>
    </row>
    <row r="25" spans="1:3" ht="13.5">
      <c r="A25" s="3533"/>
      <c r="B25" s="3532" t="s">
        <v>966</v>
      </c>
      <c r="C25" s="1531" t="s">
        <v>967</v>
      </c>
    </row>
    <row r="26" spans="1:3" ht="13.5">
      <c r="A26" s="3533"/>
      <c r="B26" s="3532"/>
      <c r="C26" s="1531" t="s">
        <v>968</v>
      </c>
    </row>
    <row r="27" spans="1:3" ht="13.5">
      <c r="A27" s="3533"/>
      <c r="B27" s="3532"/>
      <c r="C27" s="1531" t="s">
        <v>969</v>
      </c>
    </row>
    <row r="28" spans="1:3" ht="13.5">
      <c r="A28" s="3533"/>
      <c r="B28" s="3532"/>
      <c r="C28" s="1531" t="s">
        <v>970</v>
      </c>
    </row>
    <row r="29" spans="1:3" ht="13.5">
      <c r="A29" s="3533"/>
      <c r="B29" s="3532"/>
      <c r="C29" s="1531" t="s">
        <v>971</v>
      </c>
    </row>
    <row r="30" spans="1:3" ht="13.5">
      <c r="A30" s="3533"/>
      <c r="B30" s="3532"/>
      <c r="C30" s="1531" t="s">
        <v>972</v>
      </c>
    </row>
    <row r="31" spans="1:3" ht="13.5">
      <c r="A31" s="3533"/>
      <c r="B31" s="3532"/>
      <c r="C31" s="1531" t="s">
        <v>973</v>
      </c>
    </row>
    <row r="32" spans="1:3" ht="13.5">
      <c r="A32" s="3533"/>
      <c r="B32" s="3532"/>
      <c r="C32" s="1531" t="s">
        <v>974</v>
      </c>
    </row>
    <row r="33" spans="1:3" ht="13.5">
      <c r="A33" s="3533"/>
      <c r="B33" s="3532"/>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45824</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7" t="s">
        <v>2160</v>
      </c>
      <c r="B17" s="3537"/>
      <c r="C17" s="3537"/>
      <c r="D17" s="3537"/>
      <c r="E17" s="3537"/>
      <c r="F17" s="3537"/>
      <c r="G17" s="3537"/>
      <c r="H17" s="3537"/>
    </row>
    <row r="18" spans="1:8" ht="24" customHeight="1">
      <c r="A18" s="3538" t="s">
        <v>2161</v>
      </c>
      <c r="B18" s="3538"/>
      <c r="C18" s="3538"/>
      <c r="D18" s="2342"/>
      <c r="E18" s="3539" t="s">
        <v>2162</v>
      </c>
      <c r="F18" s="3538"/>
      <c r="G18" s="3538"/>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系统读取表</vt:lpstr>
      <vt:lpstr>结果表</vt:lpstr>
      <vt:lpstr>比较法-商业</vt:lpstr>
      <vt:lpstr>收益法</vt:lpstr>
      <vt:lpstr>成本法</vt:lpstr>
      <vt:lpstr>成本法 (元)</vt:lpstr>
      <vt:lpstr>假设开发法</vt:lpstr>
      <vt:lpstr>基准地价修正</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商业租金</vt:lpstr>
      <vt:lpstr>商业售价</vt:lpstr>
      <vt:lpstr>办公市调</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2025-06-16T07:16:53Z</dcterms:modified>
</cp:coreProperties>
</file>