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state="hidden"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面积表"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I19" i="3"/>
  <c r="I18" i="3"/>
  <c r="B21" i="3"/>
  <c r="M32" i="79" l="1"/>
  <c r="M22" i="79"/>
  <c r="M33" i="79" s="1"/>
  <c r="L33" i="79"/>
  <c r="L32" i="79"/>
  <c r="L22" i="79"/>
  <c r="D22" i="79" l="1"/>
  <c r="D23" i="79" s="1"/>
  <c r="C15" i="74" l="1"/>
  <c r="B15" i="74"/>
  <c r="E66" i="40" l="1"/>
  <c r="F66" i="40" s="1"/>
  <c r="G66" i="40" s="1"/>
  <c r="H66" i="40" s="1"/>
  <c r="I66" i="40" s="1"/>
  <c r="J66" i="40" s="1"/>
  <c r="K66" i="40" s="1"/>
  <c r="L66" i="40" s="1"/>
  <c r="M66" i="40" s="1"/>
  <c r="N66" i="40" s="1"/>
  <c r="O66" i="40" s="1"/>
  <c r="D66" i="40"/>
  <c r="I5" i="40"/>
  <c r="G5" i="40"/>
  <c r="I7" i="40"/>
  <c r="G7" i="40"/>
  <c r="I34" i="40"/>
  <c r="G34" i="40"/>
  <c r="E34" i="40"/>
  <c r="I41" i="40"/>
  <c r="G41" i="40"/>
  <c r="E41" i="40"/>
  <c r="AV51" i="78"/>
  <c r="AV50" i="78"/>
  <c r="AV49" i="78"/>
  <c r="AV48" i="78"/>
  <c r="AV47" i="78"/>
  <c r="AV46" i="78"/>
  <c r="AV45" i="78"/>
  <c r="AV44" i="78"/>
  <c r="AV43" i="78"/>
  <c r="AV42" i="78"/>
  <c r="AV41" i="78"/>
  <c r="AV40" i="78"/>
  <c r="AV39" i="78"/>
  <c r="AV38" i="78"/>
  <c r="AV37" i="78"/>
  <c r="AV36" i="78"/>
  <c r="AV35" i="78"/>
  <c r="AV34" i="78"/>
  <c r="AV33" i="78"/>
  <c r="AV32" i="78"/>
  <c r="AV31" i="78"/>
  <c r="AV30" i="78"/>
  <c r="AV29" i="78"/>
  <c r="AV28" i="78"/>
  <c r="AV27" i="78"/>
  <c r="AV26" i="78"/>
  <c r="AV25" i="78"/>
  <c r="AV24" i="78"/>
  <c r="AV23" i="78"/>
  <c r="AV22" i="78"/>
  <c r="AV21" i="78"/>
  <c r="AV20" i="78"/>
  <c r="AV19" i="78"/>
  <c r="AV18" i="78"/>
  <c r="AV17" i="78"/>
  <c r="AV16" i="78"/>
  <c r="AV15" i="78"/>
  <c r="AV14" i="78"/>
  <c r="AV13" i="78"/>
  <c r="AV12" i="78"/>
  <c r="AV11" i="78"/>
  <c r="AV10" i="78"/>
  <c r="AV9" i="78"/>
  <c r="AV8" i="78"/>
  <c r="AV7" i="78"/>
  <c r="AV6" i="78"/>
  <c r="AV5" i="78"/>
  <c r="AV4" i="78"/>
  <c r="AV3" i="78"/>
  <c r="AV2" i="78"/>
  <c r="B18" i="3"/>
  <c r="N21" i="1" l="1"/>
  <c r="N20" i="1"/>
  <c r="N19" i="1"/>
  <c r="AJ28" i="1"/>
  <c r="K11" i="40" l="1"/>
  <c r="C34" i="40" l="1"/>
  <c r="C48" i="11" l="1"/>
  <c r="F38" i="11"/>
  <c r="E37" i="11"/>
  <c r="F36" i="11"/>
  <c r="F35" i="11"/>
  <c r="F30" i="11"/>
  <c r="C30" i="11"/>
  <c r="F21" i="11"/>
  <c r="C40" i="11" s="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C20" i="43" s="1"/>
  <c r="G20" i="43"/>
  <c r="E41" i="43" s="1"/>
  <c r="C41" i="43" s="1"/>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P61" i="67"/>
  <c r="F61" i="67"/>
  <c r="F60" i="67"/>
  <c r="Q59" i="67"/>
  <c r="K59" i="67"/>
  <c r="F59" i="67"/>
  <c r="Q58" i="67"/>
  <c r="J53" i="67"/>
  <c r="F1" i="67" s="1"/>
  <c r="Q51" i="67"/>
  <c r="J51" i="67"/>
  <c r="J50" i="67"/>
  <c r="M47" i="67"/>
  <c r="D46" i="67"/>
  <c r="F33" i="67"/>
  <c r="F32" i="67"/>
  <c r="F31" i="67"/>
  <c r="F28" i="67"/>
  <c r="F23" i="67"/>
  <c r="D24" i="67" s="1"/>
  <c r="F21" i="67"/>
  <c r="F20" i="67"/>
  <c r="M19" i="67"/>
  <c r="M18" i="67"/>
  <c r="F18" i="67"/>
  <c r="M17" i="67"/>
  <c r="F17" i="67"/>
  <c r="F15" i="67"/>
  <c r="G1" i="67"/>
  <c r="Q72" i="15"/>
  <c r="F61" i="15"/>
  <c r="F60" i="15"/>
  <c r="Q59" i="15"/>
  <c r="K59" i="15"/>
  <c r="P61" i="15" s="1"/>
  <c r="F59" i="15"/>
  <c r="Q58" i="15"/>
  <c r="J52" i="15"/>
  <c r="Q51" i="15"/>
  <c r="J50" i="15"/>
  <c r="M47" i="15"/>
  <c r="D46" i="15"/>
  <c r="F33" i="15"/>
  <c r="F32" i="15"/>
  <c r="F31" i="15"/>
  <c r="F28" i="15"/>
  <c r="F23" i="15"/>
  <c r="D24" i="15" s="1"/>
  <c r="D22" i="15"/>
  <c r="F21"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K1" i="12"/>
  <c r="F38" i="69"/>
  <c r="E37" i="69"/>
  <c r="F36" i="69"/>
  <c r="F35" i="69"/>
  <c r="F30" i="69"/>
  <c r="F21" i="69"/>
  <c r="C21" i="69" s="1"/>
  <c r="F20" i="69"/>
  <c r="E10" i="69"/>
  <c r="E9" i="69"/>
  <c r="F7" i="69"/>
  <c r="C7" i="69" s="1"/>
  <c r="H1" i="69"/>
  <c r="G1" i="69"/>
  <c r="F38" i="68"/>
  <c r="E37" i="68"/>
  <c r="F36" i="68"/>
  <c r="F35" i="68"/>
  <c r="F30" i="68"/>
  <c r="F21" i="68"/>
  <c r="C40" i="68" s="1"/>
  <c r="F20"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P43" i="40"/>
  <c r="P42" i="40"/>
  <c r="P41" i="40"/>
  <c r="V41" i="40"/>
  <c r="G48" i="40"/>
  <c r="H48" i="40" s="1"/>
  <c r="I48" i="40"/>
  <c r="J48" i="40" s="1"/>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AB36" i="40" s="1"/>
  <c r="F36" i="40"/>
  <c r="AA36" i="40" s="1"/>
  <c r="AC35" i="40"/>
  <c r="AB35" i="40"/>
  <c r="AA35" i="40"/>
  <c r="Z35" i="40"/>
  <c r="W35" i="40"/>
  <c r="U35" i="40"/>
  <c r="S35" i="40"/>
  <c r="Q35" i="40"/>
  <c r="J35" i="40"/>
  <c r="H35" i="40"/>
  <c r="F35" i="40"/>
  <c r="Z34" i="40"/>
  <c r="Q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E7" i="40"/>
  <c r="E5" i="40"/>
  <c r="A126" i="9"/>
  <c r="D124" i="9"/>
  <c r="A124" i="9"/>
  <c r="A122" i="9"/>
  <c r="D121" i="9"/>
  <c r="K120" i="9"/>
  <c r="D120" i="9"/>
  <c r="A120"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6" i="9"/>
  <c r="D68" i="9"/>
  <c r="F59" i="9"/>
  <c r="E59" i="9"/>
  <c r="N55" i="9" s="1"/>
  <c r="D59" i="9"/>
  <c r="N56" i="9"/>
  <c r="M56" i="9"/>
  <c r="K56" i="9"/>
  <c r="J56" i="9"/>
  <c r="F56" i="9"/>
  <c r="O55" i="9"/>
  <c r="M55" i="9"/>
  <c r="K55" i="9"/>
  <c r="J55" i="9"/>
  <c r="J57" i="9" s="1"/>
  <c r="J59" i="9" s="1"/>
  <c r="J61" i="9" s="1"/>
  <c r="I55" i="9"/>
  <c r="F55" i="9"/>
  <c r="O54" i="9"/>
  <c r="N54" i="9"/>
  <c r="F54" i="9"/>
  <c r="O53" i="9"/>
  <c r="N53" i="9"/>
  <c r="F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E16" i="74"/>
  <c r="F16" i="74"/>
  <c r="I14" i="74"/>
  <c r="B8" i="74"/>
  <c r="C24" i="20"/>
  <c r="C22" i="20"/>
  <c r="C21" i="20"/>
  <c r="G20" i="20"/>
  <c r="C20" i="20"/>
  <c r="G19" i="20"/>
  <c r="G18" i="20"/>
  <c r="C18" i="20"/>
  <c r="C17" i="20"/>
  <c r="G16" i="20"/>
  <c r="C16" i="20"/>
  <c r="G15" i="20"/>
  <c r="C15" i="20"/>
  <c r="B52" i="1"/>
  <c r="F34" i="67" s="1"/>
  <c r="F62" i="67" s="1"/>
  <c r="B43" i="1"/>
  <c r="B41" i="1"/>
  <c r="B31" i="1"/>
  <c r="E19" i="69" s="1"/>
  <c r="B22" i="1"/>
  <c r="G41" i="68" s="1"/>
  <c r="AP13" i="1"/>
  <c r="AG13" i="1"/>
  <c r="AE13" i="1"/>
  <c r="S13" i="1"/>
  <c r="AQ13" i="1" s="1"/>
  <c r="R13" i="1"/>
  <c r="K13" i="1"/>
  <c r="M13" i="1" s="1"/>
  <c r="O13" i="1" s="1"/>
  <c r="P13" i="1" s="1"/>
  <c r="F13" i="1"/>
  <c r="G13" i="1" s="1"/>
  <c r="E13" i="1"/>
  <c r="D13" i="1"/>
  <c r="B13" i="1"/>
  <c r="A13" i="1"/>
  <c r="AP12" i="1"/>
  <c r="AG12" i="1"/>
  <c r="AE12" i="1"/>
  <c r="S12" i="1"/>
  <c r="AR12" i="1" s="1"/>
  <c r="R12" i="1"/>
  <c r="K12" i="1"/>
  <c r="M12" i="1" s="1"/>
  <c r="O12" i="1" s="1"/>
  <c r="P12" i="1" s="1"/>
  <c r="F12" i="1"/>
  <c r="G12" i="1" s="1"/>
  <c r="E12" i="1"/>
  <c r="D12" i="1"/>
  <c r="B12" i="1"/>
  <c r="A12" i="1"/>
  <c r="AP11" i="1"/>
  <c r="AG11" i="1"/>
  <c r="AE11" i="1"/>
  <c r="S11" i="1"/>
  <c r="AR11" i="1" s="1"/>
  <c r="R11" i="1"/>
  <c r="K11" i="1"/>
  <c r="M11" i="1" s="1"/>
  <c r="O11" i="1" s="1"/>
  <c r="P11" i="1" s="1"/>
  <c r="F11" i="1"/>
  <c r="G11" i="1" s="1"/>
  <c r="E11" i="1"/>
  <c r="D11" i="1"/>
  <c r="B11" i="1"/>
  <c r="A11" i="1"/>
  <c r="AP10" i="1"/>
  <c r="AG10" i="1"/>
  <c r="AE10" i="1"/>
  <c r="S10" i="1"/>
  <c r="AR10" i="1" s="1"/>
  <c r="R10" i="1"/>
  <c r="K10" i="1"/>
  <c r="M10" i="1" s="1"/>
  <c r="O10" i="1" s="1"/>
  <c r="F10" i="1"/>
  <c r="G10" i="1" s="1"/>
  <c r="E10" i="1"/>
  <c r="D10" i="1"/>
  <c r="B10" i="1"/>
  <c r="A10" i="1"/>
  <c r="AP9" i="1"/>
  <c r="AG9" i="1"/>
  <c r="AE9" i="1"/>
  <c r="S9" i="1"/>
  <c r="AR9" i="1" s="1"/>
  <c r="R9" i="1"/>
  <c r="K9" i="1"/>
  <c r="M9" i="1" s="1"/>
  <c r="O9" i="1" s="1"/>
  <c r="P9" i="1" s="1"/>
  <c r="F9" i="1"/>
  <c r="G9" i="1" s="1"/>
  <c r="E9" i="1"/>
  <c r="D9" i="1"/>
  <c r="B9" i="1"/>
  <c r="A9" i="1"/>
  <c r="AP8" i="1"/>
  <c r="AG8" i="1"/>
  <c r="AE8" i="1"/>
  <c r="S8" i="1"/>
  <c r="AR8" i="1" s="1"/>
  <c r="R8" i="1"/>
  <c r="K8" i="1"/>
  <c r="M8" i="1" s="1"/>
  <c r="O8" i="1" s="1"/>
  <c r="P8" i="1" s="1"/>
  <c r="F8" i="1"/>
  <c r="G8" i="1" s="1"/>
  <c r="E8" i="1"/>
  <c r="D8" i="1"/>
  <c r="B8" i="1"/>
  <c r="A8" i="1"/>
  <c r="AP7" i="1"/>
  <c r="AG7" i="1"/>
  <c r="AE7" i="1"/>
  <c r="S7" i="1"/>
  <c r="AR7" i="1" s="1"/>
  <c r="R7" i="1"/>
  <c r="K7" i="1"/>
  <c r="M7" i="1" s="1"/>
  <c r="O7" i="1" s="1"/>
  <c r="P7" i="1" s="1"/>
  <c r="F7" i="1"/>
  <c r="G7" i="1" s="1"/>
  <c r="E7" i="1"/>
  <c r="D7" i="1"/>
  <c r="B7" i="1"/>
  <c r="A7" i="1"/>
  <c r="AP6" i="1"/>
  <c r="AG6" i="1"/>
  <c r="E6" i="1"/>
  <c r="D6" i="1"/>
  <c r="B6" i="1"/>
  <c r="A6" i="1"/>
  <c r="T4" i="1"/>
  <c r="E32"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J55" i="39" s="1"/>
  <c r="T34" i="4"/>
  <c r="K34" i="4"/>
  <c r="C33" i="4"/>
  <c r="C32" i="4"/>
  <c r="C31" i="4"/>
  <c r="L22" i="4"/>
  <c r="L21" i="4"/>
  <c r="L20" i="4"/>
  <c r="F19" i="4"/>
  <c r="H15" i="4"/>
  <c r="G15" i="4"/>
  <c r="F15" i="4"/>
  <c r="E15" i="4"/>
  <c r="D15" i="4"/>
  <c r="B7" i="4"/>
  <c r="K6" i="4"/>
  <c r="K5" i="4"/>
  <c r="I4" i="4"/>
  <c r="G4" i="4"/>
  <c r="D3" i="4"/>
  <c r="B2" i="1" s="1"/>
  <c r="S2" i="4"/>
  <c r="A118" i="9" s="1"/>
  <c r="S1" i="4"/>
  <c r="A4" i="51" s="1"/>
  <c r="B6" i="72" s="1"/>
  <c r="B1" i="4"/>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B18" i="72" s="1"/>
  <c r="A22" i="51"/>
  <c r="A21" i="51"/>
  <c r="A20" i="51"/>
  <c r="A19" i="51"/>
  <c r="A13" i="51"/>
  <c r="B11" i="72" s="1"/>
  <c r="A3" i="51"/>
  <c r="B49" i="48"/>
  <c r="B47" i="48"/>
  <c r="B40" i="48"/>
  <c r="B37" i="48"/>
  <c r="B2" i="72" s="1"/>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0" i="72"/>
  <c r="B8" i="72"/>
  <c r="B5" i="72"/>
  <c r="B3" i="72"/>
  <c r="F26" i="15"/>
  <c r="F36" i="15"/>
  <c r="J15" i="67"/>
  <c r="L48" i="67"/>
  <c r="F42" i="15"/>
  <c r="E2" i="69"/>
  <c r="AO8" i="1"/>
  <c r="L47" i="15"/>
  <c r="D2" i="33"/>
  <c r="E11" i="76"/>
  <c r="B11" i="76"/>
  <c r="F37" i="15"/>
  <c r="C76" i="15"/>
  <c r="B9" i="76"/>
  <c r="F13" i="67"/>
  <c r="D2" i="35"/>
  <c r="E7" i="76"/>
  <c r="E8" i="76"/>
  <c r="E13" i="76"/>
  <c r="AO9" i="1"/>
  <c r="AO7" i="1"/>
  <c r="F40" i="67"/>
  <c r="M28" i="67"/>
  <c r="F38" i="15"/>
  <c r="D2" i="37"/>
  <c r="B12" i="76"/>
  <c r="M24" i="67"/>
  <c r="F16" i="67"/>
  <c r="D2" i="34"/>
  <c r="F41" i="67"/>
  <c r="B7" i="76"/>
  <c r="B10" i="76"/>
  <c r="F9" i="15"/>
  <c r="AO12" i="1"/>
  <c r="C76" i="67"/>
  <c r="M6" i="15"/>
  <c r="F42" i="67"/>
  <c r="AO10" i="1"/>
  <c r="F20" i="31"/>
  <c r="E2" i="68"/>
  <c r="F7" i="67"/>
  <c r="B13" i="76"/>
  <c r="F40" i="15"/>
  <c r="M26" i="67"/>
  <c r="F26" i="67"/>
  <c r="M9" i="67"/>
  <c r="M29" i="67"/>
  <c r="E10" i="76"/>
  <c r="M26" i="15"/>
  <c r="E9" i="76"/>
  <c r="M22" i="15"/>
  <c r="AO13" i="1"/>
  <c r="D2" i="21"/>
  <c r="M28" i="15"/>
  <c r="E12" i="76"/>
  <c r="F8" i="15"/>
  <c r="M27" i="67"/>
  <c r="F8" i="67"/>
  <c r="F35" i="67"/>
  <c r="M23" i="15"/>
  <c r="M6" i="67"/>
  <c r="M21" i="67"/>
  <c r="M24" i="15"/>
  <c r="B8" i="76"/>
  <c r="M27" i="15"/>
  <c r="AO11" i="1"/>
  <c r="L47" i="67"/>
  <c r="F36" i="67"/>
  <c r="F9" i="67"/>
  <c r="D2" i="36"/>
  <c r="M8" i="15"/>
  <c r="F43" i="67"/>
  <c r="F16" i="15"/>
  <c r="F38" i="67"/>
  <c r="F6" i="67"/>
  <c r="M23" i="67"/>
  <c r="J15" i="15"/>
  <c r="F6" i="15"/>
  <c r="F37" i="67"/>
  <c r="M22" i="67"/>
  <c r="M9" i="15"/>
  <c r="M8" i="67"/>
  <c r="U36" i="40" l="1"/>
  <c r="S36" i="40"/>
  <c r="W36" i="40"/>
  <c r="T41" i="40"/>
  <c r="D23" i="15"/>
  <c r="D22" i="67"/>
  <c r="M20" i="15"/>
  <c r="F34" i="15"/>
  <c r="F62" i="15" s="1"/>
  <c r="M20" i="67"/>
  <c r="BA13" i="3"/>
  <c r="BL13" i="3"/>
  <c r="AZ13" i="3" s="1"/>
  <c r="BA14" i="3"/>
  <c r="BL14" i="3"/>
  <c r="BA15" i="3"/>
  <c r="BL15" i="3"/>
  <c r="G22" i="3"/>
  <c r="V19" i="1"/>
  <c r="O19" i="1" s="1"/>
  <c r="Q19" i="1" s="1"/>
  <c r="V18" i="1"/>
  <c r="O20" i="1" s="1"/>
  <c r="Q20" i="1" s="1"/>
  <c r="AZ42" i="3"/>
  <c r="AZ44" i="3"/>
  <c r="AZ46" i="3"/>
  <c r="AZ14" i="3"/>
  <c r="BL20" i="3"/>
  <c r="BL21" i="3"/>
  <c r="BL22" i="3"/>
  <c r="BL29" i="3"/>
  <c r="BA40" i="3"/>
  <c r="AZ40" i="3" s="1"/>
  <c r="A2" i="9"/>
  <c r="C51" i="10"/>
  <c r="J50" i="40"/>
  <c r="C21" i="68"/>
  <c r="C21" i="11"/>
  <c r="C40" i="69"/>
  <c r="G22" i="69"/>
  <c r="G22" i="11"/>
  <c r="G41" i="11"/>
  <c r="G22" i="68"/>
  <c r="G41" i="69"/>
  <c r="D23" i="67"/>
  <c r="E1" i="73"/>
  <c r="G25" i="12"/>
  <c r="G26" i="12"/>
  <c r="G27" i="12"/>
  <c r="BL31" i="3"/>
  <c r="BL32" i="3"/>
  <c r="BA30" i="3"/>
  <c r="AZ30" i="3" s="1"/>
  <c r="BL24" i="3"/>
  <c r="A18" i="51"/>
  <c r="B13" i="72" s="1"/>
  <c r="C53" i="10"/>
  <c r="C18" i="9"/>
  <c r="D18" i="9" s="1"/>
  <c r="BL35" i="3"/>
  <c r="BA22" i="3"/>
  <c r="AZ22" i="3" s="1"/>
  <c r="BL18" i="3"/>
  <c r="BL17" i="3"/>
  <c r="BL37" i="3"/>
  <c r="BL33" i="3"/>
  <c r="BA32" i="3"/>
  <c r="AZ32" i="3" s="1"/>
  <c r="BA31" i="3"/>
  <c r="AZ31" i="3" s="1"/>
  <c r="BL30" i="3"/>
  <c r="BA29" i="3"/>
  <c r="AZ29" i="3" s="1"/>
  <c r="BL27" i="3"/>
  <c r="BL26" i="3"/>
  <c r="BA24" i="3"/>
  <c r="AZ24" i="3" s="1"/>
  <c r="BA35" i="3"/>
  <c r="AZ35" i="3" s="1"/>
  <c r="BL39" i="3"/>
  <c r="BL38" i="3"/>
  <c r="BA36" i="3"/>
  <c r="BL36" i="3"/>
  <c r="BA27" i="3"/>
  <c r="AZ27" i="3" s="1"/>
  <c r="BL25" i="3"/>
  <c r="BA16" i="3"/>
  <c r="BL16" i="3"/>
  <c r="C7" i="34"/>
  <c r="C59" i="34" s="1"/>
  <c r="M47" i="9"/>
  <c r="C7" i="21"/>
  <c r="C58" i="21" s="1"/>
  <c r="C7" i="36"/>
  <c r="C46" i="36" s="1"/>
  <c r="C7" i="40"/>
  <c r="C63" i="40" s="1"/>
  <c r="C7" i="35"/>
  <c r="C48" i="35" s="1"/>
  <c r="J51" i="15"/>
  <c r="N59" i="15" s="1"/>
  <c r="G19" i="43"/>
  <c r="C7" i="39"/>
  <c r="C68" i="39" s="1"/>
  <c r="C7" i="33"/>
  <c r="C58" i="33" s="1"/>
  <c r="C42" i="1"/>
  <c r="C7" i="37"/>
  <c r="C52" i="37" s="1"/>
  <c r="C1" i="73"/>
  <c r="B3" i="74"/>
  <c r="A15" i="51"/>
  <c r="B12" i="72" s="1"/>
  <c r="I15" i="4"/>
  <c r="F6" i="1" s="1"/>
  <c r="C10" i="40" s="1"/>
  <c r="E48" i="40"/>
  <c r="F48" i="40" s="1"/>
  <c r="R41" i="40"/>
  <c r="BL28" i="3"/>
  <c r="BA28" i="3"/>
  <c r="BL19" i="3"/>
  <c r="BA17" i="3"/>
  <c r="BA18" i="3"/>
  <c r="AZ18" i="3" s="1"/>
  <c r="G19" i="3"/>
  <c r="AC5" i="3"/>
  <c r="P10" i="1"/>
  <c r="C94" i="9"/>
  <c r="P74" i="15"/>
  <c r="E19" i="11"/>
  <c r="E19" i="68"/>
  <c r="Q52" i="67"/>
  <c r="BA38" i="3"/>
  <c r="AZ36" i="3"/>
  <c r="BA33" i="3"/>
  <c r="BA26" i="3"/>
  <c r="AZ26" i="3" s="1"/>
  <c r="BL23" i="3"/>
  <c r="AZ15" i="3"/>
  <c r="BM5" i="3"/>
  <c r="BQ5" i="3"/>
  <c r="BC5" i="3"/>
  <c r="G19" i="6" s="1"/>
  <c r="G27" i="6" s="1"/>
  <c r="BG5" i="3"/>
  <c r="BK5" i="3"/>
  <c r="BA20" i="3"/>
  <c r="AZ20" i="3" s="1"/>
  <c r="BI5" i="3"/>
  <c r="BE5" i="3"/>
  <c r="BO5" i="3"/>
  <c r="F29" i="6" s="1"/>
  <c r="BS5" i="3"/>
  <c r="BA39" i="3"/>
  <c r="AZ39" i="3" s="1"/>
  <c r="BA37" i="3"/>
  <c r="AZ37" i="3" s="1"/>
  <c r="BN5" i="3"/>
  <c r="BP5" i="3"/>
  <c r="BR5" i="3"/>
  <c r="BT5" i="3"/>
  <c r="BA25" i="3"/>
  <c r="AZ25" i="3" s="1"/>
  <c r="BA23" i="3"/>
  <c r="AZ23" i="3" s="1"/>
  <c r="BA21" i="3"/>
  <c r="AZ21" i="3" s="1"/>
  <c r="BL5" i="3"/>
  <c r="BA19" i="3"/>
  <c r="AZ19" i="3" s="1"/>
  <c r="BD5" i="3"/>
  <c r="BF5" i="3"/>
  <c r="BH5" i="3"/>
  <c r="BJ5" i="3"/>
  <c r="L27" i="6"/>
  <c r="AZ16" i="3"/>
  <c r="BB5" i="3"/>
  <c r="G5" i="3"/>
  <c r="B3" i="3" s="1"/>
  <c r="E376" i="3" s="1"/>
  <c r="H5" i="3"/>
  <c r="BA5" i="3"/>
  <c r="C36" i="69"/>
  <c r="T7" i="1"/>
  <c r="AQ7" i="1"/>
  <c r="T8" i="1"/>
  <c r="AQ8" i="1"/>
  <c r="T9" i="1"/>
  <c r="AQ9" i="1"/>
  <c r="T10" i="1"/>
  <c r="AQ10" i="1"/>
  <c r="T11" i="1"/>
  <c r="AQ11" i="1"/>
  <c r="T12" i="1"/>
  <c r="AQ12" i="1"/>
  <c r="G3" i="43"/>
  <c r="C11" i="40"/>
  <c r="E447" i="3"/>
  <c r="E327" i="3"/>
  <c r="E275" i="3"/>
  <c r="E243" i="3"/>
  <c r="E219" i="3"/>
  <c r="E203" i="3"/>
  <c r="E187" i="3"/>
  <c r="E171" i="3"/>
  <c r="E155" i="3"/>
  <c r="E139" i="3"/>
  <c r="E123" i="3"/>
  <c r="E107" i="3"/>
  <c r="E93" i="3"/>
  <c r="E85" i="3"/>
  <c r="E77" i="3"/>
  <c r="E69" i="3"/>
  <c r="E61" i="3"/>
  <c r="E53" i="3"/>
  <c r="E45" i="3"/>
  <c r="E37" i="3"/>
  <c r="E29" i="3"/>
  <c r="E21" i="3"/>
  <c r="E13"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C9" i="69" s="1"/>
  <c r="D9" i="68"/>
  <c r="C9" i="68" s="1"/>
  <c r="AR13" i="1"/>
  <c r="T13" i="1"/>
  <c r="B7" i="70"/>
  <c r="B9" i="70"/>
  <c r="B12" i="70"/>
  <c r="B8" i="70"/>
  <c r="B10" i="70"/>
  <c r="C27" i="15"/>
  <c r="F64" i="15"/>
  <c r="F65" i="15"/>
  <c r="F66" i="15"/>
  <c r="B11" i="70"/>
  <c r="B13" i="70"/>
  <c r="F51" i="15"/>
  <c r="F68" i="15"/>
  <c r="C6" i="67"/>
  <c r="J20" i="67"/>
  <c r="C27" i="67"/>
  <c r="F63" i="67"/>
  <c r="C62" i="67" s="1"/>
  <c r="C34" i="67"/>
  <c r="F64" i="67"/>
  <c r="F65" i="67"/>
  <c r="F66" i="67"/>
  <c r="F69" i="67"/>
  <c r="N59" i="67"/>
  <c r="L59" i="67"/>
  <c r="L58" i="67"/>
  <c r="J57" i="67"/>
  <c r="J55" i="67" s="1"/>
  <c r="J58" i="67" s="1"/>
  <c r="Q50" i="67" s="1"/>
  <c r="I54" i="67"/>
  <c r="L56" i="67"/>
  <c r="Q71" i="15"/>
  <c r="F50" i="67"/>
  <c r="M7" i="67"/>
  <c r="J6" i="67" s="1"/>
  <c r="F51" i="67"/>
  <c r="F68" i="67"/>
  <c r="F70" i="67"/>
  <c r="F71" i="67"/>
  <c r="Q71" i="67"/>
  <c r="B20" i="31"/>
  <c r="E4" i="49"/>
  <c r="E5" i="49"/>
  <c r="E6" i="49"/>
  <c r="E7" i="49"/>
  <c r="E8" i="49"/>
  <c r="E9" i="49"/>
  <c r="E10" i="49"/>
  <c r="E11" i="49"/>
  <c r="E13" i="49"/>
  <c r="E14" i="49"/>
  <c r="E15" i="49"/>
  <c r="E16" i="49"/>
  <c r="E21" i="49"/>
  <c r="E22" i="49"/>
  <c r="D125" i="9"/>
  <c r="D11" i="52" s="1"/>
  <c r="H14" i="74"/>
  <c r="B7" i="74" s="1"/>
  <c r="B4" i="49"/>
  <c r="B5" i="49"/>
  <c r="B6" i="49"/>
  <c r="B7" i="49"/>
  <c r="B8" i="49"/>
  <c r="B9" i="49"/>
  <c r="B10" i="49"/>
  <c r="B11" i="49"/>
  <c r="E4" i="4" s="1"/>
  <c r="B5" i="62" s="1"/>
  <c r="B73" i="72" s="1"/>
  <c r="B13" i="49"/>
  <c r="C4" i="4" s="1"/>
  <c r="B14" i="49"/>
  <c r="B15" i="49"/>
  <c r="B16" i="49"/>
  <c r="E17" i="49"/>
  <c r="L48" i="15"/>
  <c r="C17" i="67"/>
  <c r="C16" i="67"/>
  <c r="C14" i="67"/>
  <c r="AZ38" i="3" l="1"/>
  <c r="AZ17" i="3"/>
  <c r="AZ33" i="3"/>
  <c r="AZ28" i="3"/>
  <c r="E8" i="6"/>
  <c r="E51" i="40" s="1"/>
  <c r="E19" i="6"/>
  <c r="F28" i="6"/>
  <c r="F30" i="6" s="1"/>
  <c r="J60" i="15"/>
  <c r="Q48" i="15" s="1"/>
  <c r="J57" i="15"/>
  <c r="J55" i="15" s="1"/>
  <c r="J58" i="15" s="1"/>
  <c r="Q50" i="15" s="1"/>
  <c r="I54" i="15"/>
  <c r="J59" i="15"/>
  <c r="L58" i="15"/>
  <c r="Q73" i="15" s="1"/>
  <c r="G6" i="1"/>
  <c r="D48" i="35"/>
  <c r="E48" i="35" s="1"/>
  <c r="F48" i="35" s="1"/>
  <c r="G48" i="35" s="1"/>
  <c r="H48" i="35" s="1"/>
  <c r="I48" i="35" s="1"/>
  <c r="J48" i="35" s="1"/>
  <c r="K48" i="35" s="1"/>
  <c r="L48" i="35" s="1"/>
  <c r="M48" i="35" s="1"/>
  <c r="N48" i="35" s="1"/>
  <c r="O48" i="35" s="1"/>
  <c r="H7" i="35" s="1"/>
  <c r="J7" i="35"/>
  <c r="F7" i="35"/>
  <c r="L1" i="73"/>
  <c r="J1" i="73"/>
  <c r="D63" i="40"/>
  <c r="C65" i="40"/>
  <c r="D52" i="37"/>
  <c r="E52" i="37" s="1"/>
  <c r="F52" i="37" s="1"/>
  <c r="G52" i="37" s="1"/>
  <c r="H52" i="37" s="1"/>
  <c r="I52" i="37" s="1"/>
  <c r="J52" i="37" s="1"/>
  <c r="K52" i="37" s="1"/>
  <c r="L52" i="37" s="1"/>
  <c r="M52" i="37" s="1"/>
  <c r="N52" i="37" s="1"/>
  <c r="O52" i="37" s="1"/>
  <c r="J7" i="37"/>
  <c r="H7" i="37"/>
  <c r="F7" i="37"/>
  <c r="D46" i="36"/>
  <c r="E46" i="36" s="1"/>
  <c r="F46" i="36" s="1"/>
  <c r="G46" i="36" s="1"/>
  <c r="H46" i="36" s="1"/>
  <c r="I46" i="36" s="1"/>
  <c r="J46" i="36" s="1"/>
  <c r="K46" i="36" s="1"/>
  <c r="L46" i="36" s="1"/>
  <c r="M46" i="36" s="1"/>
  <c r="N46" i="36" s="1"/>
  <c r="O46" i="36" s="1"/>
  <c r="J7" i="36"/>
  <c r="F7" i="36"/>
  <c r="C24" i="12"/>
  <c r="C13" i="12"/>
  <c r="C28" i="67"/>
  <c r="C28" i="15"/>
  <c r="C48" i="69"/>
  <c r="C30" i="69"/>
  <c r="C77" i="9"/>
  <c r="C74" i="9" s="1"/>
  <c r="C48" i="68"/>
  <c r="C30" i="68"/>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J7" i="33" s="1"/>
  <c r="H7" i="33"/>
  <c r="F7" i="33"/>
  <c r="D68" i="39"/>
  <c r="C70" i="39"/>
  <c r="D59" i="34"/>
  <c r="E59" i="34" s="1"/>
  <c r="F59" i="34" s="1"/>
  <c r="G59" i="34" s="1"/>
  <c r="H59" i="34" s="1"/>
  <c r="I59" i="34" s="1"/>
  <c r="J59" i="34" s="1"/>
  <c r="K59" i="34" s="1"/>
  <c r="L59" i="34" s="1"/>
  <c r="M59" i="34" s="1"/>
  <c r="N59" i="34" s="1"/>
  <c r="O59" i="34" s="1"/>
  <c r="P24" i="43"/>
  <c r="B66" i="40" s="1"/>
  <c r="P23" i="43"/>
  <c r="B71" i="39" s="1"/>
  <c r="O19" i="43"/>
  <c r="P22" i="43"/>
  <c r="P21" i="43"/>
  <c r="M20" i="43"/>
  <c r="C19" i="43" s="1"/>
  <c r="P25" i="43"/>
  <c r="C49" i="67"/>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50" i="3"/>
  <c r="E17" i="3"/>
  <c r="E25" i="3"/>
  <c r="E33" i="3"/>
  <c r="E41" i="3"/>
  <c r="E49" i="3"/>
  <c r="E57" i="3"/>
  <c r="E65" i="3"/>
  <c r="E73" i="3"/>
  <c r="E81" i="3"/>
  <c r="E89" i="3"/>
  <c r="E99" i="3"/>
  <c r="E115" i="3"/>
  <c r="E131" i="3"/>
  <c r="E147" i="3"/>
  <c r="E163" i="3"/>
  <c r="E179" i="3"/>
  <c r="E195" i="3"/>
  <c r="E211" i="3"/>
  <c r="E227" i="3"/>
  <c r="E259" i="3"/>
  <c r="E295" i="3"/>
  <c r="E383" i="3"/>
  <c r="E512" i="3"/>
  <c r="E235" i="3"/>
  <c r="E251" i="3"/>
  <c r="E267" i="3"/>
  <c r="E283" i="3"/>
  <c r="E311" i="3"/>
  <c r="E351" i="3"/>
  <c r="E415" i="3"/>
  <c r="E479" i="3"/>
  <c r="E544" i="3"/>
  <c r="E348" i="3"/>
  <c r="E352" i="3"/>
  <c r="E15" i="3"/>
  <c r="E19" i="3"/>
  <c r="E23" i="3"/>
  <c r="E27" i="3"/>
  <c r="E31" i="3"/>
  <c r="E35" i="3"/>
  <c r="E39" i="3"/>
  <c r="E43" i="3"/>
  <c r="E47" i="3"/>
  <c r="E51" i="3"/>
  <c r="E55" i="3"/>
  <c r="E59" i="3"/>
  <c r="E63" i="3"/>
  <c r="E67" i="3"/>
  <c r="E71" i="3"/>
  <c r="E75" i="3"/>
  <c r="E79" i="3"/>
  <c r="E83" i="3"/>
  <c r="E87" i="3"/>
  <c r="E91" i="3"/>
  <c r="E95" i="3"/>
  <c r="E103" i="3"/>
  <c r="E111" i="3"/>
  <c r="E119" i="3"/>
  <c r="E127" i="3"/>
  <c r="E135" i="3"/>
  <c r="E143" i="3"/>
  <c r="E151" i="3"/>
  <c r="E159" i="3"/>
  <c r="E167" i="3"/>
  <c r="E175" i="3"/>
  <c r="E183" i="3"/>
  <c r="E191" i="3"/>
  <c r="E199" i="3"/>
  <c r="E207" i="3"/>
  <c r="E215" i="3"/>
  <c r="E223" i="3"/>
  <c r="E231" i="3"/>
  <c r="E239" i="3"/>
  <c r="E247" i="3"/>
  <c r="E255" i="3"/>
  <c r="E263" i="3"/>
  <c r="E271" i="3"/>
  <c r="E279" i="3"/>
  <c r="E287" i="3"/>
  <c r="E303" i="3"/>
  <c r="E319" i="3"/>
  <c r="E335" i="3"/>
  <c r="E367" i="3"/>
  <c r="E399" i="3"/>
  <c r="E431" i="3"/>
  <c r="E463" i="3"/>
  <c r="E496" i="3"/>
  <c r="E528" i="3"/>
  <c r="E578" i="3"/>
  <c r="E343" i="3"/>
  <c r="E359" i="3"/>
  <c r="E375" i="3"/>
  <c r="E391" i="3"/>
  <c r="E407" i="3"/>
  <c r="E423" i="3"/>
  <c r="E439" i="3"/>
  <c r="E455" i="3"/>
  <c r="E471" i="3"/>
  <c r="E487" i="3"/>
  <c r="E504" i="3"/>
  <c r="E520" i="3"/>
  <c r="E536" i="3"/>
  <c r="E552" i="3"/>
  <c r="E14" i="3"/>
  <c r="E509" i="3"/>
  <c r="E392" i="3"/>
  <c r="E360" i="3"/>
  <c r="E562" i="3"/>
  <c r="E548" i="3"/>
  <c r="E540" i="3"/>
  <c r="E532" i="3"/>
  <c r="E524" i="3"/>
  <c r="E516" i="3"/>
  <c r="E508" i="3"/>
  <c r="E500" i="3"/>
  <c r="E491" i="3"/>
  <c r="E483" i="3"/>
  <c r="E475" i="3"/>
  <c r="E467" i="3"/>
  <c r="E459" i="3"/>
  <c r="E451" i="3"/>
  <c r="E443" i="3"/>
  <c r="E435" i="3"/>
  <c r="E427" i="3"/>
  <c r="E419" i="3"/>
  <c r="E411" i="3"/>
  <c r="E403" i="3"/>
  <c r="E395" i="3"/>
  <c r="E387" i="3"/>
  <c r="E379" i="3"/>
  <c r="E371" i="3"/>
  <c r="E363" i="3"/>
  <c r="E355" i="3"/>
  <c r="E347" i="3"/>
  <c r="E339" i="3"/>
  <c r="E331" i="3"/>
  <c r="E323" i="3"/>
  <c r="E315" i="3"/>
  <c r="E307" i="3"/>
  <c r="E299" i="3"/>
  <c r="E291"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408" i="3"/>
  <c r="K6" i="1"/>
  <c r="C7" i="12"/>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8" i="3"/>
  <c r="E502" i="3"/>
  <c r="E506" i="3"/>
  <c r="E510" i="3"/>
  <c r="E514" i="3"/>
  <c r="E518" i="3"/>
  <c r="E522" i="3"/>
  <c r="E526" i="3"/>
  <c r="E530" i="3"/>
  <c r="E534" i="3"/>
  <c r="E538" i="3"/>
  <c r="E542" i="3"/>
  <c r="E546" i="3"/>
  <c r="E550" i="3"/>
  <c r="E556" i="3"/>
  <c r="E570" i="3"/>
  <c r="E586" i="3"/>
  <c r="E368" i="3"/>
  <c r="E384" i="3"/>
  <c r="E400" i="3"/>
  <c r="E424" i="3"/>
  <c r="E456" i="3"/>
  <c r="E554" i="3"/>
  <c r="E558" i="3"/>
  <c r="E566" i="3"/>
  <c r="E574" i="3"/>
  <c r="E582" i="3"/>
  <c r="E356" i="3"/>
  <c r="E364" i="3"/>
  <c r="E372" i="3"/>
  <c r="E380" i="3"/>
  <c r="E388" i="3"/>
  <c r="E396" i="3"/>
  <c r="E404" i="3"/>
  <c r="E412" i="3"/>
  <c r="E440" i="3"/>
  <c r="E480" i="3"/>
  <c r="G28" i="6"/>
  <c r="G29" i="6"/>
  <c r="E29" i="6" s="1"/>
  <c r="K15" i="1" s="1"/>
  <c r="E11" i="6"/>
  <c r="E61" i="39" s="1"/>
  <c r="E12" i="6"/>
  <c r="E62" i="39" s="1"/>
  <c r="E15" i="6"/>
  <c r="E65" i="39" s="1"/>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E6" i="3"/>
  <c r="M6" i="3"/>
  <c r="E559" i="3"/>
  <c r="E563" i="3"/>
  <c r="E567" i="3"/>
  <c r="E571" i="3"/>
  <c r="E575" i="3"/>
  <c r="E579" i="3"/>
  <c r="E583" i="3"/>
  <c r="E587" i="3"/>
  <c r="AQ6" i="3"/>
  <c r="AI6" i="3"/>
  <c r="Y6" i="3"/>
  <c r="Q6" i="3"/>
  <c r="I6" i="3"/>
  <c r="AS6" i="3"/>
  <c r="AO6" i="3"/>
  <c r="AK6" i="3"/>
  <c r="AG6" i="3"/>
  <c r="AA6" i="3"/>
  <c r="W6" i="3"/>
  <c r="S6" i="3"/>
  <c r="O6" i="3"/>
  <c r="K6" i="3"/>
  <c r="E16" i="3"/>
  <c r="E56" i="39"/>
  <c r="J11" i="40"/>
  <c r="H11" i="40"/>
  <c r="F11" i="40"/>
  <c r="AC6" i="3"/>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 i="62"/>
  <c r="B71" i="72" s="1"/>
  <c r="K4" i="4"/>
  <c r="B46" i="48" s="1"/>
  <c r="B4" i="72" s="1"/>
  <c r="Q73" i="67"/>
  <c r="Q60" i="67"/>
  <c r="Q74" i="67"/>
  <c r="Q61" i="67"/>
  <c r="F7" i="73"/>
  <c r="D3" i="73"/>
  <c r="F3" i="73"/>
  <c r="M29" i="15"/>
  <c r="D5" i="73"/>
  <c r="F5" i="73"/>
  <c r="F43" i="15"/>
  <c r="D6" i="73"/>
  <c r="D4" i="73"/>
  <c r="F4" i="73"/>
  <c r="D7" i="73"/>
  <c r="F6" i="73"/>
  <c r="F7" i="15"/>
  <c r="AZ5" i="3" l="1"/>
  <c r="E3" i="6" s="1"/>
  <c r="V21" i="1" s="1"/>
  <c r="H7" i="36"/>
  <c r="AB7" i="36" s="1"/>
  <c r="T36" i="36" s="1"/>
  <c r="G36" i="36" s="1"/>
  <c r="F7" i="21"/>
  <c r="AA7" i="21" s="1"/>
  <c r="R48" i="21" s="1"/>
  <c r="E28" i="6"/>
  <c r="F27" i="6"/>
  <c r="F31" i="6" s="1"/>
  <c r="E56" i="40"/>
  <c r="E60" i="40"/>
  <c r="Q60" i="15"/>
  <c r="K1" i="73"/>
  <c r="E20" i="43"/>
  <c r="I1" i="73"/>
  <c r="B39" i="1" s="1"/>
  <c r="U7" i="33"/>
  <c r="AB7" i="33"/>
  <c r="T48" i="33" s="1"/>
  <c r="G48" i="33" s="1"/>
  <c r="AA7" i="36"/>
  <c r="R36" i="36" s="1"/>
  <c r="S7" i="36"/>
  <c r="F7" i="34"/>
  <c r="W7" i="33"/>
  <c r="AC7" i="33"/>
  <c r="V48" i="33" s="1"/>
  <c r="I48" i="33" s="1"/>
  <c r="E63" i="40"/>
  <c r="D65" i="40"/>
  <c r="H7" i="34"/>
  <c r="AC7" i="36"/>
  <c r="V36" i="36" s="1"/>
  <c r="I36" i="36" s="1"/>
  <c r="W7" i="36"/>
  <c r="T11" i="43"/>
  <c r="V11" i="43" s="1"/>
  <c r="C37" i="43"/>
  <c r="C36" i="43"/>
  <c r="T8" i="43"/>
  <c r="V8" i="43" s="1"/>
  <c r="C33" i="43"/>
  <c r="T16" i="43"/>
  <c r="V16" i="43" s="1"/>
  <c r="T15" i="43"/>
  <c r="V15" i="43" s="1"/>
  <c r="C39" i="43"/>
  <c r="C34" i="43"/>
  <c r="T13" i="43"/>
  <c r="V13" i="43" s="1"/>
  <c r="T9" i="43"/>
  <c r="V9" i="43" s="1"/>
  <c r="C35" i="43"/>
  <c r="T10" i="43"/>
  <c r="V10" i="43" s="1"/>
  <c r="T14" i="43"/>
  <c r="V14" i="43" s="1"/>
  <c r="C38" i="43"/>
  <c r="T12" i="43"/>
  <c r="V12" i="43" s="1"/>
  <c r="J7" i="34"/>
  <c r="J7" i="21"/>
  <c r="AA7" i="37"/>
  <c r="R42" i="37" s="1"/>
  <c r="S7" i="37"/>
  <c r="S7" i="35"/>
  <c r="AA7" i="35"/>
  <c r="R38" i="35" s="1"/>
  <c r="U7" i="37"/>
  <c r="AB7" i="37"/>
  <c r="T42" i="37" s="1"/>
  <c r="G42" i="37" s="1"/>
  <c r="AB7" i="35"/>
  <c r="T38" i="35" s="1"/>
  <c r="G38" i="35" s="1"/>
  <c r="U7" i="35"/>
  <c r="D70" i="39"/>
  <c r="E68" i="39"/>
  <c r="AB7" i="21"/>
  <c r="T48" i="21" s="1"/>
  <c r="G48" i="21" s="1"/>
  <c r="U7" i="21"/>
  <c r="W7" i="37"/>
  <c r="AC7" i="37"/>
  <c r="V42" i="37" s="1"/>
  <c r="I42" i="37" s="1"/>
  <c r="AC7" i="35"/>
  <c r="V38" i="35" s="1"/>
  <c r="I38" i="35" s="1"/>
  <c r="W7" i="35"/>
  <c r="S7" i="33"/>
  <c r="AA7" i="33"/>
  <c r="R48" i="33" s="1"/>
  <c r="E57" i="40"/>
  <c r="D3" i="37"/>
  <c r="F71" i="15"/>
  <c r="F50" i="15"/>
  <c r="C49" i="15" s="1"/>
  <c r="C6" i="15"/>
  <c r="M7" i="15"/>
  <c r="J6" i="15" s="1"/>
  <c r="M6" i="1"/>
  <c r="Q16" i="1"/>
  <c r="H16" i="1"/>
  <c r="G16" i="1"/>
  <c r="E58" i="40"/>
  <c r="K14" i="1"/>
  <c r="C34" i="69" s="1"/>
  <c r="E30" i="6"/>
  <c r="G30" i="6"/>
  <c r="G31" i="6" s="1"/>
  <c r="E64" i="39"/>
  <c r="E66" i="39" s="1"/>
  <c r="E16" i="6"/>
  <c r="H6" i="3"/>
  <c r="E6" i="3" s="1"/>
  <c r="F109" i="43"/>
  <c r="F107" i="43"/>
  <c r="F106" i="43"/>
  <c r="F105" i="43"/>
  <c r="F104" i="43"/>
  <c r="F103" i="43"/>
  <c r="F102" i="43"/>
  <c r="M109" i="43"/>
  <c r="M107" i="43"/>
  <c r="M106" i="43"/>
  <c r="M105" i="43"/>
  <c r="M104" i="43"/>
  <c r="M103" i="43"/>
  <c r="M102" i="43"/>
  <c r="AB11" i="40"/>
  <c r="U11" i="40"/>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A11" i="40"/>
  <c r="S11" i="40"/>
  <c r="W11" i="40"/>
  <c r="AC11" i="40"/>
  <c r="G1" i="73"/>
  <c r="C16" i="15"/>
  <c r="E27" i="6" l="1"/>
  <c r="L18" i="9"/>
  <c r="M18" i="9"/>
  <c r="B118" i="9" s="1"/>
  <c r="B14" i="74" s="1"/>
  <c r="D3" i="33"/>
  <c r="D3" i="34"/>
  <c r="AY6" i="3"/>
  <c r="D19" i="11"/>
  <c r="C19" i="11" s="1"/>
  <c r="C20" i="11" s="1"/>
  <c r="E6" i="6"/>
  <c r="D14" i="12"/>
  <c r="D17" i="12" s="1"/>
  <c r="C17" i="12" s="1"/>
  <c r="D37" i="11"/>
  <c r="D3" i="21"/>
  <c r="V20" i="1"/>
  <c r="O21" i="1" s="1"/>
  <c r="Q21" i="1" s="1"/>
  <c r="U21" i="1"/>
  <c r="C17" i="4"/>
  <c r="B4" i="52" s="1"/>
  <c r="B43" i="72" s="1"/>
  <c r="AY542" i="3"/>
  <c r="AY441" i="3"/>
  <c r="AY583" i="3"/>
  <c r="AY479" i="3"/>
  <c r="AY486" i="3"/>
  <c r="AY556" i="3"/>
  <c r="AY372" i="3"/>
  <c r="AY67" i="3"/>
  <c r="AY454" i="3"/>
  <c r="AY577" i="3"/>
  <c r="AY412" i="3"/>
  <c r="AY514" i="3"/>
  <c r="AY417" i="3"/>
  <c r="AY547" i="3"/>
  <c r="AY375" i="3"/>
  <c r="AY438" i="3"/>
  <c r="AY228" i="3"/>
  <c r="AY510" i="3"/>
  <c r="AY401" i="3"/>
  <c r="AY568" i="3"/>
  <c r="AY367" i="3"/>
  <c r="AY406" i="3"/>
  <c r="AY451" i="3"/>
  <c r="AY188" i="3"/>
  <c r="AY81" i="3"/>
  <c r="AY554" i="3"/>
  <c r="AY461" i="3"/>
  <c r="AY365" i="3"/>
  <c r="AY532" i="3"/>
  <c r="AY509" i="3"/>
  <c r="AY374" i="3"/>
  <c r="AY226" i="3"/>
  <c r="AY566" i="3"/>
  <c r="AY473" i="3"/>
  <c r="AY397" i="3"/>
  <c r="AY535" i="3"/>
  <c r="AY423" i="3"/>
  <c r="AY462" i="3"/>
  <c r="AY334" i="3"/>
  <c r="AY230" i="3"/>
  <c r="BD6" i="3"/>
  <c r="B1" i="74"/>
  <c r="C7" i="74" s="1"/>
  <c r="S7" i="21"/>
  <c r="U7" i="36"/>
  <c r="AY531" i="3"/>
  <c r="AY302" i="3"/>
  <c r="AY337" i="3"/>
  <c r="AY558" i="3"/>
  <c r="AY493" i="3"/>
  <c r="AY409" i="3"/>
  <c r="AY559" i="3"/>
  <c r="AY491" i="3"/>
  <c r="AY541" i="3"/>
  <c r="AY430" i="3"/>
  <c r="AY459" i="3"/>
  <c r="AY170" i="3"/>
  <c r="AY515" i="3"/>
  <c r="AY207" i="3"/>
  <c r="AY435" i="3"/>
  <c r="AY178" i="3"/>
  <c r="AY387" i="3"/>
  <c r="K26" i="6"/>
  <c r="M26" i="6" s="1"/>
  <c r="I26" i="6" s="1"/>
  <c r="AY384" i="3"/>
  <c r="AY504" i="3"/>
  <c r="AY471" i="3"/>
  <c r="D3" i="6"/>
  <c r="M19" i="9" s="1"/>
  <c r="C118" i="9" s="1"/>
  <c r="C14" i="74" s="1"/>
  <c r="AY501" i="3"/>
  <c r="AY450" i="3"/>
  <c r="AY386" i="3"/>
  <c r="AY322" i="3"/>
  <c r="AY419" i="3"/>
  <c r="AY142" i="3"/>
  <c r="AY238" i="3"/>
  <c r="AY476" i="3"/>
  <c r="AY180" i="3"/>
  <c r="AY304" i="3"/>
  <c r="AY506" i="3"/>
  <c r="AY457" i="3"/>
  <c r="AY405" i="3"/>
  <c r="AY361" i="3"/>
  <c r="AY539" i="3"/>
  <c r="AY580" i="3"/>
  <c r="AY439" i="3"/>
  <c r="AY565" i="3"/>
  <c r="AY497" i="3"/>
  <c r="AY442" i="3"/>
  <c r="AY382" i="3"/>
  <c r="AY314" i="3"/>
  <c r="AY154" i="3"/>
  <c r="AY270" i="3"/>
  <c r="AY484" i="3"/>
  <c r="AY76" i="3"/>
  <c r="AY66" i="3"/>
  <c r="AY534" i="3"/>
  <c r="AY481" i="3"/>
  <c r="AY437" i="3"/>
  <c r="AY385" i="3"/>
  <c r="AY571" i="3"/>
  <c r="AY552" i="3"/>
  <c r="AY572" i="3"/>
  <c r="AY407" i="3"/>
  <c r="AY533" i="3"/>
  <c r="AY478" i="3"/>
  <c r="AY422" i="3"/>
  <c r="AY362" i="3"/>
  <c r="AY411" i="3"/>
  <c r="AY90" i="3"/>
  <c r="AY194" i="3"/>
  <c r="AY308" i="3"/>
  <c r="AY456" i="3"/>
  <c r="AY305" i="3"/>
  <c r="AY578" i="3"/>
  <c r="AY530" i="3"/>
  <c r="AY477" i="3"/>
  <c r="AY433" i="3"/>
  <c r="AY381" i="3"/>
  <c r="AY567" i="3"/>
  <c r="AY544" i="3"/>
  <c r="AY540" i="3"/>
  <c r="AY391" i="3"/>
  <c r="AY529" i="3"/>
  <c r="AY474" i="3"/>
  <c r="AY414" i="3"/>
  <c r="AY342" i="3"/>
  <c r="AY395" i="3"/>
  <c r="AY102" i="3"/>
  <c r="AY218" i="3"/>
  <c r="AY340" i="3"/>
  <c r="AY344" i="3"/>
  <c r="AY157" i="3"/>
  <c r="AY123" i="3"/>
  <c r="AY404" i="3"/>
  <c r="AY276" i="3"/>
  <c r="AY273" i="3"/>
  <c r="AY253" i="3"/>
  <c r="AY403" i="3"/>
  <c r="AY98" i="3"/>
  <c r="AY174" i="3"/>
  <c r="AY254" i="3"/>
  <c r="AY388" i="3"/>
  <c r="AY503" i="3"/>
  <c r="AY108" i="3"/>
  <c r="AY181" i="3"/>
  <c r="BC6" i="3"/>
  <c r="AY575" i="3"/>
  <c r="AY576" i="3"/>
  <c r="AY548" i="3"/>
  <c r="AY447" i="3"/>
  <c r="AY359" i="3"/>
  <c r="AY513" i="3"/>
  <c r="AY466" i="3"/>
  <c r="AY418" i="3"/>
  <c r="AY366" i="3"/>
  <c r="AY496" i="3"/>
  <c r="AY569" i="3"/>
  <c r="AY130" i="3"/>
  <c r="AY198" i="3"/>
  <c r="AY282" i="3"/>
  <c r="AY468" i="3"/>
  <c r="AY312" i="3"/>
  <c r="AY32" i="3"/>
  <c r="AY61" i="3"/>
  <c r="AY315" i="3"/>
  <c r="AY346" i="3"/>
  <c r="AY306" i="3"/>
  <c r="AY524" i="3"/>
  <c r="AY114" i="3"/>
  <c r="AY166" i="3"/>
  <c r="AY210" i="3"/>
  <c r="AY266" i="3"/>
  <c r="AY332" i="3"/>
  <c r="AY460" i="3"/>
  <c r="AY519" i="3"/>
  <c r="AY284" i="3"/>
  <c r="AY116" i="3"/>
  <c r="AY341" i="3"/>
  <c r="AY209" i="3"/>
  <c r="AY17" i="3"/>
  <c r="AY47" i="3"/>
  <c r="AY243" i="3"/>
  <c r="AY440" i="3"/>
  <c r="AY212" i="3"/>
  <c r="AY72" i="3"/>
  <c r="AY301" i="3"/>
  <c r="AY149" i="3"/>
  <c r="AY128" i="3"/>
  <c r="AY574" i="3"/>
  <c r="AY538" i="3"/>
  <c r="AY502" i="3"/>
  <c r="AY465" i="3"/>
  <c r="AY429" i="3"/>
  <c r="AY393" i="3"/>
  <c r="AY353" i="3"/>
  <c r="AY555" i="3"/>
  <c r="AY560" i="3"/>
  <c r="AY564" i="3"/>
  <c r="AY487" i="3"/>
  <c r="AY415" i="3"/>
  <c r="AY581" i="3"/>
  <c r="AY517" i="3"/>
  <c r="AY482" i="3"/>
  <c r="AY446" i="3"/>
  <c r="AY410" i="3"/>
  <c r="AY370" i="3"/>
  <c r="AY330" i="3"/>
  <c r="AY443" i="3"/>
  <c r="AY483" i="3"/>
  <c r="AY94" i="3"/>
  <c r="AY138" i="3"/>
  <c r="AY190" i="3"/>
  <c r="AY234" i="3"/>
  <c r="AY298" i="3"/>
  <c r="AY396" i="3"/>
  <c r="AY492" i="3"/>
  <c r="AY392" i="3"/>
  <c r="AY196" i="3"/>
  <c r="AY60" i="3"/>
  <c r="AY277" i="3"/>
  <c r="AY97" i="3"/>
  <c r="AY112" i="3"/>
  <c r="AY78" i="3"/>
  <c r="AY562" i="3"/>
  <c r="AY526" i="3"/>
  <c r="AY489" i="3"/>
  <c r="AY449" i="3"/>
  <c r="AY413" i="3"/>
  <c r="AY377" i="3"/>
  <c r="AY579" i="3"/>
  <c r="AY543" i="3"/>
  <c r="AY536" i="3"/>
  <c r="AY516" i="3"/>
  <c r="AY455" i="3"/>
  <c r="AY383" i="3"/>
  <c r="AY549" i="3"/>
  <c r="AY505" i="3"/>
  <c r="AY470" i="3"/>
  <c r="AY434" i="3"/>
  <c r="AY398" i="3"/>
  <c r="AY350" i="3"/>
  <c r="AY310" i="3"/>
  <c r="AY379" i="3"/>
  <c r="AY553" i="3"/>
  <c r="AY106" i="3"/>
  <c r="AY158" i="3"/>
  <c r="AY206" i="3"/>
  <c r="AY262" i="3"/>
  <c r="AY324" i="3"/>
  <c r="AY420" i="3"/>
  <c r="AY586" i="3"/>
  <c r="AY292" i="3"/>
  <c r="AY164" i="3"/>
  <c r="AY349" i="3"/>
  <c r="AY221" i="3"/>
  <c r="AY25" i="3"/>
  <c r="AY167" i="3"/>
  <c r="AY15" i="3"/>
  <c r="AY250" i="3"/>
  <c r="AY290" i="3"/>
  <c r="AY364" i="3"/>
  <c r="AY452" i="3"/>
  <c r="AY537" i="3"/>
  <c r="AY408" i="3"/>
  <c r="AY252" i="3"/>
  <c r="AY124" i="3"/>
  <c r="AY44" i="3"/>
  <c r="AY313" i="3"/>
  <c r="AY225" i="3"/>
  <c r="AY117" i="3"/>
  <c r="BL6" i="3"/>
  <c r="AY279" i="3"/>
  <c r="AY99" i="3"/>
  <c r="AY84" i="3"/>
  <c r="AY24" i="3"/>
  <c r="AY289" i="3"/>
  <c r="AY185" i="3"/>
  <c r="AY73" i="3"/>
  <c r="AY240" i="3"/>
  <c r="AY151" i="3"/>
  <c r="AY171" i="3"/>
  <c r="AY371" i="3"/>
  <c r="AY545" i="3"/>
  <c r="AY122" i="3"/>
  <c r="AY162" i="3"/>
  <c r="AY202" i="3"/>
  <c r="AY242" i="3"/>
  <c r="AY286" i="3"/>
  <c r="AY348" i="3"/>
  <c r="AY436" i="3"/>
  <c r="AY523" i="3"/>
  <c r="AY424" i="3"/>
  <c r="AY260" i="3"/>
  <c r="AY156" i="3"/>
  <c r="AY52" i="3"/>
  <c r="AY333" i="3"/>
  <c r="AY237" i="3"/>
  <c r="AY137" i="3"/>
  <c r="BM6" i="3"/>
  <c r="AY311" i="3"/>
  <c r="AY248" i="3"/>
  <c r="AY115" i="3"/>
  <c r="AY92" i="3"/>
  <c r="AY36" i="3"/>
  <c r="AY317" i="3"/>
  <c r="AY269" i="3"/>
  <c r="AY205" i="3"/>
  <c r="AY125" i="3"/>
  <c r="AY57" i="3"/>
  <c r="AY527" i="3"/>
  <c r="AY26" i="3"/>
  <c r="AY119" i="3"/>
  <c r="AY480" i="3"/>
  <c r="BF6" i="3"/>
  <c r="AY257" i="3"/>
  <c r="AY189" i="3"/>
  <c r="AY121" i="3"/>
  <c r="AY37" i="3"/>
  <c r="AY368" i="3"/>
  <c r="AY351" i="3"/>
  <c r="AY63" i="3"/>
  <c r="AY200" i="3"/>
  <c r="AY339" i="3"/>
  <c r="AY345" i="3"/>
  <c r="AY297" i="3"/>
  <c r="AY233" i="3"/>
  <c r="AY169" i="3"/>
  <c r="AY93" i="3"/>
  <c r="BQ6" i="3"/>
  <c r="AY208" i="3"/>
  <c r="AY271" i="3"/>
  <c r="BJ6" i="3"/>
  <c r="AY299" i="3"/>
  <c r="BN6" i="3"/>
  <c r="AY376" i="3"/>
  <c r="AY236" i="3"/>
  <c r="AY148" i="3"/>
  <c r="AY64" i="3"/>
  <c r="BS6" i="3"/>
  <c r="AY309" i="3"/>
  <c r="AY265" i="3"/>
  <c r="AY217" i="3"/>
  <c r="AY161" i="3"/>
  <c r="AY113" i="3"/>
  <c r="AY49" i="3"/>
  <c r="BH6" i="3"/>
  <c r="AY160" i="3"/>
  <c r="AY287" i="3"/>
  <c r="AY111" i="3"/>
  <c r="AY152" i="3"/>
  <c r="AY187" i="3"/>
  <c r="AY211" i="3"/>
  <c r="AY245" i="3"/>
  <c r="AY193" i="3"/>
  <c r="AY145" i="3"/>
  <c r="AY85" i="3"/>
  <c r="AY21" i="3"/>
  <c r="AY432" i="3"/>
  <c r="AY96" i="3"/>
  <c r="AY215" i="3"/>
  <c r="BT6" i="3"/>
  <c r="AY264" i="3"/>
  <c r="AY107" i="3"/>
  <c r="AY14" i="3"/>
  <c r="AY300" i="3"/>
  <c r="AY220" i="3"/>
  <c r="AY132" i="3"/>
  <c r="AY68" i="3"/>
  <c r="AY28" i="3"/>
  <c r="AY329" i="3"/>
  <c r="AY281" i="3"/>
  <c r="AY241" i="3"/>
  <c r="AY201" i="3"/>
  <c r="AY153" i="3"/>
  <c r="AY105" i="3"/>
  <c r="AY53" i="3"/>
  <c r="BA6" i="3"/>
  <c r="AY256" i="3"/>
  <c r="AY34" i="3"/>
  <c r="AY231" i="3"/>
  <c r="AY95" i="3"/>
  <c r="AY280" i="3"/>
  <c r="AY331" i="3"/>
  <c r="AY59" i="3"/>
  <c r="AY83" i="3"/>
  <c r="AY343" i="3"/>
  <c r="AY183" i="3"/>
  <c r="AY39" i="3"/>
  <c r="AY219" i="3"/>
  <c r="AY296" i="3"/>
  <c r="AY227" i="3"/>
  <c r="AY18" i="3"/>
  <c r="AY255" i="3"/>
  <c r="AY127" i="3"/>
  <c r="AY23" i="3"/>
  <c r="AY216" i="3"/>
  <c r="AY347" i="3"/>
  <c r="AY155" i="3"/>
  <c r="AY62" i="3"/>
  <c r="AY104" i="3"/>
  <c r="AY259" i="3"/>
  <c r="AY582" i="3"/>
  <c r="AY550" i="3"/>
  <c r="AY518" i="3"/>
  <c r="AY485" i="3"/>
  <c r="AY453" i="3"/>
  <c r="AY421" i="3"/>
  <c r="AY389" i="3"/>
  <c r="AY357" i="3"/>
  <c r="AY563" i="3"/>
  <c r="AY584" i="3"/>
  <c r="AY520" i="3"/>
  <c r="AY500" i="3"/>
  <c r="AY463" i="3"/>
  <c r="AY399" i="3"/>
  <c r="AY573" i="3"/>
  <c r="AY521" i="3"/>
  <c r="AY490" i="3"/>
  <c r="AY458" i="3"/>
  <c r="AY426" i="3"/>
  <c r="AY394" i="3"/>
  <c r="AY354" i="3"/>
  <c r="AY318" i="3"/>
  <c r="AY427" i="3"/>
  <c r="AY355" i="3"/>
  <c r="AY585" i="3"/>
  <c r="AY110" i="3"/>
  <c r="AY146" i="3"/>
  <c r="AY186" i="3"/>
  <c r="AY222" i="3"/>
  <c r="AY258" i="3"/>
  <c r="AY294" i="3"/>
  <c r="AY356" i="3"/>
  <c r="AY428" i="3"/>
  <c r="AY499" i="3"/>
  <c r="AY472" i="3"/>
  <c r="AY328" i="3"/>
  <c r="AY244" i="3"/>
  <c r="AY172" i="3"/>
  <c r="AY100" i="3"/>
  <c r="AY56" i="3"/>
  <c r="AY20" i="3"/>
  <c r="AY321" i="3"/>
  <c r="AY285" i="3"/>
  <c r="AY249" i="3"/>
  <c r="AY213" i="3"/>
  <c r="AY177" i="3"/>
  <c r="AY129" i="3"/>
  <c r="AY89" i="3"/>
  <c r="AY45" i="3"/>
  <c r="BP6" i="3"/>
  <c r="AY288" i="3"/>
  <c r="AY82" i="3"/>
  <c r="AY295" i="3"/>
  <c r="AY191" i="3"/>
  <c r="AY87" i="3"/>
  <c r="AY511" i="3"/>
  <c r="AY352" i="3"/>
  <c r="AY283" i="3"/>
  <c r="AY27" i="3"/>
  <c r="AY179" i="3"/>
  <c r="AY35" i="3"/>
  <c r="AY173" i="3"/>
  <c r="AY141" i="3"/>
  <c r="AY109" i="3"/>
  <c r="AY77" i="3"/>
  <c r="AY41" i="3"/>
  <c r="BI6" i="3"/>
  <c r="AY464" i="3"/>
  <c r="AY224" i="3"/>
  <c r="AY74" i="3"/>
  <c r="AY335" i="3"/>
  <c r="AY239" i="3"/>
  <c r="AY159" i="3"/>
  <c r="AY79" i="3"/>
  <c r="BR6" i="3"/>
  <c r="AY184" i="3"/>
  <c r="AY136" i="3"/>
  <c r="AY251" i="3"/>
  <c r="AY75" i="3"/>
  <c r="AY30" i="3"/>
  <c r="AY19" i="3"/>
  <c r="AY232" i="3"/>
  <c r="K21" i="6"/>
  <c r="M21" i="6" s="1"/>
  <c r="I21" i="6" s="1"/>
  <c r="S21" i="6" s="1"/>
  <c r="AY390" i="3"/>
  <c r="AY358" i="3"/>
  <c r="AY326" i="3"/>
  <c r="AY475" i="3"/>
  <c r="AY467" i="3"/>
  <c r="AY363" i="3"/>
  <c r="AY86" i="3"/>
  <c r="AY118" i="3"/>
  <c r="AY150" i="3"/>
  <c r="AY182" i="3"/>
  <c r="AY214" i="3"/>
  <c r="AY246" i="3"/>
  <c r="AY278" i="3"/>
  <c r="AY316" i="3"/>
  <c r="AY380" i="3"/>
  <c r="AY444" i="3"/>
  <c r="AY507" i="3"/>
  <c r="AY488" i="3"/>
  <c r="AY360" i="3"/>
  <c r="AY268" i="3"/>
  <c r="AY204" i="3"/>
  <c r="AY140" i="3"/>
  <c r="AY80" i="3"/>
  <c r="AY48" i="3"/>
  <c r="AY16" i="3"/>
  <c r="AY325" i="3"/>
  <c r="AY293" i="3"/>
  <c r="AY261" i="3"/>
  <c r="AY229" i="3"/>
  <c r="AY197" i="3"/>
  <c r="AY165" i="3"/>
  <c r="AY133" i="3"/>
  <c r="AY101" i="3"/>
  <c r="AY69" i="3"/>
  <c r="AY29" i="3"/>
  <c r="AY13" i="3"/>
  <c r="AY400" i="3"/>
  <c r="AY192" i="3"/>
  <c r="AY42" i="3"/>
  <c r="AY303" i="3"/>
  <c r="AY223" i="3"/>
  <c r="AY143" i="3"/>
  <c r="AY55" i="3"/>
  <c r="BB6" i="3"/>
  <c r="AY120" i="3"/>
  <c r="AY22" i="3"/>
  <c r="AY203" i="3"/>
  <c r="AY43" i="3"/>
  <c r="AY275" i="3"/>
  <c r="AY416" i="3"/>
  <c r="AY195" i="3"/>
  <c r="BG6" i="3"/>
  <c r="AY336" i="3"/>
  <c r="AY176" i="3"/>
  <c r="AY58" i="3"/>
  <c r="AY319" i="3"/>
  <c r="AY247" i="3"/>
  <c r="AY175" i="3"/>
  <c r="AY103" i="3"/>
  <c r="AY31" i="3"/>
  <c r="AY448" i="3"/>
  <c r="AY88" i="3"/>
  <c r="AY38" i="3"/>
  <c r="AY235" i="3"/>
  <c r="AY91" i="3"/>
  <c r="AY168" i="3"/>
  <c r="AY147" i="3"/>
  <c r="AY291" i="3"/>
  <c r="AY46" i="3"/>
  <c r="AY65" i="3"/>
  <c r="AY33" i="3"/>
  <c r="BE6" i="3"/>
  <c r="AY495" i="3"/>
  <c r="AY272" i="3"/>
  <c r="AY144" i="3"/>
  <c r="AY50" i="3"/>
  <c r="AY327" i="3"/>
  <c r="AY263" i="3"/>
  <c r="AY199" i="3"/>
  <c r="AY135" i="3"/>
  <c r="AY71" i="3"/>
  <c r="BK6" i="3"/>
  <c r="AY320" i="3"/>
  <c r="AY70" i="3"/>
  <c r="AY54" i="3"/>
  <c r="AY267" i="3"/>
  <c r="AY139" i="3"/>
  <c r="BO6" i="3"/>
  <c r="AY307" i="3"/>
  <c r="AY51" i="3"/>
  <c r="AY163" i="3"/>
  <c r="AY131" i="3"/>
  <c r="K22" i="6"/>
  <c r="M22" i="6" s="1"/>
  <c r="I22" i="6" s="1"/>
  <c r="S22" i="6" s="1"/>
  <c r="B40" i="1"/>
  <c r="R43" i="37"/>
  <c r="E42" i="37"/>
  <c r="G36" i="43"/>
  <c r="I36" i="43" s="1"/>
  <c r="E36" i="43"/>
  <c r="G35" i="43"/>
  <c r="I35" i="43" s="1"/>
  <c r="E35" i="43"/>
  <c r="F63" i="40"/>
  <c r="E65" i="40"/>
  <c r="G52" i="21"/>
  <c r="H52" i="21" s="1"/>
  <c r="R49" i="21"/>
  <c r="E48" i="21"/>
  <c r="AC7" i="21"/>
  <c r="V48" i="21" s="1"/>
  <c r="I48" i="21" s="1"/>
  <c r="G53" i="21" s="1"/>
  <c r="H53" i="21" s="1"/>
  <c r="W7" i="21"/>
  <c r="E37" i="43"/>
  <c r="G37" i="43"/>
  <c r="I37" i="43" s="1"/>
  <c r="G40" i="36"/>
  <c r="H40" i="36" s="1"/>
  <c r="G41" i="36"/>
  <c r="H41" i="36" s="1"/>
  <c r="R37" i="36"/>
  <c r="E36" i="36"/>
  <c r="R49" i="33"/>
  <c r="E48" i="33"/>
  <c r="E70" i="39"/>
  <c r="F68" i="39"/>
  <c r="W7" i="34"/>
  <c r="AC7" i="34"/>
  <c r="V49" i="34" s="1"/>
  <c r="I49" i="34" s="1"/>
  <c r="E34" i="43"/>
  <c r="G34" i="43"/>
  <c r="I34" i="43" s="1"/>
  <c r="I52" i="33"/>
  <c r="J52" i="33" s="1"/>
  <c r="I53" i="33"/>
  <c r="J53" i="33" s="1"/>
  <c r="G52" i="33"/>
  <c r="H52" i="33" s="1"/>
  <c r="G53" i="33"/>
  <c r="H53" i="33" s="1"/>
  <c r="E39" i="43"/>
  <c r="G39" i="43"/>
  <c r="I39" i="43" s="1"/>
  <c r="E38" i="43"/>
  <c r="G38" i="43"/>
  <c r="I38" i="43" s="1"/>
  <c r="I41" i="36"/>
  <c r="J41" i="36" s="1"/>
  <c r="I40" i="36"/>
  <c r="J40" i="36" s="1"/>
  <c r="AA7" i="34"/>
  <c r="R49" i="34" s="1"/>
  <c r="S7" i="34"/>
  <c r="F11" i="67"/>
  <c r="M11" i="67"/>
  <c r="J10" i="67" s="1"/>
  <c r="J5" i="67" s="1"/>
  <c r="F11" i="15"/>
  <c r="C53" i="15" s="1"/>
  <c r="C48" i="15" s="1"/>
  <c r="M11" i="15"/>
  <c r="J10" i="15" s="1"/>
  <c r="J5" i="15" s="1"/>
  <c r="I42" i="35"/>
  <c r="J42" i="35" s="1"/>
  <c r="G42" i="35"/>
  <c r="H42" i="35" s="1"/>
  <c r="G43" i="35"/>
  <c r="H43" i="35" s="1"/>
  <c r="R39" i="35"/>
  <c r="E38" i="35"/>
  <c r="AB7" i="34"/>
  <c r="T49" i="34" s="1"/>
  <c r="G49" i="34" s="1"/>
  <c r="U7" i="34"/>
  <c r="M17" i="43"/>
  <c r="N17" i="43"/>
  <c r="O17" i="43"/>
  <c r="P17" i="43"/>
  <c r="I46" i="37"/>
  <c r="J46" i="37" s="1"/>
  <c r="I47" i="37"/>
  <c r="J47" i="37" s="1"/>
  <c r="G46" i="37"/>
  <c r="H46" i="37" s="1"/>
  <c r="G47" i="37"/>
  <c r="H47" i="37" s="1"/>
  <c r="G33" i="43"/>
  <c r="I33" i="43" s="1"/>
  <c r="E33" i="43"/>
  <c r="D14" i="6"/>
  <c r="D28" i="6"/>
  <c r="D10" i="6"/>
  <c r="L19" i="9"/>
  <c r="M14" i="1"/>
  <c r="M16" i="1" s="1"/>
  <c r="L16" i="1" s="1"/>
  <c r="D5" i="6"/>
  <c r="D9" i="6"/>
  <c r="D12" i="6"/>
  <c r="D19" i="6"/>
  <c r="E61" i="40"/>
  <c r="D20" i="12"/>
  <c r="C20" i="12" s="1"/>
  <c r="C18" i="12" s="1"/>
  <c r="D10" i="68"/>
  <c r="D10" i="11"/>
  <c r="C10" i="11" s="1"/>
  <c r="D10" i="69"/>
  <c r="O6" i="1"/>
  <c r="P6" i="1" s="1"/>
  <c r="K16" i="1"/>
  <c r="O22" i="1" s="1"/>
  <c r="J10" i="39"/>
  <c r="J10" i="40"/>
  <c r="H10" i="40"/>
  <c r="H10" i="39"/>
  <c r="F10" i="39"/>
  <c r="F10" i="40"/>
  <c r="F27" i="11"/>
  <c r="F28" i="12"/>
  <c r="F27" i="69"/>
  <c r="F27" i="68"/>
  <c r="B2" i="74"/>
  <c r="D8" i="74" s="1"/>
  <c r="C8" i="74"/>
  <c r="K19" i="6"/>
  <c r="S6" i="1" s="1"/>
  <c r="K24" i="6"/>
  <c r="M24" i="6" s="1"/>
  <c r="I24" i="6" s="1"/>
  <c r="S26" i="6"/>
  <c r="H26" i="6"/>
  <c r="C18" i="4"/>
  <c r="C4" i="52" s="1"/>
  <c r="B45" i="72" s="1"/>
  <c r="D8" i="6"/>
  <c r="D29" i="6"/>
  <c r="D20" i="6"/>
  <c r="D21" i="6"/>
  <c r="D22" i="6"/>
  <c r="D23" i="6"/>
  <c r="D24" i="6"/>
  <c r="D25" i="6"/>
  <c r="D26" i="6"/>
  <c r="D6" i="6"/>
  <c r="D11" i="6"/>
  <c r="D13" i="6"/>
  <c r="D15" i="6"/>
  <c r="J34" i="40"/>
  <c r="K25" i="6"/>
  <c r="M25" i="6" s="1"/>
  <c r="I25" i="6" s="1"/>
  <c r="E31" i="6"/>
  <c r="K20" i="6"/>
  <c r="M20" i="6" s="1"/>
  <c r="I20" i="6" s="1"/>
  <c r="K23" i="6"/>
  <c r="M23" i="6" s="1"/>
  <c r="I23" i="6" s="1"/>
  <c r="C35" i="69"/>
  <c r="C38" i="69"/>
  <c r="H34" i="40"/>
  <c r="F34" i="40"/>
  <c r="S4" i="43"/>
  <c r="T4" i="43" s="1"/>
  <c r="V4" i="43" s="1"/>
  <c r="S6" i="43"/>
  <c r="T6" i="43" s="1"/>
  <c r="V6" i="43" s="1"/>
  <c r="S3" i="43"/>
  <c r="T3" i="43" s="1"/>
  <c r="V3" i="43" s="1"/>
  <c r="S7" i="43"/>
  <c r="T7" i="43" s="1"/>
  <c r="V7" i="43" s="1"/>
  <c r="C23" i="43"/>
  <c r="C21" i="43" s="1"/>
  <c r="S5" i="43"/>
  <c r="T5" i="43" s="1"/>
  <c r="V5" i="43" s="1"/>
  <c r="S2" i="43"/>
  <c r="T2" i="43" s="1"/>
  <c r="V2" i="43" s="1"/>
  <c r="C115" i="43"/>
  <c r="D113" i="43" s="1"/>
  <c r="C17" i="15"/>
  <c r="AY561" i="3" l="1"/>
  <c r="AY274" i="3"/>
  <c r="AY126" i="3"/>
  <c r="AY338" i="3"/>
  <c r="AY402" i="3"/>
  <c r="AY525" i="3"/>
  <c r="AY431" i="3"/>
  <c r="AY512" i="3"/>
  <c r="AY551" i="3"/>
  <c r="AY369" i="3"/>
  <c r="AY425" i="3"/>
  <c r="AY469" i="3"/>
  <c r="AY522" i="3"/>
  <c r="AY570" i="3"/>
  <c r="AY323" i="3"/>
  <c r="AY40" i="3"/>
  <c r="AY134" i="3"/>
  <c r="AY378" i="3"/>
  <c r="AY494" i="3"/>
  <c r="AY557" i="3"/>
  <c r="AY508" i="3"/>
  <c r="AY528" i="3"/>
  <c r="AY587" i="3"/>
  <c r="AY373" i="3"/>
  <c r="AY445" i="3"/>
  <c r="AY498" i="3"/>
  <c r="AY546" i="3"/>
  <c r="R26" i="6"/>
  <c r="H21" i="6"/>
  <c r="R21" i="6" s="1"/>
  <c r="D27" i="6"/>
  <c r="H22" i="6"/>
  <c r="R22" i="6" s="1"/>
  <c r="O14" i="1"/>
  <c r="O16" i="1" s="1"/>
  <c r="D30" i="6"/>
  <c r="D7" i="74"/>
  <c r="C10" i="15"/>
  <c r="C5" i="15" s="1"/>
  <c r="C32" i="15" s="1"/>
  <c r="J26" i="15"/>
  <c r="J24" i="15"/>
  <c r="J18" i="15"/>
  <c r="C60" i="15"/>
  <c r="C66" i="15"/>
  <c r="I53" i="34"/>
  <c r="J53" i="34" s="1"/>
  <c r="C37" i="36"/>
  <c r="B2" i="36" s="1"/>
  <c r="B3" i="36" s="1"/>
  <c r="C36" i="36"/>
  <c r="C49" i="21"/>
  <c r="B2" i="21" s="1"/>
  <c r="B3" i="21" s="1"/>
  <c r="C48" i="21"/>
  <c r="C49" i="33"/>
  <c r="B2" i="33" s="1"/>
  <c r="B3" i="33" s="1"/>
  <c r="C48" i="33"/>
  <c r="C39" i="35"/>
  <c r="B2" i="35" s="1"/>
  <c r="B3" i="35" s="1"/>
  <c r="C38" i="35"/>
  <c r="G53" i="34"/>
  <c r="H53" i="34" s="1"/>
  <c r="G54" i="34"/>
  <c r="H54" i="34" s="1"/>
  <c r="F70" i="39"/>
  <c r="G68" i="39"/>
  <c r="E47" i="37"/>
  <c r="F47" i="37" s="1"/>
  <c r="E46" i="37"/>
  <c r="F46" i="37" s="1"/>
  <c r="J24" i="67"/>
  <c r="J18" i="67"/>
  <c r="J26" i="67"/>
  <c r="J29" i="67" s="1"/>
  <c r="G63" i="40"/>
  <c r="F65" i="40"/>
  <c r="E42" i="35"/>
  <c r="F42" i="35" s="1"/>
  <c r="E43" i="35"/>
  <c r="F43" i="35" s="1"/>
  <c r="C43" i="37"/>
  <c r="B2" i="37" s="1"/>
  <c r="B3" i="37" s="1"/>
  <c r="C42" i="37"/>
  <c r="E52" i="33"/>
  <c r="F52" i="33" s="1"/>
  <c r="E53" i="33"/>
  <c r="F53" i="33" s="1"/>
  <c r="C10" i="67"/>
  <c r="C5" i="67" s="1"/>
  <c r="C53" i="67"/>
  <c r="C48" i="67" s="1"/>
  <c r="I52" i="21"/>
  <c r="J52" i="21" s="1"/>
  <c r="I53" i="21"/>
  <c r="J53" i="21" s="1"/>
  <c r="I43" i="35"/>
  <c r="J43" i="35" s="1"/>
  <c r="E49" i="34"/>
  <c r="I54" i="34" s="1"/>
  <c r="J54" i="34" s="1"/>
  <c r="R50" i="34"/>
  <c r="E40" i="36"/>
  <c r="F40" i="36" s="1"/>
  <c r="E41" i="36"/>
  <c r="F41" i="36" s="1"/>
  <c r="E52" i="21"/>
  <c r="F52" i="21" s="1"/>
  <c r="E53" i="21"/>
  <c r="F53" i="21" s="1"/>
  <c r="F22" i="11"/>
  <c r="F24" i="67"/>
  <c r="F22" i="68"/>
  <c r="F24" i="15"/>
  <c r="C24" i="15" s="1"/>
  <c r="F25" i="12"/>
  <c r="F22" i="69"/>
  <c r="Q22" i="1"/>
  <c r="A7" i="51"/>
  <c r="B7" i="72" s="1"/>
  <c r="C10" i="69"/>
  <c r="C8" i="69" s="1"/>
  <c r="C5" i="69" s="1"/>
  <c r="D19" i="69"/>
  <c r="D19" i="68"/>
  <c r="D37" i="68" s="1"/>
  <c r="C10" i="68"/>
  <c r="C47" i="68"/>
  <c r="D45" i="68" s="1"/>
  <c r="S10" i="40"/>
  <c r="AA10" i="40"/>
  <c r="U10" i="39"/>
  <c r="AB10" i="39"/>
  <c r="W10" i="40"/>
  <c r="AC10" i="40"/>
  <c r="C47" i="69"/>
  <c r="D45" i="69" s="1"/>
  <c r="C29" i="69"/>
  <c r="D27" i="69" s="1"/>
  <c r="C47" i="11"/>
  <c r="D45" i="11" s="1"/>
  <c r="S10" i="39"/>
  <c r="AA10" i="39"/>
  <c r="U10" i="40"/>
  <c r="AB10" i="40"/>
  <c r="W10" i="39"/>
  <c r="AC10" i="39"/>
  <c r="K27" i="6"/>
  <c r="D16" i="6"/>
  <c r="A10" i="51"/>
  <c r="B9" i="72" s="1"/>
  <c r="M19" i="6"/>
  <c r="M27" i="6" s="1"/>
  <c r="S24" i="6"/>
  <c r="H24" i="6"/>
  <c r="R24" i="6" s="1"/>
  <c r="S20" i="6"/>
  <c r="H20" i="6"/>
  <c r="R20" i="6" s="1"/>
  <c r="S25" i="6"/>
  <c r="H25" i="6"/>
  <c r="R25" i="6" s="1"/>
  <c r="S23" i="6"/>
  <c r="H23" i="6"/>
  <c r="R23" i="6" s="1"/>
  <c r="S16" i="1"/>
  <c r="T6" i="1"/>
  <c r="E6" i="70"/>
  <c r="E2" i="70" s="1"/>
  <c r="AR6" i="1"/>
  <c r="AQ6" i="1"/>
  <c r="N16" i="1"/>
  <c r="B21" i="1" s="1"/>
  <c r="C29" i="68" s="1"/>
  <c r="D27" i="68" s="1"/>
  <c r="C29" i="43"/>
  <c r="AB34" i="40"/>
  <c r="U34" i="40"/>
  <c r="AA34" i="40"/>
  <c r="S34" i="40"/>
  <c r="W34" i="40"/>
  <c r="AC34" i="40"/>
  <c r="F13" i="15"/>
  <c r="C14" i="15"/>
  <c r="Q23" i="1" l="1"/>
  <c r="R22" i="1"/>
  <c r="D31" i="6"/>
  <c r="I6" i="6" s="1"/>
  <c r="P14" i="1"/>
  <c r="P16" i="1" s="1"/>
  <c r="C11" i="12" s="1"/>
  <c r="C12" i="12" s="1"/>
  <c r="C28" i="11"/>
  <c r="C27" i="11" s="1"/>
  <c r="I19" i="6"/>
  <c r="I27" i="6" s="1"/>
  <c r="B24" i="1"/>
  <c r="F11" i="12" s="1"/>
  <c r="C14" i="12" s="1"/>
  <c r="B23" i="1"/>
  <c r="C26" i="68" s="1"/>
  <c r="D22" i="68" s="1"/>
  <c r="C29" i="11"/>
  <c r="D27" i="11" s="1"/>
  <c r="C33" i="15"/>
  <c r="C38" i="15"/>
  <c r="C24" i="68"/>
  <c r="C44" i="68"/>
  <c r="D41" i="68" s="1"/>
  <c r="C66" i="67"/>
  <c r="C60" i="67"/>
  <c r="C26" i="69"/>
  <c r="D22" i="69" s="1"/>
  <c r="C44" i="69"/>
  <c r="D41" i="69" s="1"/>
  <c r="C38" i="67"/>
  <c r="C32" i="67"/>
  <c r="E54" i="34"/>
  <c r="F54" i="34" s="1"/>
  <c r="E53" i="34"/>
  <c r="F53" i="34" s="1"/>
  <c r="C50" i="34"/>
  <c r="B2" i="34" s="1"/>
  <c r="B3" i="34" s="1"/>
  <c r="C49" i="34"/>
  <c r="G70" i="39"/>
  <c r="H68" i="39"/>
  <c r="C24" i="67"/>
  <c r="C23" i="67"/>
  <c r="C23" i="69"/>
  <c r="C44" i="11"/>
  <c r="D41" i="11" s="1"/>
  <c r="C24" i="11"/>
  <c r="G65" i="40"/>
  <c r="H63" i="40"/>
  <c r="C19" i="69"/>
  <c r="D37" i="69"/>
  <c r="C37" i="69" s="1"/>
  <c r="C33" i="69" s="1"/>
  <c r="C42" i="69" s="1"/>
  <c r="I5" i="6"/>
  <c r="C18" i="15"/>
  <c r="C15" i="15"/>
  <c r="T16" i="1"/>
  <c r="C30" i="43"/>
  <c r="E30" i="43" s="1"/>
  <c r="C27" i="43" s="1"/>
  <c r="E29" i="43"/>
  <c r="C26" i="43" s="1"/>
  <c r="E6" i="76"/>
  <c r="H19" i="6" l="1"/>
  <c r="H27" i="6" s="1"/>
  <c r="S19" i="6"/>
  <c r="S27" i="6" s="1"/>
  <c r="C15" i="12"/>
  <c r="C16" i="12" s="1"/>
  <c r="C21" i="12" s="1"/>
  <c r="C22" i="12" s="1"/>
  <c r="C25" i="11"/>
  <c r="F50" i="69"/>
  <c r="F50" i="11"/>
  <c r="F34" i="68"/>
  <c r="C37" i="68" s="1"/>
  <c r="F34" i="11"/>
  <c r="C36" i="11" s="1"/>
  <c r="C23" i="11"/>
  <c r="M59" i="67"/>
  <c r="M59" i="15"/>
  <c r="L59" i="15" s="1"/>
  <c r="J53" i="15"/>
  <c r="C29" i="12"/>
  <c r="D28" i="12" s="1"/>
  <c r="C26" i="11"/>
  <c r="D22" i="11" s="1"/>
  <c r="C26" i="12"/>
  <c r="D25" i="12" s="1"/>
  <c r="F50" i="68"/>
  <c r="C29" i="67"/>
  <c r="J19" i="67" s="1"/>
  <c r="J17" i="67" s="1"/>
  <c r="I68" i="39"/>
  <c r="H70" i="39"/>
  <c r="H65" i="40"/>
  <c r="I63" i="40"/>
  <c r="C39" i="69"/>
  <c r="C43" i="69" s="1"/>
  <c r="C41" i="69" s="1"/>
  <c r="C20" i="69"/>
  <c r="C24" i="69"/>
  <c r="C19" i="15"/>
  <c r="C20" i="15" s="1"/>
  <c r="R19" i="6"/>
  <c r="E2" i="76"/>
  <c r="B2" i="43"/>
  <c r="B6" i="76"/>
  <c r="C37" i="11" l="1"/>
  <c r="C34" i="11"/>
  <c r="C38" i="11" s="1"/>
  <c r="C22" i="11"/>
  <c r="C31" i="11" s="1"/>
  <c r="C34" i="68"/>
  <c r="C38" i="68" s="1"/>
  <c r="C36" i="68"/>
  <c r="L56" i="15"/>
  <c r="F1" i="15"/>
  <c r="Q52" i="15"/>
  <c r="Q61" i="15"/>
  <c r="Q74" i="15"/>
  <c r="C33" i="67"/>
  <c r="C31" i="67" s="1"/>
  <c r="Q49" i="67"/>
  <c r="C13" i="67"/>
  <c r="Q70" i="67" s="1"/>
  <c r="C36" i="67"/>
  <c r="J59" i="67"/>
  <c r="J60" i="67" s="1"/>
  <c r="L46" i="67" s="1"/>
  <c r="C57" i="67"/>
  <c r="C64" i="67" s="1"/>
  <c r="J14" i="67"/>
  <c r="J13" i="67" s="1"/>
  <c r="J23" i="67" s="1"/>
  <c r="I65" i="40"/>
  <c r="J63" i="40"/>
  <c r="J68" i="39"/>
  <c r="I70" i="39"/>
  <c r="C46" i="69"/>
  <c r="C45" i="69" s="1"/>
  <c r="C49" i="69" s="1"/>
  <c r="C51" i="69" s="1"/>
  <c r="C28" i="69"/>
  <c r="C27" i="69" s="1"/>
  <c r="C25" i="69"/>
  <c r="C22" i="69" s="1"/>
  <c r="C23" i="15"/>
  <c r="C26" i="15"/>
  <c r="R6" i="1"/>
  <c r="R27" i="6"/>
  <c r="B2" i="76"/>
  <c r="B3" i="76" s="1"/>
  <c r="B3" i="43"/>
  <c r="M21" i="15"/>
  <c r="AE6" i="1"/>
  <c r="F35" i="15"/>
  <c r="C35" i="11" l="1"/>
  <c r="C33" i="11" s="1"/>
  <c r="C42" i="11" s="1"/>
  <c r="C35" i="68"/>
  <c r="C33" i="68" s="1"/>
  <c r="C39" i="68" s="1"/>
  <c r="C61" i="67"/>
  <c r="C59" i="67" s="1"/>
  <c r="C75" i="67"/>
  <c r="Q48" i="67"/>
  <c r="C37" i="67"/>
  <c r="C30" i="67" s="1"/>
  <c r="C39" i="67" s="1"/>
  <c r="Q69" i="67" s="1"/>
  <c r="Q68" i="67" s="1"/>
  <c r="C56" i="67"/>
  <c r="C65" i="67" s="1"/>
  <c r="J22" i="67"/>
  <c r="J16" i="67" s="1"/>
  <c r="J25" i="67" s="1"/>
  <c r="K68" i="39"/>
  <c r="J70" i="39"/>
  <c r="J65" i="40"/>
  <c r="K63" i="40"/>
  <c r="C31" i="69"/>
  <c r="C52" i="69" s="1"/>
  <c r="B2" i="69" s="1"/>
  <c r="B3" i="69" s="1"/>
  <c r="C29" i="15"/>
  <c r="J20" i="15"/>
  <c r="F63" i="15"/>
  <c r="C62" i="15" s="1"/>
  <c r="C34" i="15"/>
  <c r="C31" i="15" s="1"/>
  <c r="R16" i="1"/>
  <c r="F41" i="15"/>
  <c r="J29" i="15" l="1"/>
  <c r="F69" i="15"/>
  <c r="C58" i="67"/>
  <c r="C67" i="67" s="1"/>
  <c r="C68" i="67" s="1"/>
  <c r="C71" i="67" s="1"/>
  <c r="C40" i="67"/>
  <c r="Q65" i="67" s="1"/>
  <c r="C80" i="67"/>
  <c r="C79" i="67" s="1"/>
  <c r="C39" i="11"/>
  <c r="C43" i="11" s="1"/>
  <c r="C41" i="11" s="1"/>
  <c r="L63" i="40"/>
  <c r="K65" i="40"/>
  <c r="L68" i="39"/>
  <c r="K70" i="39"/>
  <c r="C57" i="69"/>
  <c r="C56" i="69" s="1"/>
  <c r="C42" i="68"/>
  <c r="C43" i="68"/>
  <c r="C46" i="68"/>
  <c r="C45" i="68" s="1"/>
  <c r="J19" i="15"/>
  <c r="J17" i="15" s="1"/>
  <c r="Q49" i="15"/>
  <c r="C13" i="15"/>
  <c r="C36" i="15"/>
  <c r="C57" i="15"/>
  <c r="J14" i="15"/>
  <c r="L51" i="67"/>
  <c r="L57" i="67" l="1"/>
  <c r="L60" i="67" s="1"/>
  <c r="Q66" i="67" s="1"/>
  <c r="Q75" i="67" s="1"/>
  <c r="Q67" i="67"/>
  <c r="C46" i="11"/>
  <c r="C45" i="11" s="1"/>
  <c r="C49" i="11" s="1"/>
  <c r="C51" i="11" s="1"/>
  <c r="C52" i="11" s="1"/>
  <c r="B2" i="11" s="1"/>
  <c r="B3" i="11" s="1"/>
  <c r="Q56" i="67"/>
  <c r="C45" i="67"/>
  <c r="C46" i="67" s="1"/>
  <c r="C43" i="67"/>
  <c r="Q47" i="67"/>
  <c r="Q53" i="67" s="1"/>
  <c r="D2" i="67"/>
  <c r="B2" i="67" s="1"/>
  <c r="C83" i="67"/>
  <c r="C82" i="67" s="1"/>
  <c r="M63" i="40"/>
  <c r="L65" i="40"/>
  <c r="L70" i="39"/>
  <c r="M68" i="39"/>
  <c r="C41" i="68"/>
  <c r="C49" i="68" s="1"/>
  <c r="C51" i="68" s="1"/>
  <c r="C61" i="15"/>
  <c r="C59" i="15" s="1"/>
  <c r="C64" i="15"/>
  <c r="C56" i="15"/>
  <c r="C65" i="15" s="1"/>
  <c r="Q70" i="15"/>
  <c r="C75" i="15"/>
  <c r="C37" i="15"/>
  <c r="C30" i="15" s="1"/>
  <c r="C39" i="15" s="1"/>
  <c r="J13" i="15"/>
  <c r="J23" i="15" s="1"/>
  <c r="J22" i="15"/>
  <c r="L51" i="15"/>
  <c r="Q57" i="67" l="1"/>
  <c r="Q62" i="67" s="1"/>
  <c r="B3" i="67"/>
  <c r="M70" i="39"/>
  <c r="N68" i="39"/>
  <c r="N63" i="40"/>
  <c r="M65" i="40"/>
  <c r="C56" i="11"/>
  <c r="C57" i="11" s="1"/>
  <c r="L57" i="15"/>
  <c r="L60" i="15" s="1"/>
  <c r="J16" i="15"/>
  <c r="J25" i="15" s="1"/>
  <c r="Q67" i="15"/>
  <c r="C80" i="15"/>
  <c r="C79" i="15" s="1"/>
  <c r="C58" i="15"/>
  <c r="C67" i="15" s="1"/>
  <c r="C68" i="15" s="1"/>
  <c r="Q69" i="15"/>
  <c r="Q68" i="15" s="1"/>
  <c r="C40" i="15"/>
  <c r="O63" i="40" l="1"/>
  <c r="O65" i="40" s="1"/>
  <c r="N65" i="40"/>
  <c r="N70" i="39"/>
  <c r="O68" i="39"/>
  <c r="O70" i="39" s="1"/>
  <c r="L46" i="15"/>
  <c r="B2" i="15" s="1"/>
  <c r="C8" i="12" s="1"/>
  <c r="Q66" i="15"/>
  <c r="Q57" i="15"/>
  <c r="Q47" i="15"/>
  <c r="Q53" i="15" s="1"/>
  <c r="Q65" i="15"/>
  <c r="C43" i="15"/>
  <c r="C83" i="15"/>
  <c r="C82" i="15" s="1"/>
  <c r="Q56" i="15"/>
  <c r="C71" i="15"/>
  <c r="C46" i="15"/>
  <c r="AO6" i="1"/>
  <c r="H7" i="39" l="1"/>
  <c r="J7" i="39"/>
  <c r="F7" i="39"/>
  <c r="H7" i="40"/>
  <c r="J7" i="40"/>
  <c r="F7" i="40"/>
  <c r="Q75" i="15"/>
  <c r="Q62" i="15"/>
  <c r="B6" i="70"/>
  <c r="B2" i="70" s="1"/>
  <c r="B3" i="70" s="1"/>
  <c r="B3" i="15"/>
  <c r="C6" i="12" s="1"/>
  <c r="C4" i="12" s="1"/>
  <c r="C23" i="12" l="1"/>
  <c r="C30" i="12" s="1"/>
  <c r="C28" i="12" s="1"/>
  <c r="C31" i="12"/>
  <c r="S7" i="39"/>
  <c r="AA7" i="39"/>
  <c r="R47" i="39" s="1"/>
  <c r="S7" i="40"/>
  <c r="AA7" i="40"/>
  <c r="R42" i="40" s="1"/>
  <c r="AC7" i="40"/>
  <c r="V42" i="40" s="1"/>
  <c r="I42" i="40" s="1"/>
  <c r="W7" i="40"/>
  <c r="AB7" i="40"/>
  <c r="T42" i="40" s="1"/>
  <c r="G42" i="40" s="1"/>
  <c r="U7" i="40"/>
  <c r="AC7" i="39"/>
  <c r="V47" i="39" s="1"/>
  <c r="I47" i="39" s="1"/>
  <c r="W7" i="39"/>
  <c r="U7" i="39"/>
  <c r="AB7" i="39"/>
  <c r="T47" i="39" s="1"/>
  <c r="G47" i="39" s="1"/>
  <c r="C27" i="12"/>
  <c r="C25" i="12" s="1"/>
  <c r="G46" i="40" l="1"/>
  <c r="H46" i="40" s="1"/>
  <c r="G47" i="40"/>
  <c r="H47" i="40" s="1"/>
  <c r="G51" i="39"/>
  <c r="H51" i="39" s="1"/>
  <c r="G52" i="39"/>
  <c r="H52" i="39" s="1"/>
  <c r="I46" i="40"/>
  <c r="J46" i="40" s="1"/>
  <c r="R48" i="39"/>
  <c r="E47" i="39"/>
  <c r="E42" i="40"/>
  <c r="I47" i="40" s="1"/>
  <c r="J47" i="40" s="1"/>
  <c r="R43" i="40"/>
  <c r="I51" i="39"/>
  <c r="J51" i="39" s="1"/>
  <c r="C32" i="12"/>
  <c r="B2" i="12" s="1"/>
  <c r="D19" i="9"/>
  <c r="E52" i="39" l="1"/>
  <c r="F52" i="39" s="1"/>
  <c r="E51" i="39"/>
  <c r="F51" i="39" s="1"/>
  <c r="I52" i="39"/>
  <c r="J52" i="39" s="1"/>
  <c r="C48" i="39"/>
  <c r="C47" i="39"/>
  <c r="C43" i="40"/>
  <c r="C42" i="40"/>
  <c r="E47" i="40"/>
  <c r="F47" i="40" s="1"/>
  <c r="E46" i="40"/>
  <c r="F46" i="40" s="1"/>
  <c r="D21" i="9"/>
  <c r="D102" i="9"/>
  <c r="B3" i="12"/>
  <c r="D20" i="9"/>
  <c r="F61" i="40" l="1"/>
  <c r="B2" i="40" s="1"/>
  <c r="C6" i="68" s="1"/>
  <c r="B56" i="40"/>
  <c r="F56" i="40" s="1"/>
  <c r="B55" i="40"/>
  <c r="F55" i="40" s="1"/>
  <c r="B54" i="40"/>
  <c r="F54" i="40" s="1"/>
  <c r="B60" i="40"/>
  <c r="F60" i="40" s="1"/>
  <c r="B59" i="40"/>
  <c r="F59" i="40" s="1"/>
  <c r="B58" i="40"/>
  <c r="F58" i="40" s="1"/>
  <c r="B53" i="40"/>
  <c r="F53" i="40" s="1"/>
  <c r="B57" i="40"/>
  <c r="F57" i="40" s="1"/>
  <c r="B52" i="40"/>
  <c r="F52" i="40" s="1"/>
  <c r="B51" i="40"/>
  <c r="F51" i="40" s="1"/>
  <c r="B60" i="39"/>
  <c r="F60" i="39" s="1"/>
  <c r="B58" i="39"/>
  <c r="F58" i="39" s="1"/>
  <c r="B57" i="39"/>
  <c r="F57" i="39" s="1"/>
  <c r="B56" i="39"/>
  <c r="F56" i="39" s="1"/>
  <c r="F66" i="39" s="1"/>
  <c r="B2" i="39" s="1"/>
  <c r="B3" i="39" s="1"/>
  <c r="B59" i="39"/>
  <c r="F59" i="39" s="1"/>
  <c r="B65" i="39"/>
  <c r="F65" i="39" s="1"/>
  <c r="B64" i="39"/>
  <c r="F64" i="39" s="1"/>
  <c r="B63" i="39"/>
  <c r="F63" i="39" s="1"/>
  <c r="B62" i="39"/>
  <c r="F62" i="39" s="1"/>
  <c r="B61" i="39"/>
  <c r="F61" i="39" s="1"/>
  <c r="D103" i="9"/>
  <c r="C7" i="68" l="1"/>
  <c r="C5" i="68" s="1"/>
  <c r="B3" i="40"/>
  <c r="C20" i="68" l="1"/>
  <c r="C25" i="68" s="1"/>
  <c r="C23" i="68"/>
  <c r="C28" i="68" l="1"/>
  <c r="C27" i="68" s="1"/>
  <c r="C22" i="68"/>
  <c r="C31" i="68" l="1"/>
  <c r="C52" i="68" s="1"/>
  <c r="B2" i="68" s="1"/>
  <c r="B3" i="68" s="1"/>
  <c r="C20" i="9"/>
  <c r="C19" i="9"/>
  <c r="C21" i="9" l="1"/>
  <c r="D22" i="9"/>
  <c r="G19" i="9"/>
  <c r="C102" i="9"/>
  <c r="C57" i="68"/>
  <c r="C103" i="9"/>
  <c r="G20" i="9"/>
  <c r="D35" i="9"/>
  <c r="G21" i="9" l="1"/>
  <c r="J21" i="9" s="1"/>
  <c r="C32" i="9"/>
  <c r="H118" i="9" s="1"/>
  <c r="C56" i="68"/>
  <c r="D34" i="9"/>
  <c r="AJ29" i="1" l="1"/>
  <c r="AJ27" i="1"/>
  <c r="C104" i="9"/>
  <c r="C35" i="9"/>
  <c r="F118" i="9" s="1"/>
  <c r="G118" i="9" s="1"/>
  <c r="I118" i="9"/>
  <c r="C105" i="9" s="1"/>
  <c r="D14" i="74"/>
  <c r="H119" i="9"/>
  <c r="H5" i="52" s="1"/>
  <c r="H4" i="52"/>
  <c r="H101" i="9"/>
  <c r="H107" i="9" s="1"/>
  <c r="C34" i="9" l="1"/>
  <c r="D118" i="9" s="1"/>
  <c r="D119" i="9" s="1"/>
  <c r="D5" i="52" s="1"/>
  <c r="B49" i="72" s="1"/>
  <c r="F119" i="9"/>
  <c r="F5" i="52" s="1"/>
  <c r="B53" i="72" s="1"/>
  <c r="F4" i="52"/>
  <c r="B51" i="72" s="1"/>
  <c r="F14" i="74"/>
  <c r="I4" i="52"/>
  <c r="H102" i="9"/>
  <c r="D7" i="53" s="1"/>
  <c r="B21" i="72" s="1"/>
  <c r="E14" i="74"/>
  <c r="M48" i="9"/>
  <c r="D45" i="9"/>
  <c r="C64" i="9" s="1"/>
  <c r="C63" i="9" s="1"/>
  <c r="C67" i="9" s="1"/>
  <c r="C68" i="9" s="1"/>
  <c r="D54" i="9" s="1"/>
  <c r="D5" i="53"/>
  <c r="B20" i="72" s="1"/>
  <c r="D122" i="9"/>
  <c r="D13" i="53"/>
  <c r="M49" i="9"/>
  <c r="H108" i="9"/>
  <c r="D15" i="53" s="1"/>
  <c r="B31" i="72" s="1"/>
  <c r="G4" i="52"/>
  <c r="B52" i="72" s="1"/>
  <c r="E118" i="9"/>
  <c r="E4" i="52" s="1"/>
  <c r="B48" i="72" s="1"/>
  <c r="D4" i="52" l="1"/>
  <c r="B47" i="72" s="1"/>
  <c r="D55" i="9"/>
  <c r="M53" i="9" s="1"/>
  <c r="D6" i="53"/>
  <c r="B22" i="72" s="1"/>
  <c r="C93" i="9"/>
  <c r="C86" i="9" s="1"/>
  <c r="C72" i="9"/>
  <c r="C78" i="9"/>
  <c r="C73" i="9" s="1"/>
  <c r="D53" i="9"/>
  <c r="D52" i="9"/>
  <c r="C85" i="9"/>
  <c r="D14" i="53"/>
  <c r="B32" i="72" s="1"/>
  <c r="B30" i="72"/>
  <c r="L65" i="9"/>
  <c r="M65" i="9" s="1"/>
  <c r="L63" i="9"/>
  <c r="M63" i="9" s="1"/>
  <c r="L66" i="9"/>
  <c r="M66" i="9" s="1"/>
  <c r="L67" i="9"/>
  <c r="M67" i="9" s="1"/>
  <c r="L68" i="9"/>
  <c r="M68" i="9" s="1"/>
  <c r="L64" i="9"/>
  <c r="M64" i="9" s="1"/>
  <c r="D123" i="9"/>
  <c r="D9" i="52" s="1"/>
  <c r="D8" i="52"/>
  <c r="G14" i="74"/>
  <c r="C79" i="9" l="1"/>
  <c r="C80" i="9" s="1"/>
  <c r="E80" i="9" s="1"/>
  <c r="E81" i="9" s="1"/>
  <c r="C95" i="9"/>
  <c r="C96" i="9" s="1"/>
  <c r="E96" i="9" s="1"/>
  <c r="E97" i="9" s="1"/>
  <c r="M69" i="9"/>
  <c r="N69" i="9" s="1"/>
  <c r="C81" i="9" l="1"/>
  <c r="C97" i="9"/>
  <c r="D58" i="9" s="1"/>
  <c r="D56" i="9" s="1"/>
  <c r="M54" i="9" s="1"/>
  <c r="N57" i="9" s="1"/>
  <c r="N58" i="9" s="1"/>
  <c r="N59" i="9" l="1"/>
  <c r="N60" i="9" s="1"/>
  <c r="P57" i="9"/>
  <c r="N61" i="9" l="1"/>
  <c r="D15" i="74" l="1"/>
  <c r="E15" i="74" l="1"/>
  <c r="F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<sst xmlns="http://schemas.openxmlformats.org/spreadsheetml/2006/main" count="9321" uniqueCount="2835">
  <si>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</si>
  <si>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</si>
  <si>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</si>
  <si>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</si>
  <si>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</si>
  <si>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</si>
  <si>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</si>
  <si>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</si>
  <si>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</si>
  <si>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</si>
  <si>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</si>
  <si>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</si>
  <si>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</si>
  <si>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</si>
  <si>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</si>
  <si>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</si>
  <si>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</si>
  <si>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</si>
  <si>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</si>
  <si>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</si>
  <si>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</si>
  <si>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</si>
  <si>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</si>
  <si>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</si>
  <si>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</si>
  <si>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</si>
  <si>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</si>
  <si>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</si>
  <si>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</si>
  <si>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</si>
  <si>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</si>
  <si>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</si>
  <si>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</si>
  <si>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</si>
  <si>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</si>
  <si>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</si>
  <si>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</si>
  <si>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</si>
  <si>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</si>
  <si>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</si>
  <si>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</si>
  <si>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</si>
  <si>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</si>
  <si>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</si>
  <si>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</si>
  <si>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</si>
  <si>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</si>
  <si>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</si>
  <si>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</si>
  <si>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</si>
  <si>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</si>
  <si>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</si>
  <si>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</si>
  <si>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</si>
  <si>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</si>
  <si>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</si>
  <si>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</si>
  <si>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</si>
  <si>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</si>
  <si>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</si>
  <si>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</si>
  <si>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</si>
  <si>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</si>
  <si>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</si>
  <si>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</si>
  <si>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</si>
  <si>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</si>
  <si>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</si>
  <si>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</si>
  <si>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</si>
  <si>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</si>
  <si>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</si>
  <si>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</si>
  <si>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</si>
  <si>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</si>
  <si>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</si>
  <si>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</si>
  <si>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</si>
  <si>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</si>
  <si>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</si>
  <si>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</si>
  <si>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</si>
  <si>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</si>
  <si>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</si>
  <si>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</si>
  <si>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</si>
  <si>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</si>
  <si>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</si>
  <si>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</si>
  <si>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</si>
  <si>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</si>
  <si>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</si>
  <si>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</si>
  <si>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</si>
  <si>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</si>
  <si>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</si>
  <si>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</si>
  <si>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</si>
  <si>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</si>
  <si>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</si>
  <si>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</si>
  <si>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</si>
  <si>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</si>
  <si>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</si>
  <si>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</si>
  <si>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</si>
  <si>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</si>
  <si>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</si>
  <si>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</si>
  <si>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</si>
  <si>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</si>
  <si>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</si>
  <si>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</si>
  <si>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</si>
  <si>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</si>
  <si>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</si>
  <si>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</si>
  <si>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</si>
  <si>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</si>
  <si>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</si>
  <si>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</si>
  <si>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</si>
  <si>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</si>
  <si>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</si>
  <si>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</si>
  <si>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</si>
  <si>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</si>
  <si>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</si>
  <si>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</si>
  <si>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</si>
  <si>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</si>
  <si>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</si>
  <si>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</si>
  <si>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</si>
  <si>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</si>
  <si>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</si>
  <si>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</si>
  <si>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</si>
  <si>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</si>
  <si>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</si>
  <si>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</si>
  <si>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</si>
  <si>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</si>
  <si>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</si>
  <si>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</si>
  <si>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</si>
  <si>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</si>
  <si>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</si>
  <si>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</si>
  <si>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</si>
  <si>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</si>
  <si>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</si>
  <si>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</si>
  <si>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</si>
  <si>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</si>
  <si>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</si>
  <si>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</si>
  <si>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</si>
  <si>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</si>
  <si>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</si>
  <si>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</si>
  <si>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</si>
  <si>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</si>
  <si>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</si>
  <si>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</si>
  <si>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</si>
  <si>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</si>
  <si>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</si>
  <si>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</si>
  <si>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</si>
  <si>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</si>
  <si>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</si>
  <si>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</si>
  <si>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</si>
  <si>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</si>
  <si>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</si>
  <si>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</si>
  <si>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</si>
  <si>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</si>
  <si>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</si>
  <si>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</si>
  <si>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</si>
  <si>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</si>
  <si>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</si>
  <si>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</si>
  <si>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</si>
  <si>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</si>
  <si>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</si>
  <si>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</si>
  <si>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</si>
  <si>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</si>
  <si>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</si>
  <si>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</si>
  <si>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</si>
  <si>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</si>
  <si>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</si>
  <si>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</si>
  <si>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</si>
  <si>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</si>
  <si>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</si>
  <si>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</si>
  <si>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</si>
  <si>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</si>
  <si>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</si>
  <si>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</si>
  <si>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</si>
  <si>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</si>
  <si>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</si>
  <si>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</si>
  <si>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</si>
  <si>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</si>
  <si>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</si>
  <si>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</si>
  <si>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</si>
  <si>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</si>
  <si>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</si>
  <si>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</si>
  <si>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</si>
  <si>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</si>
  <si>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</si>
  <si>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</si>
  <si>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</si>
  <si>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</si>
  <si>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</si>
  <si>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</si>
  <si>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</si>
  <si>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</si>
  <si>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</si>
  <si>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</si>
  <si>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</si>
  <si>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</si>
  <si>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</si>
  <si>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</si>
  <si>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</si>
  <si>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</si>
  <si>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</si>
  <si>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</si>
  <si>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</si>
  <si>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</si>
  <si>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</si>
  <si>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</si>
  <si>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</si>
  <si>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</si>
  <si>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</si>
  <si>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</si>
  <si>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</si>
  <si>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</si>
  <si>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</si>
  <si>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</si>
  <si>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</si>
  <si>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</si>
  <si>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</si>
  <si>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</si>
  <si>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</si>
  <si>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</si>
  <si>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</si>
  <si>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</si>
  <si>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</si>
  <si>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</si>
  <si>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</si>
  <si>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</si>
  <si>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</si>
  <si>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</si>
  <si>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</si>
  <si>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</si>
  <si>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</si>
  <si>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</si>
  <si>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</si>
  <si>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</si>
  <si>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</si>
  <si>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</si>
  <si>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</si>
  <si>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</si>
  <si>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</si>
  <si>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</si>
  <si>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</si>
  <si>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</si>
  <si>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</si>
  <si>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</si>
  <si>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</si>
  <si>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</si>
  <si>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</si>
  <si>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</si>
  <si>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</si>
  <si>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</si>
  <si>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</si>
  <si>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</si>
  <si>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</si>
  <si>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</si>
  <si>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</si>
  <si>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</si>
  <si>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</si>
  <si>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</si>
  <si>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</si>
  <si>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</si>
  <si>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</si>
  <si>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</si>
  <si>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</si>
  <si>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</si>
  <si>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</si>
  <si>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</si>
  <si>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</si>
  <si>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</si>
  <si>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</si>
  <si>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</si>
  <si>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</si>
  <si>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</si>
  <si>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</si>
  <si>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</si>
  <si>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</si>
  <si>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</si>
  <si>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</si>
  <si>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</si>
  <si>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</si>
  <si>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</si>
  <si>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</si>
  <si>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</si>
  <si>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</si>
  <si>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</si>
  <si>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</si>
  <si>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</si>
  <si>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</si>
  <si>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</si>
  <si>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</si>
  <si>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</si>
  <si>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</si>
  <si>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</si>
  <si>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</si>
  <si>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</si>
  <si>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</si>
  <si>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</si>
  <si>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</si>
  <si>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</si>
  <si>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</si>
  <si>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</si>
  <si>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</si>
  <si>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</si>
  <si>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</si>
  <si>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</si>
  <si>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</si>
  <si>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</si>
  <si>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</si>
  <si>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</si>
  <si>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</si>
  <si>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</si>
  <si>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</si>
  <si>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</si>
  <si>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</si>
  <si>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</si>
  <si>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</si>
  <si>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</si>
  <si>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</si>
  <si>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</si>
  <si>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</si>
  <si>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</si>
  <si>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</si>
  <si>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</si>
  <si>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</si>
  <si>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</si>
  <si>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</si>
  <si>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</si>
  <si>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</si>
  <si>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</si>
  <si>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</si>
  <si>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</si>
  <si>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</si>
  <si>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</si>
  <si>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</si>
  <si>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</si>
  <si>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</si>
  <si>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</si>
  <si>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</si>
  <si>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</si>
  <si>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</si>
  <si>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</si>
  <si>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</si>
  <si>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</si>
  <si>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</si>
  <si>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</si>
  <si>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</si>
  <si>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</si>
  <si>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</si>
  <si>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</si>
  <si>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</si>
  <si>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</si>
  <si>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</si>
  <si>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</si>
  <si>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</si>
  <si>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</si>
  <si>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</si>
  <si>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</si>
  <si>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</si>
  <si>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</si>
  <si>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</si>
  <si>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</si>
  <si>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</si>
  <si>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</si>
  <si>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</si>
  <si>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</si>
  <si>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</si>
  <si>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</si>
  <si>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</si>
  <si>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</si>
  <si>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</si>
  <si>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</si>
  <si>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</si>
  <si>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</si>
  <si>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</si>
  <si>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</si>
  <si>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</si>
  <si>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</si>
  <si>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</si>
  <si>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</si>
  <si>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</si>
  <si>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</si>
  <si>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</si>
  <si>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</si>
  <si>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</si>
  <si>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</si>
  <si>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</si>
  <si>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</si>
  <si>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</si>
  <si>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</si>
  <si>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</si>
  <si>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</si>
  <si>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</si>
  <si>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</si>
  <si>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</si>
  <si>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</si>
  <si>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</si>
  <si>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</si>
  <si>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</si>
  <si>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</si>
  <si>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</si>
  <si>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</si>
  <si>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</si>
  <si>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</si>
  <si>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</si>
  <si>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</si>
  <si>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</si>
  <si>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</si>
  <si>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</si>
  <si>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</si>
  <si>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</si>
  <si>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</si>
  <si>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</si>
  <si>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</si>
  <si>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</si>
  <si>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</si>
  <si>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</si>
  <si>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</si>
  <si>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</si>
  <si>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</si>
  <si>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</si>
  <si>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</si>
  <si>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</si>
  <si>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</si>
  <si>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</si>
  <si>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</si>
  <si>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</si>
  <si>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</si>
  <si>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</si>
  <si>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</si>
  <si>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</si>
  <si>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</si>
  <si>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</si>
  <si>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</si>
  <si>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</si>
  <si>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</si>
  <si>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</si>
  <si>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</si>
  <si>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</si>
  <si>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</si>
  <si>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</si>
  <si>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</si>
  <si>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</si>
  <si>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</si>
  <si>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</si>
  <si>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</si>
  <si>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</si>
  <si>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</si>
  <si>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</si>
  <si>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</si>
  <si>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</si>
  <si>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</si>
  <si>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</si>
  <si>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</si>
  <si>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</si>
  <si>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</si>
  <si>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</si>
  <si>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</si>
  <si>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</si>
  <si>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</si>
  <si>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</si>
  <si>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</si>
  <si>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</si>
  <si>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</si>
  <si>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</si>
  <si>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</si>
  <si>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</si>
  <si>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</si>
  <si>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</si>
  <si>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</si>
  <si>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</si>
  <si>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</si>
  <si>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</si>
  <si>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</si>
  <si>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</si>
  <si>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</si>
  <si>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</si>
  <si>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</si>
  <si>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</si>
  <si>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</si>
  <si>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</si>
  <si>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</si>
  <si>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</si>
  <si>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</si>
  <si>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</si>
  <si>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</si>
  <si>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</si>
  <si>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</si>
  <si>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</si>
  <si>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</si>
  <si>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</si>
  <si>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</si>
  <si>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</si>
  <si>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</si>
  <si>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</si>
  <si>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</si>
  <si>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</si>
  <si>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</si>
  <si>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</si>
  <si>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</si>
  <si>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</si>
  <si>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</si>
  <si>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</si>
  <si>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</si>
  <si>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</si>
  <si>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</si>
  <si>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</si>
  <si>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</si>
  <si>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</si>
  <si>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</si>
  <si>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</si>
  <si>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</si>
  <si>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</si>
  <si>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</si>
  <si>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</si>
  <si>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</si>
  <si>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</si>
  <si>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</si>
  <si>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</si>
  <si>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</si>
  <si>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</si>
  <si>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</si>
  <si>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</si>
  <si>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</si>
  <si>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</si>
  <si>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</si>
  <si>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</si>
  <si>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</si>
  <si>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</si>
  <si>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</si>
  <si>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</si>
  <si>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</si>
  <si>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</si>
  <si>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</si>
  <si>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</si>
  <si>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</si>
  <si>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</si>
  <si>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</si>
  <si>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</si>
  <si>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</si>
  <si>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</si>
  <si>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</si>
  <si>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</si>
  <si>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</si>
  <si>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</si>
  <si>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</si>
  <si>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</si>
  <si>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</si>
  <si>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</si>
  <si>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</si>
  <si>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</si>
  <si>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</si>
  <si>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</si>
  <si>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</si>
  <si>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</si>
  <si>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建安</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</si>
  <si>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</si>
  <si>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</si>
  <si>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</si>
  <si>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</si>
  <si>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</si>
  <si>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</si>
  <si>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</si>
  <si>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</si>
  <si>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</si>
  <si>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</si>
  <si>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</si>
  <si>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</si>
  <si>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</si>
  <si>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</si>
  <si>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</si>
  <si>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</si>
  <si>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</si>
  <si>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</si>
  <si>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</si>
  <si>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</si>
  <si>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</si>
  <si>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</si>
  <si>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</si>
  <si>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</si>
  <si>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</si>
  <si>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</si>
  <si>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</si>
  <si>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</si>
  <si>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</si>
  <si>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</si>
  <si>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</si>
  <si>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</si>
  <si>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</si>
  <si>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</si>
  <si>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</si>
  <si>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</si>
  <si>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</si>
  <si>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</si>
  <si>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</si>
  <si>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</si>
  <si>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</si>
  <si>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</si>
  <si>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</si>
  <si>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</si>
  <si>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</si>
  <si>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</si>
  <si>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</si>
  <si>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</si>
  <si>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</si>
  <si>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</si>
  <si>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</si>
  <si>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</si>
  <si>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</si>
  <si>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</si>
  <si>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</si>
  <si>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</si>
  <si>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</si>
  <si>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</si>
  <si>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</si>
  <si>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</si>
  <si>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</si>
  <si>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</si>
  <si>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</si>
  <si>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</si>
  <si>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</si>
  <si>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</si>
  <si>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</si>
  <si>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</si>
  <si>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</si>
  <si>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</si>
  <si>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</si>
  <si>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</si>
  <si>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</si>
  <si>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</si>
  <si>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</si>
  <si>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</si>
  <si>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</si>
  <si>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</si>
  <si>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</si>
  <si>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</si>
  <si>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</si>
  <si>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</si>
  <si>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</si>
  <si>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</si>
  <si>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</si>
  <si>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</si>
  <si>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</si>
  <si>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</si>
  <si>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</si>
  <si>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</si>
  <si>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</si>
  <si>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</si>
  <si>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</si>
  <si>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</si>
  <si>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</si>
  <si>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</si>
  <si>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</si>
  <si>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</si>
  <si>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</si>
  <si>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</si>
  <si>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</si>
  <si>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</si>
  <si>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</si>
  <si>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</si>
  <si>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</si>
  <si>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</si>
  <si>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</si>
  <si>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</si>
  <si>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</si>
  <si>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</si>
  <si>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</si>
  <si>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</si>
  <si>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</si>
  <si>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</si>
  <si>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</si>
  <si>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</si>
  <si>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</si>
  <si>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</si>
  <si>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</si>
  <si>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</si>
  <si>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</si>
  <si>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</si>
  <si>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</si>
  <si>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</si>
  <si>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</si>
  <si>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</si>
  <si>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</si>
  <si>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</si>
  <si>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</si>
  <si>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</si>
  <si>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</si>
  <si>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</si>
  <si>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</si>
  <si>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</si>
  <si>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</si>
  <si>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</si>
  <si>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</si>
  <si>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</si>
  <si>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</si>
  <si>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</si>
  <si>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</si>
  <si>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</si>
  <si>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</si>
  <si>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</si>
  <si>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</si>
  <si>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</si>
  <si>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</si>
  <si>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</si>
  <si>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</si>
  <si>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</si>
  <si>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</si>
  <si>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</si>
  <si>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</si>
  <si>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</si>
  <si>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</si>
  <si>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</si>
  <si>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</si>
  <si>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</si>
  <si>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</si>
  <si>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</si>
  <si>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</si>
  <si>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</si>
  <si>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</si>
  <si>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</si>
  <si>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</si>
  <si>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</si>
  <si>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</si>
  <si>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</si>
  <si>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</si>
  <si>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</si>
  <si>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</si>
  <si>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</si>
  <si>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</si>
  <si>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</si>
  <si>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</si>
  <si>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</si>
  <si>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</si>
  <si>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</si>
  <si>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</si>
  <si>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</si>
  <si>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</si>
  <si>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</si>
  <si>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</si>
  <si>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</si>
  <si>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</si>
  <si>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</si>
  <si>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</si>
  <si>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</si>
  <si>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</si>
  <si>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</si>
  <si>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</si>
  <si>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</si>
  <si>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</si>
  <si>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</si>
  <si>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</si>
  <si>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</si>
  <si>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</si>
  <si>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</si>
  <si>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</si>
  <si>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</si>
  <si>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</si>
  <si>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</si>
  <si>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</si>
  <si>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</si>
  <si>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</si>
  <si>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</si>
  <si>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</si>
  <si>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</si>
  <si>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</si>
  <si>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</si>
  <si>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</si>
  <si>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</si>
  <si>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</si>
  <si>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</si>
  <si>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</si>
  <si>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</si>
  <si>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</si>
  <si>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</si>
  <si>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</si>
  <si>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</si>
  <si>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</si>
  <si>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</si>
  <si>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</si>
  <si>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</si>
  <si>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</si>
  <si>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</si>
  <si>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</si>
  <si>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</si>
  <si>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</si>
  <si>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</si>
  <si>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</si>
  <si>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</si>
  <si>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</si>
  <si>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</si>
  <si>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</si>
  <si>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</si>
  <si>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</si>
  <si>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</si>
  <si>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</si>
  <si>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</si>
  <si>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</si>
  <si>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</si>
  <si>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</si>
  <si>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</si>
  <si>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</si>
  <si>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</si>
  <si>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</si>
  <si>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</si>
  <si>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</si>
  <si>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</si>
  <si>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</si>
  <si>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</si>
  <si>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</si>
  <si>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</si>
  <si>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</si>
  <si>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</si>
  <si>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</si>
  <si>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</si>
  <si>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</si>
  <si>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</si>
  <si>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</si>
  <si>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</si>
  <si>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</si>
  <si>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</si>
  <si>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</si>
  <si>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</si>
  <si>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</si>
  <si>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</si>
  <si>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</si>
  <si>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</si>
  <si>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</si>
  <si>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</si>
  <si>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</si>
  <si>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</si>
  <si>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</si>
  <si>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</si>
  <si>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</si>
  <si>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</si>
  <si>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</si>
  <si>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</si>
  <si>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</si>
  <si>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</si>
  <si>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</si>
  <si>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</si>
  <si>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</si>
  <si>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</si>
  <si>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</si>
  <si>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</si>
  <si>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</si>
  <si>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</si>
  <si>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</si>
  <si>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</si>
  <si>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</si>
  <si>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</si>
  <si>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</si>
  <si>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</si>
  <si>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</si>
  <si>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</si>
  <si>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</si>
  <si>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</si>
  <si>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</si>
  <si>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</si>
  <si>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</si>
  <si>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</si>
  <si>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</si>
  <si>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</si>
  <si>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</si>
  <si>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</si>
  <si>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</si>
  <si>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</si>
  <si>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</si>
  <si>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</si>
  <si>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</si>
  <si>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</si>
  <si>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</si>
  <si>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</si>
  <si>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</si>
  <si>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</si>
  <si>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</si>
  <si>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</si>
  <si>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</si>
  <si>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</si>
  <si>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</si>
  <si>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</si>
  <si>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</si>
  <si>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</si>
  <si>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</si>
  <si>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</si>
  <si>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</si>
  <si>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</si>
  <si>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</si>
  <si>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</si>
  <si>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</si>
  <si>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</si>
  <si>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</si>
  <si>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</si>
  <si>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</si>
  <si>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</si>
  <si>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</si>
  <si>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</si>
  <si>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</si>
  <si>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</si>
  <si>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</si>
  <si>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</si>
  <si>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</si>
  <si>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</si>
  <si>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</si>
  <si>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</si>
  <si>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</si>
  <si>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</si>
  <si>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</si>
  <si>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</si>
  <si>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</si>
  <si>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</si>
  <si>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</si>
  <si>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</si>
  <si>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</si>
  <si>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</si>
  <si>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</si>
  <si>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</si>
  <si>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</si>
  <si>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</si>
  <si>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</si>
  <si>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</si>
  <si>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</si>
  <si>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</si>
  <si>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</si>
  <si>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</si>
  <si>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</si>
  <si>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</si>
  <si>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</si>
  <si>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</si>
  <si>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</si>
  <si>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</si>
  <si>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</si>
  <si>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</si>
  <si>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</si>
  <si>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</si>
  <si>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</si>
  <si>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</si>
  <si>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</si>
  <si>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</si>
  <si>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</si>
  <si>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</si>
  <si>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</si>
  <si>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</si>
  <si>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</si>
  <si>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</si>
  <si>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</si>
  <si>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</si>
  <si>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</si>
  <si>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</si>
  <si>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</si>
  <si>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</si>
  <si>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</si>
  <si>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</si>
  <si>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</si>
  <si>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</si>
  <si>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</si>
  <si>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</si>
  <si>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</si>
  <si>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</si>
  <si>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</si>
  <si>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</si>
  <si>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</si>
  <si>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</si>
  <si>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</si>
  <si>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</si>
  <si>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</si>
  <si>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</si>
  <si>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</si>
  <si>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</si>
  <si>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</si>
  <si>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</si>
  <si>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</si>
  <si>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</si>
  <si>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</si>
  <si>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</si>
  <si>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</si>
  <si>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</si>
  <si>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</si>
  <si>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</si>
  <si>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</si>
  <si>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</si>
  <si>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</si>
  <si>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</si>
  <si>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</si>
  <si>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</si>
  <si>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</si>
  <si>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</si>
  <si>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</si>
  <si>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</si>
  <si>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</si>
  <si>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</si>
  <si>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</si>
  <si>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</si>
  <si>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</si>
  <si>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</si>
  <si>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</si>
  <si>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</si>
  <si>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</si>
  <si>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</si>
  <si>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</si>
  <si>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</si>
  <si>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</si>
  <si>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</si>
  <si>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</si>
  <si>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</si>
  <si>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</si>
  <si>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</si>
  <si>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</si>
  <si>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</si>
  <si>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</si>
  <si>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</si>
  <si>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</si>
  <si>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</si>
  <si>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</si>
  <si>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</si>
  <si>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</si>
  <si>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</si>
  <si>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</si>
  <si>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</si>
  <si>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</si>
  <si>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</si>
  <si>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</si>
  <si>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</si>
  <si>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</si>
  <si>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</si>
  <si>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</si>
  <si>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</si>
  <si>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</si>
  <si>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</si>
  <si>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</si>
  <si>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</si>
  <si>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</si>
  <si>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</si>
  <si>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</si>
  <si>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</si>
  <si>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</si>
  <si>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</si>
  <si>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</si>
  <si>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</si>
  <si>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</si>
  <si>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</si>
  <si>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</si>
  <si>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</si>
  <si>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</si>
  <si>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</si>
  <si>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</si>
  <si>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</si>
  <si>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</si>
  <si>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</si>
  <si>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</si>
  <si>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</si>
  <si>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</si>
  <si>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</si>
  <si>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</si>
  <si>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</si>
  <si>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</si>
  <si>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</si>
  <si>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</si>
  <si>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</si>
  <si>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</si>
  <si>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</si>
  <si>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</si>
  <si>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</si>
  <si>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</si>
  <si>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</si>
  <si>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</si>
  <si>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</si>
  <si>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</si>
  <si>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</si>
  <si>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</si>
  <si>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</si>
  <si>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</si>
  <si>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</si>
  <si>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</si>
  <si>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</si>
  <si>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</si>
  <si>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</si>
  <si>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</si>
  <si>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</si>
  <si>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</si>
  <si>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</si>
  <si>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</si>
  <si>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</si>
  <si>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</si>
  <si>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</si>
  <si>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</si>
  <si>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</si>
  <si>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</si>
  <si>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</si>
  <si>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</si>
  <si>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</si>
  <si>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</si>
  <si>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</si>
  <si>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</si>
  <si>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</si>
  <si>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</si>
  <si>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</si>
  <si>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</si>
  <si>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</si>
  <si>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</si>
  <si>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</si>
  <si>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</si>
  <si>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</si>
  <si>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</si>
  <si>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</si>
  <si>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</si>
  <si>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</si>
  <si>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</si>
  <si>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</si>
  <si>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</si>
  <si>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</si>
  <si>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</si>
  <si>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</si>
  <si>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</si>
  <si>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</si>
  <si>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</si>
  <si>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</si>
  <si>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</si>
  <si>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</si>
  <si>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</si>
  <si>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</si>
  <si>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</si>
  <si>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</si>
  <si>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</si>
  <si>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</si>
  <si>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</si>
  <si>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</si>
  <si>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</si>
  <si>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</si>
  <si>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</si>
  <si>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</si>
  <si>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</si>
  <si>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</si>
  <si>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</si>
  <si>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</si>
  <si>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</si>
  <si>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</si>
  <si>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</si>
  <si>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</si>
  <si>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</si>
  <si>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</si>
  <si>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</si>
  <si>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</si>
  <si>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</si>
  <si>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</si>
  <si>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</si>
  <si>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</si>
  <si>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</si>
  <si>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</si>
  <si>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</si>
  <si>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</si>
  <si>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</si>
  <si>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</si>
  <si>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</si>
  <si>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</si>
  <si>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</si>
  <si>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</si>
  <si>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</si>
  <si>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</si>
  <si>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</si>
  <si>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</si>
  <si>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</si>
  <si>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</si>
  <si>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</si>
  <si>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</si>
  <si>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</si>
  <si>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</si>
  <si>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</si>
  <si>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</si>
  <si>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</si>
  <si>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</si>
  <si>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</si>
  <si>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</si>
  <si>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</si>
  <si>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</si>
  <si>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</si>
  <si>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</si>
  <si>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</si>
  <si>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</si>
  <si>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</si>
  <si>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</si>
  <si>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</si>
  <si>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</si>
  <si>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</si>
  <si>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</si>
  <si>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</si>
  <si>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</si>
  <si>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</si>
  <si>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</si>
  <si>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</si>
  <si>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</si>
  <si>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</si>
  <si>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</si>
  <si>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</si>
  <si>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</si>
  <si>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</si>
  <si>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</si>
  <si>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</si>
  <si>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</si>
  <si>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</si>
  <si>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</si>
  <si>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</si>
  <si>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</si>
  <si>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</si>
  <si>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</si>
  <si>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</si>
  <si>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</si>
  <si>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</si>
  <si>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</si>
  <si>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</si>
  <si>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</si>
  <si>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</si>
  <si>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</si>
  <si>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</si>
  <si>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</si>
  <si>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</si>
  <si>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</si>
  <si>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</si>
  <si>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</si>
  <si>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</si>
  <si>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</si>
  <si>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</si>
  <si>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</si>
  <si>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</si>
  <si>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</si>
  <si>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</si>
  <si>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</si>
  <si>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</si>
  <si>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</si>
  <si>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</si>
  <si>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</si>
  <si>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</si>
  <si>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</si>
  <si>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</si>
  <si>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</si>
  <si>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</si>
  <si>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</si>
  <si>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</si>
  <si>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</si>
  <si>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</si>
  <si>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</si>
  <si>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</si>
  <si>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</si>
  <si>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</si>
  <si>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</si>
  <si>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</si>
  <si>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</si>
  <si>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</si>
  <si>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</si>
  <si>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</si>
  <si>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</si>
  <si>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</si>
  <si>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</si>
  <si>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</si>
  <si>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</si>
  <si>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</si>
  <si>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</si>
  <si>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</si>
  <si>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</si>
  <si>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</si>
  <si>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</si>
  <si>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</si>
  <si>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</si>
  <si>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</si>
  <si>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</si>
  <si>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</si>
  <si>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</si>
  <si>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</si>
  <si>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</si>
  <si>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</si>
  <si>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</si>
  <si>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</si>
  <si>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</si>
  <si>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</si>
  <si>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</si>
  <si>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</si>
  <si>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</si>
  <si>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</si>
  <si>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</si>
  <si>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</si>
  <si>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</si>
  <si>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</si>
  <si>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</si>
  <si>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</si>
  <si>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</si>
  <si>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</si>
  <si>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</si>
  <si>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</si>
  <si>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</si>
  <si>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</si>
  <si>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</si>
  <si>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</si>
  <si>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</si>
  <si>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</si>
  <si>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</si>
  <si>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</si>
  <si>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</si>
  <si>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</si>
  <si>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</si>
  <si>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</si>
  <si>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</si>
  <si>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</si>
  <si>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</si>
  <si>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</si>
  <si>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</si>
  <si>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</si>
  <si>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</si>
  <si>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</si>
  <si>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</si>
  <si>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</si>
  <si>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</si>
  <si>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</si>
  <si>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</si>
  <si>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</si>
  <si>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</si>
  <si>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</si>
  <si>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</si>
  <si>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</si>
  <si>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</si>
  <si>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</si>
  <si>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</si>
  <si>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</si>
  <si>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</si>
  <si>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</si>
  <si>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</si>
  <si>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</si>
  <si>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</si>
  <si>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</si>
  <si>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</si>
  <si>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</si>
  <si>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</si>
  <si>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</si>
  <si>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</si>
  <si>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</si>
  <si>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</si>
  <si>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</si>
  <si>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</si>
  <si>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</si>
  <si>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</si>
  <si>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</si>
  <si>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</si>
  <si>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</si>
  <si>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</si>
  <si>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</si>
  <si>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</si>
  <si>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</si>
  <si>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</si>
  <si>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</si>
  <si>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</si>
  <si>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</si>
  <si>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</si>
  <si>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</si>
  <si>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</si>
  <si>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</si>
  <si>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</si>
  <si>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</si>
  <si>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</si>
  <si>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</si>
  <si>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</si>
  <si>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</si>
  <si>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</si>
  <si>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</si>
  <si>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</si>
  <si>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</si>
  <si>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</si>
  <si>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</si>
  <si>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</si>
  <si>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</si>
  <si>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</si>
  <si>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</si>
  <si>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</si>
  <si>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</si>
  <si>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</si>
  <si>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</si>
  <si>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</si>
  <si>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</si>
  <si>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</si>
  <si>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</si>
  <si>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</si>
  <si>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</si>
  <si>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</si>
  <si>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</si>
  <si>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</si>
  <si>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</si>
  <si>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</si>
  <si>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</si>
  <si>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</si>
  <si>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</si>
  <si>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</si>
  <si>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</si>
  <si>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</si>
  <si>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</si>
  <si>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</si>
  <si>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</si>
  <si>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</si>
  <si>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</si>
  <si>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</si>
  <si>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</si>
  <si>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</si>
  <si>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</si>
  <si>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</si>
  <si>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</si>
  <si>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</si>
  <si>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</si>
  <si>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</si>
  <si>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</si>
  <si>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</si>
  <si>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</si>
  <si>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</si>
  <si>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</si>
  <si>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</si>
  <si>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</si>
  <si>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</si>
  <si>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</si>
  <si>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</si>
  <si>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</si>
  <si>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</si>
  <si>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</si>
  <si>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</si>
  <si>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</si>
  <si>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</si>
  <si>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</si>
  <si>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</si>
  <si>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</si>
  <si>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</si>
  <si>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</si>
  <si>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</si>
  <si>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</si>
  <si>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</si>
  <si>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</si>
  <si>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</si>
  <si>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</si>
  <si>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</si>
  <si>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</si>
  <si>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</si>
  <si>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</si>
  <si>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</si>
  <si>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</si>
  <si>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</si>
  <si>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</si>
  <si>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</si>
  <si>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</si>
  <si>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</si>
  <si>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</si>
  <si>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</si>
  <si>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</si>
  <si>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</si>
  <si>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</si>
  <si>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</si>
  <si>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</si>
  <si>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</si>
  <si>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</si>
  <si>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</si>
  <si>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</si>
  <si>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</si>
  <si>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</si>
  <si>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</si>
  <si>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</si>
  <si>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</si>
  <si>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</si>
  <si>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</si>
  <si>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</si>
  <si>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</si>
  <si>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</si>
  <si>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</si>
  <si>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</si>
  <si>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</si>
  <si>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</si>
  <si>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</si>
  <si>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</si>
  <si>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</si>
  <si>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</si>
  <si>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</si>
  <si>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</si>
  <si>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</si>
  <si>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</si>
  <si>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</si>
  <si>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</si>
  <si>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</si>
  <si>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</si>
  <si>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</si>
  <si>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</si>
  <si>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</si>
  <si>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</si>
  <si>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</si>
  <si>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</si>
  <si>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</si>
  <si>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</si>
  <si>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</si>
  <si>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</si>
  <si>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</si>
  <si>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</si>
  <si>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</si>
  <si>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</si>
  <si>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</si>
  <si>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</si>
  <si>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</si>
  <si>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</si>
  <si>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</si>
  <si>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</si>
  <si>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</si>
  <si>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</si>
  <si>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</si>
  <si>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</si>
  <si>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</si>
  <si>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</si>
  <si>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</si>
  <si>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</si>
  <si>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</si>
  <si>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</si>
  <si>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</si>
  <si>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</si>
  <si>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</si>
  <si>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</si>
  <si>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</si>
  <si>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</si>
  <si>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</si>
  <si>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</si>
  <si>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</si>
  <si>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</si>
  <si>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</si>
  <si>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</si>
  <si>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</si>
  <si>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</si>
  <si>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</si>
  <si>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</si>
  <si>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</si>
  <si>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</si>
  <si>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</si>
  <si>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</si>
  <si>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</si>
  <si>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</si>
  <si>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</si>
  <si>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</si>
  <si>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</si>
  <si>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</si>
  <si>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</si>
  <si>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</si>
  <si>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</si>
  <si>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</si>
  <si>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</si>
  <si>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</si>
  <si>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</si>
  <si>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</si>
  <si>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</si>
  <si>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</si>
  <si>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</si>
  <si>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</si>
  <si>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</si>
  <si>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</si>
  <si>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</si>
  <si>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</si>
  <si>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</si>
  <si>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</si>
  <si>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</si>
  <si>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</si>
  <si>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</si>
  <si>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</si>
  <si>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</si>
  <si>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</si>
  <si>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</si>
  <si>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</si>
  <si>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</si>
  <si>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</si>
  <si>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</si>
  <si>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</si>
  <si>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</si>
  <si>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</si>
  <si>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</si>
  <si>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</si>
  <si>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</si>
  <si>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</si>
  <si>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</si>
  <si>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</si>
  <si>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</si>
  <si>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</si>
  <si>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</si>
  <si>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</si>
  <si>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</si>
  <si>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</si>
  <si>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</si>
  <si>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</si>
  <si>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</si>
  <si>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</si>
  <si>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</si>
  <si>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</si>
  <si>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</si>
  <si>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</si>
  <si>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</si>
  <si>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</si>
  <si>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</si>
  <si>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</si>
  <si>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</si>
  <si>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</si>
  <si>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</si>
  <si>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</si>
  <si>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</si>
  <si>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</si>
  <si>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</si>
  <si>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</si>
  <si>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</si>
  <si>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</si>
  <si>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</si>
  <si>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</si>
  <si>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</si>
  <si>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</si>
  <si>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</si>
  <si>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</si>
  <si>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</si>
  <si>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</si>
  <si>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</si>
  <si>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</si>
  <si>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</si>
  <si>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</si>
  <si>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</si>
  <si>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</si>
  <si>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</si>
  <si>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</si>
  <si>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</si>
  <si>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</si>
  <si>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</si>
  <si>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</si>
  <si>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</si>
  <si>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</si>
  <si>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</si>
  <si>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</si>
  <si>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</si>
  <si>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</si>
  <si>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</si>
  <si>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</si>
  <si>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</si>
  <si>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</si>
  <si>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</si>
  <si>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</si>
  <si>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</si>
  <si>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</si>
  <si>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</si>
  <si>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</si>
  <si>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</si>
  <si>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</si>
  <si>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</si>
  <si>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</si>
  <si>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</si>
  <si>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</si>
  <si>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</si>
  <si>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</si>
  <si>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</si>
  <si>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</si>
  <si>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</si>
  <si>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</si>
  <si>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</si>
  <si>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</si>
  <si>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</si>
  <si>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</si>
  <si>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</si>
  <si>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</si>
  <si>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</si>
  <si>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</si>
  <si>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</si>
  <si>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</si>
  <si>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</si>
  <si>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</si>
  <si>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</si>
  <si>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</si>
  <si>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</si>
  <si>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</si>
  <si>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</si>
  <si>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</si>
  <si>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</si>
  <si>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</si>
  <si>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</si>
  <si>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</si>
  <si>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</si>
  <si>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</si>
  <si>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</si>
  <si>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</si>
  <si>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</si>
  <si>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</si>
  <si>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</si>
  <si>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</si>
  <si>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</si>
  <si>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</si>
  <si>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</si>
  <si>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</si>
  <si>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</si>
  <si>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</si>
  <si>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</si>
  <si>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</si>
  <si>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</si>
  <si>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</si>
  <si>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</si>
  <si>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</si>
  <si>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</si>
  <si>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</si>
  <si>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</si>
  <si>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</si>
  <si>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</si>
  <si>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</si>
  <si>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</si>
  <si>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</si>
  <si>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</si>
  <si>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</si>
  <si>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</si>
  <si>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</si>
  <si>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</si>
  <si>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</si>
  <si>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</si>
  <si>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</si>
  <si>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</si>
  <si>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</si>
  <si>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</si>
  <si>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</si>
  <si>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</si>
  <si>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</si>
  <si>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</si>
  <si>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</si>
  <si>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</si>
  <si>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</si>
  <si>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</si>
  <si>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</si>
  <si>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</si>
  <si>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</si>
  <si>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</si>
  <si>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</si>
  <si>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</si>
  <si>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</si>
  <si>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</si>
  <si>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</si>
  <si>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</si>
  <si>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</si>
  <si>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</si>
  <si>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</si>
  <si>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</si>
  <si>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</si>
  <si>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</si>
  <si>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</si>
  <si>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</si>
  <si>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</si>
  <si>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</si>
  <si>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</si>
  <si>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</si>
  <si>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</si>
  <si>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</si>
  <si>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</si>
  <si>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</si>
  <si>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</si>
  <si>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</si>
  <si>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</si>
  <si>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</si>
  <si>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</si>
  <si>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</si>
  <si>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</si>
  <si>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</si>
  <si>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</si>
  <si>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</si>
  <si>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</si>
  <si>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</si>
  <si>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</si>
  <si>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</si>
  <si>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</si>
  <si>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</si>
  <si>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</si>
  <si>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</si>
  <si>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</si>
  <si>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</si>
  <si>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</si>
  <si>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</si>
  <si>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</si>
  <si>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</si>
  <si>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</si>
  <si>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</si>
  <si>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</si>
  <si>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</si>
  <si>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</si>
  <si>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</si>
  <si>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</si>
  <si>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</si>
  <si>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</si>
  <si>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</si>
  <si>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</si>
  <si>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</si>
  <si>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</si>
  <si>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</si>
  <si>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</si>
  <si>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</si>
  <si>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</si>
  <si>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</si>
  <si>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</si>
  <si>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</si>
  <si>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</si>
  <si>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</si>
  <si>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</si>
  <si>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</si>
  <si>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</si>
  <si>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</si>
  <si>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</si>
  <si>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</si>
  <si>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</si>
  <si>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</si>
  <si>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</si>
  <si>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</si>
  <si>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</si>
  <si>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</si>
  <si>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</si>
  <si>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</si>
  <si>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</si>
  <si>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</si>
  <si>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</si>
  <si>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</si>
  <si>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</si>
  <si>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</si>
  <si>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</si>
  <si>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</si>
  <si>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</si>
  <si>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</si>
  <si>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</si>
  <si>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</si>
  <si>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</si>
  <si>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</si>
  <si>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</si>
  <si>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</si>
  <si>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</si>
  <si>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</si>
  <si>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</si>
  <si>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</si>
  <si>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</si>
  <si>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</si>
  <si>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</si>
  <si>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</si>
  <si>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</si>
  <si>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</si>
  <si>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</si>
  <si>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</si>
  <si>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</si>
  <si>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</si>
  <si>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</si>
  <si>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</si>
  <si>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</si>
  <si>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</si>
  <si>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</si>
  <si>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</si>
  <si>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</si>
  <si>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</si>
  <si>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</si>
  <si>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</si>
  <si>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</si>
  <si>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</si>
  <si>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</si>
  <si>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</si>
  <si>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</si>
  <si>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</si>
  <si>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</si>
  <si>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</si>
  <si>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</si>
  <si>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</si>
  <si>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</si>
  <si>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</si>
  <si>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</si>
  <si>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</si>
  <si>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</si>
  <si>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</si>
  <si>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</si>
  <si>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</si>
  <si>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</si>
  <si>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</si>
  <si>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</si>
  <si>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</si>
  <si>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</si>
  <si>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</si>
  <si>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</si>
  <si>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</si>
  <si>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</si>
  <si>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</si>
  <si>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</si>
  <si>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</si>
  <si>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</si>
  <si>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</si>
  <si>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</si>
  <si>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</si>
  <si>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</si>
  <si>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</si>
  <si>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</si>
  <si>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</si>
  <si>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</si>
  <si>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</si>
  <si>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</si>
  <si>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</si>
  <si>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</si>
  <si>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</si>
  <si>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</si>
  <si>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</si>
  <si>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</si>
  <si>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</si>
  <si>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</si>
  <si>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</si>
  <si>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</si>
  <si>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</si>
  <si>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</si>
  <si>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</si>
  <si>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</si>
  <si>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</si>
  <si>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</si>
  <si>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</si>
  <si>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</si>
  <si>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</si>
  <si>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</si>
  <si>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</si>
  <si>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</si>
  <si>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</si>
  <si>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</si>
  <si>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</si>
  <si>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</si>
  <si>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</si>
  <si>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</si>
  <si>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</si>
  <si>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</si>
  <si>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</si>
  <si>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</si>
  <si>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</si>
  <si>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</si>
  <si>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</si>
  <si>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</si>
  <si>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</si>
  <si>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</si>
  <si>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</si>
  <si>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</si>
  <si>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</si>
  <si>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</si>
  <si>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</si>
  <si>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</si>
  <si>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</si>
  <si>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</si>
  <si>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</si>
  <si>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</si>
  <si>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</si>
  <si>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</si>
  <si>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</si>
  <si>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</si>
  <si>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</si>
  <si>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</si>
  <si>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</si>
  <si>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</si>
  <si>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</si>
  <si>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</si>
  <si>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</si>
  <si>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</si>
  <si>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</si>
  <si>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</si>
  <si>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</si>
  <si>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</si>
  <si>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</si>
  <si>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</si>
  <si>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</si>
  <si>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</si>
  <si>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</si>
  <si>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</si>
  <si>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</si>
  <si>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</si>
  <si>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</si>
  <si>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</si>
  <si>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</si>
  <si>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</si>
  <si>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</si>
  <si>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</si>
  <si>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</si>
  <si>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</si>
  <si>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</si>
  <si>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</si>
  <si>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</si>
  <si>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</si>
  <si>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</si>
  <si>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</si>
  <si>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</si>
  <si>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</si>
  <si>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</si>
  <si>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</si>
  <si>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</si>
  <si>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</si>
  <si>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</si>
  <si>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</si>
  <si>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</si>
  <si>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</si>
  <si>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</si>
  <si>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</si>
  <si>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</si>
  <si>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</si>
  <si>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</si>
  <si>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</si>
  <si>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</si>
  <si>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</si>
  <si>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</si>
  <si>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</si>
  <si>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</si>
  <si>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</si>
  <si>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</si>
  <si>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</si>
  <si>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</si>
  <si>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</si>
  <si>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</si>
  <si>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</si>
  <si>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</si>
  <si>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</si>
  <si>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</si>
  <si>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</si>
  <si>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</si>
  <si>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</si>
  <si>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</si>
  <si>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</si>
  <si>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</si>
  <si>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</si>
  <si>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</si>
  <si>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</si>
  <si>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</si>
  <si>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</si>
  <si>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</si>
  <si>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</si>
  <si>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</si>
  <si>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</si>
  <si>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</si>
  <si>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</si>
  <si>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</si>
  <si>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</si>
  <si>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</si>
  <si>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</si>
  <si>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</si>
  <si>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</si>
  <si>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</si>
  <si>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</si>
  <si>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</si>
  <si>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</si>
  <si>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</si>
  <si>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</si>
  <si>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</si>
  <si>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</si>
  <si>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</si>
  <si>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</si>
  <si>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</si>
  <si>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</si>
  <si>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</si>
  <si>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</si>
  <si>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</si>
  <si>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</si>
  <si>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</si>
  <si>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</si>
  <si>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</si>
  <si>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</si>
  <si>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</si>
  <si>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</si>
  <si>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</si>
  <si>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</si>
  <si>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</si>
  <si>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</si>
  <si>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</si>
  <si>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</si>
  <si>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</si>
  <si>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</si>
  <si>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</si>
  <si>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</si>
  <si>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</si>
  <si>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</si>
  <si>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</si>
  <si>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</si>
  <si>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</si>
  <si>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</si>
  <si>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</si>
  <si>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</si>
  <si>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</si>
  <si>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</si>
  <si>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</si>
  <si>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</si>
  <si>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</si>
  <si>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</si>
  <si>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</si>
  <si>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</si>
  <si>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</si>
  <si>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</si>
  <si>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</si>
  <si>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</si>
  <si>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</si>
  <si>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</si>
  <si>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</si>
  <si>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</si>
  <si>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</si>
  <si>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</si>
  <si>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</si>
  <si>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</si>
  <si>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</si>
  <si>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</si>
  <si>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</si>
  <si>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</si>
  <si>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</si>
  <si>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</si>
  <si>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</si>
  <si>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</si>
  <si>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</si>
  <si>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</si>
  <si>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</si>
  <si>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</si>
  <si>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</si>
  <si>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</si>
  <si>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</si>
  <si>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</si>
  <si>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</si>
  <si>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</si>
  <si>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</si>
  <si>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</si>
  <si>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</si>
  <si>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</si>
  <si>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</si>
  <si>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</si>
  <si>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</si>
  <si>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</si>
  <si>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</si>
  <si>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</si>
  <si>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</si>
  <si>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</si>
  <si>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</si>
  <si>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</si>
  <si>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</si>
  <si>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</si>
  <si>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</si>
  <si>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</si>
  <si>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</si>
  <si>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</si>
  <si>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</si>
  <si>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</si>
  <si>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</si>
  <si>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</si>
  <si>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</si>
  <si>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</si>
  <si>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</si>
  <si>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</si>
  <si>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</si>
  <si>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</si>
  <si>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</si>
  <si>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</si>
  <si>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</si>
  <si>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</si>
  <si>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</si>
  <si>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</si>
  <si>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</si>
  <si>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</si>
  <si>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</si>
  <si>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</si>
  <si>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</si>
  <si>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</si>
  <si>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</si>
  <si>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</si>
  <si>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</si>
  <si>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</si>
  <si>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</si>
  <si>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</si>
  <si>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</si>
  <si>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</si>
  <si>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</si>
  <si>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</si>
  <si>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</si>
  <si>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</si>
  <si>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</si>
  <si>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</si>
  <si>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</si>
  <si>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</si>
  <si>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</si>
  <si>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</si>
  <si>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</si>
  <si>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</si>
  <si>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</si>
  <si>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</si>
  <si>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</si>
  <si>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</si>
  <si>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</si>
  <si>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</si>
  <si>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</si>
  <si>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</si>
  <si>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</si>
  <si>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</si>
  <si>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</si>
  <si>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</si>
  <si>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</si>
  <si>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</si>
  <si>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</si>
  <si>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</si>
  <si>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</si>
  <si>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</si>
  <si>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</si>
  <si>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</si>
  <si>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</si>
  <si>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</si>
  <si>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</si>
  <si>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</si>
  <si>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</si>
  <si>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</si>
  <si>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</si>
  <si>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</si>
  <si>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</si>
  <si>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</si>
  <si>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</si>
  <si>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</si>
  <si>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</si>
  <si>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</si>
  <si>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</si>
  <si>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</si>
  <si>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</si>
  <si>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</si>
  <si>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</si>
  <si>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</si>
  <si>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</si>
  <si>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</si>
  <si>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</si>
  <si>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</si>
  <si>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</si>
  <si>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</si>
  <si>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</si>
  <si>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</si>
  <si>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</si>
  <si>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</si>
  <si>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</si>
  <si>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</si>
  <si>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</si>
  <si>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</si>
  <si>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</si>
  <si>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</si>
  <si>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</si>
  <si>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</si>
  <si>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</si>
  <si>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</si>
  <si>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</si>
  <si>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</si>
  <si>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</si>
  <si>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</si>
  <si>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</si>
  <si>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</si>
  <si>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</si>
  <si>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</si>
  <si>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</si>
  <si>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</si>
  <si>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</si>
  <si>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</si>
  <si>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</si>
  <si>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</si>
  <si>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</si>
  <si>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</si>
  <si>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</si>
  <si>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</si>
  <si>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</si>
  <si>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</si>
  <si>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</si>
  <si>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</si>
  <si>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</si>
  <si>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</si>
  <si>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</si>
  <si>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</si>
  <si>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</si>
  <si>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</si>
  <si>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</si>
  <si>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</si>
  <si>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</si>
  <si>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</si>
  <si>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</si>
  <si>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</si>
  <si>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</si>
  <si>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</si>
  <si>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</si>
  <si>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</si>
  <si>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</si>
  <si>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</si>
  <si>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</si>
  <si>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</si>
  <si>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</si>
  <si>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</si>
  <si>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</si>
  <si>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</si>
  <si>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</si>
  <si>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</si>
  <si>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</si>
  <si>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</si>
  <si>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</si>
  <si>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</si>
  <si>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</si>
  <si>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</si>
  <si>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</si>
  <si>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</si>
  <si>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</si>
  <si>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</si>
  <si>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</si>
  <si>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</si>
  <si>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</si>
  <si>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</si>
  <si>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</si>
  <si>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</si>
  <si>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</si>
  <si>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</si>
  <si>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</si>
  <si>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</si>
  <si>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</si>
  <si>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</si>
  <si>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</si>
  <si>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</si>
  <si>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</si>
  <si>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</si>
  <si>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</si>
  <si>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</si>
  <si>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</si>
  <si>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</si>
  <si>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</si>
  <si>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</si>
  <si>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</si>
  <si>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</si>
  <si>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</si>
  <si>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</si>
  <si>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</si>
  <si>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</si>
  <si>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</si>
  <si>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</si>
  <si>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</si>
  <si>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</si>
  <si>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</si>
  <si>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</si>
  <si>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</si>
  <si>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</si>
  <si>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</si>
  <si>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</si>
  <si>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</si>
  <si>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</si>
  <si>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</si>
  <si>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</si>
  <si>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</si>
  <si>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</si>
  <si>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</si>
  <si>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</si>
  <si>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</si>
  <si>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</si>
  <si>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</si>
  <si>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</si>
  <si>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</si>
  <si>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</si>
  <si>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</si>
  <si>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</si>
  <si>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</si>
  <si>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</si>
  <si>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</si>
  <si>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</si>
  <si>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</si>
  <si>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</si>
  <si>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</si>
  <si>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</si>
  <si>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</si>
  <si>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</si>
  <si>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</si>
  <si>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</si>
  <si>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</si>
  <si>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</si>
  <si>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</si>
  <si>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</si>
  <si>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</si>
  <si>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</si>
  <si>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</si>
  <si>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</si>
  <si>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</si>
  <si>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</si>
  <si>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</si>
  <si>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</si>
  <si>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</si>
  <si>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</si>
  <si>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</si>
  <si>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</si>
  <si>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</si>
  <si>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</si>
  <si>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</si>
  <si>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</si>
  <si>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</si>
  <si>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</si>
  <si>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</si>
  <si>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</si>
  <si>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</si>
  <si>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</si>
  <si>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</si>
  <si>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</si>
  <si>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</si>
  <si>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</si>
  <si>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</si>
  <si>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</si>
  <si>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</si>
  <si>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</si>
  <si>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</si>
  <si>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</si>
  <si>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</si>
  <si>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</si>
  <si>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</si>
  <si>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</si>
  <si>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</si>
  <si>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</si>
  <si>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</si>
  <si>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</si>
  <si>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</si>
  <si>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</si>
  <si>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</si>
  <si>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</si>
  <si>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</si>
  <si>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</si>
  <si>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</si>
  <si>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</si>
  <si>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</si>
  <si>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</si>
  <si>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</si>
  <si>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</si>
  <si>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</si>
  <si>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</si>
  <si>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</si>
  <si>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</si>
  <si>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</si>
  <si>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</si>
  <si>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</si>
  <si>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</si>
  <si>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</si>
  <si>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</si>
  <si>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</si>
  <si>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</si>
  <si>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</si>
  <si>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</si>
  <si>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</si>
  <si>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</si>
  <si>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</si>
  <si>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</si>
  <si>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</si>
  <si>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</si>
  <si>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</si>
  <si>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</si>
  <si>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</si>
  <si>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</si>
  <si>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</si>
  <si>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</si>
  <si>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</si>
  <si>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</si>
  <si>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</si>
  <si>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</si>
  <si>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</si>
  <si>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</si>
  <si>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</si>
  <si>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</si>
  <si>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</si>
  <si>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</si>
  <si>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</si>
  <si>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</si>
  <si>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</si>
  <si>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</si>
  <si>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</si>
  <si>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</si>
  <si>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</si>
  <si>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</si>
  <si>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</si>
  <si>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</si>
  <si>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</si>
  <si>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</si>
  <si>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</si>
  <si>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</si>
  <si>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</si>
  <si>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</si>
  <si>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</si>
  <si>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</si>
  <si>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</si>
  <si>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</si>
  <si>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</si>
  <si>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</si>
  <si>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</si>
  <si>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</si>
  <si>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</si>
  <si>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</si>
  <si>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</si>
  <si>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</si>
  <si>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</si>
  <si>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</si>
  <si>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</si>
  <si>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</si>
  <si>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</si>
  <si>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</si>
  <si>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</si>
  <si>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</si>
  <si>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</si>
  <si>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</si>
  <si>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</si>
  <si>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</si>
  <si>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</si>
  <si>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</si>
  <si>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</si>
  <si>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</si>
  <si>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</si>
  <si>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</si>
  <si>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</si>
  <si>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</si>
  <si>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</si>
  <si>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</si>
  <si>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</si>
  <si>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</si>
  <si>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</si>
  <si>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</si>
  <si>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</si>
  <si>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</si>
  <si>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</si>
  <si>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</si>
  <si>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</si>
  <si>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</si>
  <si>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</si>
  <si>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</si>
  <si>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</si>
  <si>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出让年限</t>
  </si>
  <si>
    <t>竞报整体自持比例(%)</t>
  </si>
  <si>
    <t>竞报商品住房自持比例(%)</t>
  </si>
  <si>
    <t>竞报商办部分自持比例(%)</t>
  </si>
  <si>
    <t>土地星级</t>
  </si>
  <si>
    <t>挂牌</t>
  </si>
  <si>
    <t>未开工</t>
  </si>
  <si>
    <t>已成交</t>
  </si>
  <si>
    <t>50年</t>
  </si>
  <si>
    <t>0星</t>
  </si>
  <si>
    <t>大于或等于30</t>
  </si>
  <si>
    <t>溢价率</t>
  </si>
  <si>
    <t>大于或等于1</t>
  </si>
  <si>
    <t>大于或等于0.7</t>
  </si>
  <si>
    <t>开工中</t>
  </si>
  <si>
    <t>工程进度</t>
  </si>
  <si>
    <t>假设开发法</t>
  </si>
  <si>
    <t xml:space="preserve"> </t>
    <phoneticPr fontId="209" type="noConversion"/>
  </si>
  <si>
    <r>
      <t>2019</t>
    </r>
    <r>
      <rPr>
        <sz val="10"/>
        <color indexed="8"/>
        <rFont val="宋体"/>
        <family val="3"/>
        <charset val="134"/>
      </rPr>
      <t>年</t>
    </r>
    <phoneticPr fontId="209" type="noConversion"/>
  </si>
  <si>
    <r>
      <rPr>
        <sz val="10"/>
        <color indexed="8"/>
        <rFont val="宋体"/>
        <family val="3"/>
        <charset val="134"/>
      </rPr>
      <t>合计</t>
    </r>
    <r>
      <rPr>
        <sz val="10"/>
        <color indexed="8"/>
        <rFont val="Arial"/>
        <family val="2"/>
      </rPr>
      <t>8405</t>
    </r>
    <phoneticPr fontId="209" type="noConversion"/>
  </si>
  <si>
    <t>土地比较法-工业</t>
  </si>
  <si>
    <t>租金</t>
    <phoneticPr fontId="209" type="noConversion"/>
  </si>
  <si>
    <t>非经营性</t>
    <phoneticPr fontId="209" type="noConversion"/>
  </si>
  <si>
    <t>面积</t>
    <phoneticPr fontId="209" type="noConversion"/>
  </si>
  <si>
    <t>办公</t>
    <phoneticPr fontId="209" type="noConversion"/>
  </si>
  <si>
    <t>厂房</t>
    <phoneticPr fontId="209" type="noConversion"/>
  </si>
  <si>
    <t xml:space="preserve"> </t>
    <phoneticPr fontId="209" type="noConversion"/>
  </si>
  <si>
    <t>朝阳通美晶体科技有限公司</t>
    <phoneticPr fontId="209" type="noConversion"/>
  </si>
  <si>
    <t>辽宁省朝阳市</t>
    <phoneticPr fontId="209" type="noConversion"/>
  </si>
  <si>
    <t>朝阳喀左经济开发区</t>
    <phoneticPr fontId="209" type="noConversion"/>
  </si>
  <si>
    <t>1幢成品库房</t>
    <phoneticPr fontId="209" type="noConversion"/>
  </si>
  <si>
    <t>2幢生产车间</t>
    <phoneticPr fontId="209" type="noConversion"/>
  </si>
  <si>
    <t>3幢生产车间</t>
    <phoneticPr fontId="209" type="noConversion"/>
  </si>
  <si>
    <t>拿地</t>
    <phoneticPr fontId="209" type="noConversion"/>
  </si>
  <si>
    <t>总价</t>
    <phoneticPr fontId="209" type="noConversion"/>
  </si>
  <si>
    <t>4幢附属用房</t>
    <phoneticPr fontId="209" type="noConversion"/>
  </si>
  <si>
    <t>五通</t>
    <phoneticPr fontId="209" type="noConversion"/>
  </si>
  <si>
    <t>5幢仓库</t>
    <phoneticPr fontId="209" type="noConversion"/>
  </si>
  <si>
    <t>地面单价</t>
    <phoneticPr fontId="209" type="noConversion"/>
  </si>
  <si>
    <t>规划建筑</t>
    <phoneticPr fontId="209" type="noConversion"/>
  </si>
  <si>
    <t>剩余未建</t>
    <phoneticPr fontId="209" type="noConversion"/>
  </si>
  <si>
    <t>容积率</t>
    <phoneticPr fontId="209" type="noConversion"/>
  </si>
  <si>
    <t>集中供地</t>
  </si>
  <si>
    <t>拿地企业</t>
  </si>
  <si>
    <t>地面单价</t>
    <phoneticPr fontId="209" type="noConversion"/>
  </si>
  <si>
    <t>喀左县公营子镇端正村</t>
  </si>
  <si>
    <t>朝阳市</t>
  </si>
  <si>
    <t>喀喇沁左翼蒙古族自治县</t>
  </si>
  <si>
    <t>喀左县公营子镇端正村</t>
    <phoneticPr fontId="209" type="noConversion"/>
  </si>
  <si>
    <t>2020-kz-49</t>
  </si>
  <si>
    <t>大于0.8</t>
  </si>
  <si>
    <t>大于35</t>
  </si>
  <si>
    <t>2020-12-30</t>
  </si>
  <si>
    <t>2021-01-23</t>
  </si>
  <si>
    <t>2021-02-01</t>
  </si>
  <si>
    <t>喀自然告字[2020]14号</t>
  </si>
  <si>
    <t>朝阳鑫垚机械制造有限公司</t>
  </si>
  <si>
    <t>2020-kz-87</t>
  </si>
  <si>
    <t>朝阳华林环保科技有限公司</t>
  </si>
  <si>
    <t>南哨街道五道营子村、柏沟村</t>
  </si>
  <si>
    <t>2020-kz-77</t>
  </si>
  <si>
    <t>2020-10-19</t>
  </si>
  <si>
    <t>2020-11-10</t>
  </si>
  <si>
    <t>2020-11-19</t>
  </si>
  <si>
    <t>喀自然告字[2020]13号</t>
  </si>
  <si>
    <t>辽宁成润药业有限公司</t>
  </si>
  <si>
    <t>公营子镇端正村、土城子村</t>
  </si>
  <si>
    <t>2020-kz-75</t>
  </si>
  <si>
    <t>＞0.8</t>
  </si>
  <si>
    <t>&gt;35</t>
  </si>
  <si>
    <t>朝阳互通科技有限公司</t>
  </si>
  <si>
    <t>公营子镇土城子村、下三家村</t>
  </si>
  <si>
    <t>2020-kz-78</t>
  </si>
  <si>
    <t>朝阳康利康体育用品有限公司</t>
  </si>
  <si>
    <t>公营子镇下三家村</t>
  </si>
  <si>
    <t>2020-kz-76</t>
  </si>
  <si>
    <t>朝阳利恩新材料科技有限公司</t>
  </si>
  <si>
    <t>羊角沟镇大黄杖子村、烧锅杖子村、上窝铺村</t>
  </si>
  <si>
    <t>2020-kz-79</t>
  </si>
  <si>
    <t>喀左翔翼新能源开发有限公司</t>
  </si>
  <si>
    <t>2020-KZ-24</t>
  </si>
  <si>
    <t>2020-09-01</t>
  </si>
  <si>
    <t>2020-09-21</t>
  </si>
  <si>
    <t>2020-09-30</t>
  </si>
  <si>
    <t>喀自然告字[2020]11号</t>
  </si>
  <si>
    <t>朝阳三宏机械制造有限公司</t>
  </si>
  <si>
    <t>2020-kz-21</t>
  </si>
  <si>
    <t>朝阳昕锐科技智能装备有限公司</t>
  </si>
  <si>
    <t>2019-kz-31</t>
  </si>
  <si>
    <t>等于0.8</t>
  </si>
  <si>
    <t>等于35</t>
  </si>
  <si>
    <t>朝阳顺成陶瓷有限责任公司</t>
  </si>
  <si>
    <t>喀左县南哨街道梁家营子村</t>
  </si>
  <si>
    <t>2020-kz-40</t>
  </si>
  <si>
    <t>等于30</t>
  </si>
  <si>
    <t>喀左金茂达新型材料有限公司</t>
  </si>
  <si>
    <t>喀左县老爷庙镇十八奤村</t>
  </si>
  <si>
    <t>2020-kz-74</t>
  </si>
  <si>
    <t>等于1.06</t>
  </si>
  <si>
    <t>等于38.56</t>
  </si>
  <si>
    <t>2020-08-28</t>
  </si>
  <si>
    <t>2020-09-19</t>
  </si>
  <si>
    <t>2020-09-28</t>
  </si>
  <si>
    <t>喀自然告字[2020]10号</t>
  </si>
  <si>
    <t>朝阳韩伟蛋业有限公司</t>
  </si>
  <si>
    <t>喀左县兴隆庄镇头道洼村</t>
  </si>
  <si>
    <t>2020-kz-66</t>
  </si>
  <si>
    <t>2020-08-05</t>
  </si>
  <si>
    <t>2020-08-25</t>
  </si>
  <si>
    <t>2020-09-03</t>
  </si>
  <si>
    <t>喀自然告字[2020]9号</t>
  </si>
  <si>
    <t>喀左县康旺汽车修理有限司</t>
  </si>
  <si>
    <t>喀左县公营子镇桥子村</t>
  </si>
  <si>
    <t>2020-kz-65</t>
  </si>
  <si>
    <t>喀左宏发食品有限公司</t>
  </si>
  <si>
    <t>喀左县山嘴子镇炕杖子村</t>
  </si>
  <si>
    <t>2020-kz-63</t>
  </si>
  <si>
    <t>2020-07-23</t>
  </si>
  <si>
    <t>2020-08-12</t>
  </si>
  <si>
    <t>2020-08-21</t>
  </si>
  <si>
    <t>喀自然告字[2020]8号</t>
  </si>
  <si>
    <t>喀左县长实能源有限公司</t>
  </si>
  <si>
    <t>2020-kz-39</t>
  </si>
  <si>
    <t>2020-04-10</t>
  </si>
  <si>
    <t>2020-04-30</t>
  </si>
  <si>
    <t>2020-05-14</t>
  </si>
  <si>
    <t>喀自然告字[2020]4号</t>
  </si>
  <si>
    <t>朝阳昌达塑业有限公司</t>
  </si>
  <si>
    <t>喀左县南哨街道白音爱里村</t>
  </si>
  <si>
    <t>2019-kz-09</t>
  </si>
  <si>
    <t>喀左嘉泰塑业科技有限公司</t>
  </si>
  <si>
    <t>2019-05-06</t>
  </si>
  <si>
    <t>2019-05-27</t>
  </si>
  <si>
    <t>2019-06-05</t>
  </si>
  <si>
    <t>喀自然资告字[2019]7号</t>
  </si>
  <si>
    <t>喀左县公营子镇端正、土城子村</t>
  </si>
  <si>
    <t>2019-kz-35</t>
  </si>
  <si>
    <t>朝阳龙盛轻钢制品有限公司</t>
  </si>
  <si>
    <t>2020-kz-50</t>
  </si>
  <si>
    <t>朝阳凯威新型材料有限公司</t>
  </si>
  <si>
    <t>喀左县公营子镇端正村、土城子村</t>
  </si>
  <si>
    <t>2019-08-16</t>
  </si>
  <si>
    <t>2019-09-05</t>
  </si>
  <si>
    <t>2019-09-17</t>
  </si>
  <si>
    <t>喀自然资告字[2019]11号</t>
  </si>
  <si>
    <t>2020-kz-44</t>
  </si>
  <si>
    <t>2020-03-31</t>
  </si>
  <si>
    <t>2020-04-21</t>
  </si>
  <si>
    <t>喀自然告字[2020]3号</t>
  </si>
  <si>
    <t>喀左聚兴塑业科技有限公司</t>
  </si>
  <si>
    <t>2020-kz-10</t>
  </si>
  <si>
    <t>2020-02-19</t>
  </si>
  <si>
    <t>2020-03-10</t>
  </si>
  <si>
    <t>2020-03-19</t>
  </si>
  <si>
    <t>喀自然资告字[2020]2号</t>
  </si>
  <si>
    <t>朝阳金都橡塑有限公司</t>
  </si>
  <si>
    <t>2020-kz-06</t>
  </si>
  <si>
    <t>朝阳白塘口铸造有限公司</t>
  </si>
  <si>
    <t>2020-KZ-29</t>
  </si>
  <si>
    <t>朝阳华天科技环保有限公司</t>
  </si>
  <si>
    <t>2020-KZ-28</t>
  </si>
  <si>
    <t>朝阳三合智能装备制造有限公司</t>
  </si>
  <si>
    <t>喀左县公营子镇端正村、大垤卜村</t>
  </si>
  <si>
    <t>2020-kz-05</t>
  </si>
  <si>
    <t>朝阳康宏科技有限公司</t>
  </si>
  <si>
    <t>2020-KZ-25</t>
  </si>
  <si>
    <t>朝阳拓力矿山设备有限公司</t>
  </si>
  <si>
    <t>2020-KZ-23</t>
  </si>
  <si>
    <t>喀左鑫焱森科技有限公司</t>
  </si>
  <si>
    <t>喀左县公营子镇端正村、东垤卜村</t>
  </si>
  <si>
    <t>2020-KZ-15</t>
  </si>
  <si>
    <t>喀左实泰建材批发贸易有限公司</t>
  </si>
  <si>
    <t>2020-KZ-26</t>
  </si>
  <si>
    <t>朝阳兴锐机械工程设备有限公司</t>
  </si>
  <si>
    <t>2020-kz-14</t>
  </si>
  <si>
    <t>辽宁金凯源阀门制造有限公司</t>
  </si>
  <si>
    <t>2020-KZ-27</t>
  </si>
  <si>
    <t>朝阳正隆机械制造有限公司</t>
  </si>
  <si>
    <t>2020-KZ-30</t>
  </si>
  <si>
    <t>喀左四达工贸有限公司</t>
  </si>
  <si>
    <t>2020-kz-02</t>
  </si>
  <si>
    <t>2020-01-22</t>
  </si>
  <si>
    <t>2020-02-22</t>
  </si>
  <si>
    <t>2020-03-02</t>
  </si>
  <si>
    <t>喀自然告字[2020]1号</t>
  </si>
  <si>
    <t>朝阳旺源仓储物流有限公司</t>
  </si>
  <si>
    <t>2020-KZ-12</t>
  </si>
  <si>
    <t>大于0.6</t>
  </si>
  <si>
    <t>朝阳利美半导体科技有限公司</t>
  </si>
  <si>
    <t>喀左县公营子镇下三家村、土城子村</t>
  </si>
  <si>
    <t>2020-kz-03</t>
  </si>
  <si>
    <t>朝阳厚德新型建材有限公司</t>
  </si>
  <si>
    <t>2020-KZ-22</t>
  </si>
  <si>
    <t>天宇科技(朝阳)有限公司</t>
  </si>
  <si>
    <t>2020-KZ-17</t>
  </si>
  <si>
    <t>辽宁华顺通阀门有限公司</t>
  </si>
  <si>
    <t>2020-KZ-18</t>
  </si>
  <si>
    <t>辽宁润利装备制造有限公司</t>
  </si>
  <si>
    <t>2020-KZ-13</t>
  </si>
  <si>
    <t>辽宁省莱斯特阀门有限公司</t>
  </si>
  <si>
    <t>2020-KZ-09</t>
  </si>
  <si>
    <t>大川精工(朝阳)有限公司</t>
  </si>
  <si>
    <t>2020-KZ-19</t>
  </si>
  <si>
    <t>辽宁金辉医用设备有限公司</t>
  </si>
  <si>
    <t>2020-KZ-20</t>
  </si>
  <si>
    <t>辽宁金易合阀门有限公司</t>
  </si>
  <si>
    <t>2020-kz-07</t>
  </si>
  <si>
    <t>辽宁亿星装备制造有限公司</t>
  </si>
  <si>
    <t>2020-KZ-16</t>
  </si>
  <si>
    <t>辽宁东晟高新碳材有限公司</t>
  </si>
  <si>
    <t>2020-KZ-08</t>
  </si>
  <si>
    <t>朝阳宝瑞科技有限公司</t>
  </si>
  <si>
    <t>2020-KZ-11</t>
  </si>
  <si>
    <t>朝阳容鑫泰环保设备有限公司</t>
  </si>
  <si>
    <t>2020-kz-04</t>
  </si>
  <si>
    <t>辽宁兆金重型装备制造有限公司</t>
  </si>
  <si>
    <t>喀左县南哨街道南窑村</t>
  </si>
  <si>
    <t>2019-kz-11</t>
  </si>
  <si>
    <t>2019-12-06</t>
  </si>
  <si>
    <t>2019-12-29</t>
  </si>
  <si>
    <t>2020-01-08</t>
  </si>
  <si>
    <t>喀自然资告字[2019]12号</t>
  </si>
  <si>
    <t>喀左北印纸塑包装有限公司</t>
  </si>
  <si>
    <t>土地（套用方法）</t>
  </si>
  <si>
    <t>喀左县</t>
    <phoneticPr fontId="209" type="noConversion"/>
  </si>
  <si>
    <t>建筑物名称</t>
  </si>
  <si>
    <t>建筑面积平方米</t>
  </si>
  <si>
    <t>已办房产证</t>
  </si>
  <si>
    <t>1#厂房</t>
  </si>
  <si>
    <t>2#厂房</t>
  </si>
  <si>
    <t>9#厂房-成品库房</t>
  </si>
  <si>
    <t>附属用房-办公楼</t>
  </si>
  <si>
    <t>仓库-别墅</t>
  </si>
  <si>
    <t>未取得房产证</t>
  </si>
  <si>
    <t>配电站</t>
  </si>
  <si>
    <t>化学品库</t>
  </si>
  <si>
    <t>危废库</t>
  </si>
  <si>
    <t>燃气热交换站</t>
  </si>
  <si>
    <t>消防泵房</t>
  </si>
  <si>
    <t>甲类厂房</t>
  </si>
  <si>
    <t>原料库</t>
    <phoneticPr fontId="202" type="noConversion"/>
  </si>
  <si>
    <t>小纯水</t>
    <phoneticPr fontId="202" type="noConversion"/>
  </si>
  <si>
    <t>氢气库</t>
    <phoneticPr fontId="202" type="noConversion"/>
  </si>
  <si>
    <t>氧气库</t>
    <phoneticPr fontId="209" type="noConversion"/>
  </si>
  <si>
    <t>氮气氩气库</t>
    <phoneticPr fontId="209" type="noConversion"/>
  </si>
  <si>
    <t>固废库</t>
    <phoneticPr fontId="209" type="noConversion"/>
  </si>
  <si>
    <t>总计</t>
  </si>
  <si>
    <t>规划图</t>
    <phoneticPr fontId="209" type="noConversion"/>
  </si>
  <si>
    <t>已建</t>
    <phoneticPr fontId="209" type="noConversion"/>
  </si>
  <si>
    <r>
      <t>2</t>
    </r>
    <r>
      <rPr>
        <sz val="11"/>
        <color theme="1"/>
        <rFont val="宋体"/>
        <family val="3"/>
        <charset val="134"/>
        <scheme val="minor"/>
      </rPr>
      <t>A</t>
    </r>
    <phoneticPr fontId="209" type="noConversion"/>
  </si>
  <si>
    <t>2B</t>
    <phoneticPr fontId="209" type="noConversion"/>
  </si>
  <si>
    <t>小计</t>
    <phoneticPr fontId="209" type="noConversion"/>
  </si>
  <si>
    <t>未建</t>
    <phoneticPr fontId="209" type="noConversion"/>
  </si>
  <si>
    <t>锅炉房</t>
    <phoneticPr fontId="209" type="noConversion"/>
  </si>
  <si>
    <t>消防泵房</t>
    <phoneticPr fontId="209" type="noConversion"/>
  </si>
  <si>
    <t>消防水池</t>
    <phoneticPr fontId="209" type="noConversion"/>
  </si>
  <si>
    <t>甲类厂房</t>
    <phoneticPr fontId="209" type="noConversion"/>
  </si>
  <si>
    <t>甲类危废库</t>
    <phoneticPr fontId="209" type="noConversion"/>
  </si>
  <si>
    <t>甲类化学品库</t>
    <phoneticPr fontId="209" type="noConversion"/>
  </si>
  <si>
    <t>库房</t>
    <phoneticPr fontId="209" type="noConversion"/>
  </si>
  <si>
    <t>10号厂房设备区</t>
    <phoneticPr fontId="209" type="noConversion"/>
  </si>
  <si>
    <t>初期雨水池、事故池</t>
    <phoneticPr fontId="209" type="noConversion"/>
  </si>
  <si>
    <t>变电站</t>
    <phoneticPr fontId="209" type="noConversion"/>
  </si>
  <si>
    <t>11号厂房</t>
    <phoneticPr fontId="209" type="noConversion"/>
  </si>
  <si>
    <t>附属用房</t>
    <phoneticPr fontId="209" type="noConversion"/>
  </si>
  <si>
    <t>仓库</t>
    <phoneticPr fontId="209" type="noConversion"/>
  </si>
  <si>
    <t>原料库房</t>
    <phoneticPr fontId="209" type="noConversion"/>
  </si>
  <si>
    <t>集水坑</t>
    <phoneticPr fontId="209" type="noConversion"/>
  </si>
  <si>
    <t>氢气/氮气/氩气汇流设备区</t>
    <phoneticPr fontId="209" type="noConversion"/>
  </si>
  <si>
    <t>氧气汇流设备区</t>
    <phoneticPr fontId="209" type="noConversion"/>
  </si>
  <si>
    <t>11号厂房设备区</t>
    <phoneticPr fontId="209" type="noConversion"/>
  </si>
  <si>
    <t>氧气库</t>
    <phoneticPr fontId="209" type="noConversion"/>
  </si>
  <si>
    <t>氢气库</t>
    <phoneticPr fontId="209" type="noConversion"/>
  </si>
  <si>
    <t>氮气氩气库</t>
    <phoneticPr fontId="209" type="noConversion"/>
  </si>
  <si>
    <t>生产厂房四（二期）</t>
    <phoneticPr fontId="209" type="noConversion"/>
  </si>
  <si>
    <t>固废库</t>
    <phoneticPr fontId="209" type="noConversion"/>
  </si>
  <si>
    <t>设备操作区（二期）</t>
    <phoneticPr fontId="209" type="noConversion"/>
  </si>
  <si>
    <t>生产厂房二（二期）</t>
    <phoneticPr fontId="209" type="noConversion"/>
  </si>
  <si>
    <t>生产厂房一（二期）</t>
    <phoneticPr fontId="209" type="noConversion"/>
  </si>
  <si>
    <t>生产厂房五（二期）</t>
    <phoneticPr fontId="209" type="noConversion"/>
  </si>
  <si>
    <t>层数</t>
    <phoneticPr fontId="209" type="noConversion"/>
  </si>
  <si>
    <t>1层</t>
    <phoneticPr fontId="209" type="noConversion"/>
  </si>
  <si>
    <t>2层</t>
    <phoneticPr fontId="209" type="noConversion"/>
  </si>
  <si>
    <t>2层/局部1层</t>
    <phoneticPr fontId="209" type="noConversion"/>
  </si>
  <si>
    <t>4层/局部5层</t>
    <phoneticPr fontId="209" type="noConversion"/>
  </si>
  <si>
    <t>4层/局部5层</t>
    <phoneticPr fontId="209" type="noConversion"/>
  </si>
  <si>
    <t>6层</t>
    <phoneticPr fontId="209" type="noConversion"/>
  </si>
  <si>
    <t>占地面积</t>
    <phoneticPr fontId="209" type="noConversion"/>
  </si>
  <si>
    <t>地上建筑面积</t>
    <phoneticPr fontId="209" type="noConversion"/>
  </si>
  <si>
    <t>合计</t>
    <phoneticPr fontId="209" type="noConversion"/>
  </si>
  <si>
    <t>——</t>
    <phoneticPr fontId="209" type="noConversion"/>
  </si>
  <si>
    <t>契税</t>
    <phoneticPr fontId="209" type="noConversion"/>
  </si>
  <si>
    <t>地价款票据</t>
    <phoneticPr fontId="209" type="noConversion"/>
  </si>
  <si>
    <t>表示有测绘报告</t>
    <phoneticPr fontId="209" type="noConversion"/>
  </si>
  <si>
    <t>表示取得产权证</t>
    <phoneticPr fontId="209" type="noConversion"/>
  </si>
  <si>
    <t>表示面积有变化</t>
    <phoneticPr fontId="209" type="noConversion"/>
  </si>
  <si>
    <t>——</t>
    <phoneticPr fontId="209" type="noConversion"/>
  </si>
  <si>
    <t>测绘（按土地）</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</si>
</sst>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2">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
      <color rgb="FFFF0000"/>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20">
    <xf numFmtId="0" fontId="0" fillId="0" borderId="0" xfId="0">
      <alignment vertical="center"/>
    </xf>
    <xf numFmtId="0" fontId="0" fillId="0" borderId="0" xfId="0" applyAlignment="1"/>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3" applyFont="1" applyFill="1"/>
    <xf numFmtId="0" fontId="10" fillId="0" borderId="0" xfId="13" applyFont="1"/>
    <xf numFmtId="0" fontId="11" fillId="3" borderId="5" xfId="13" applyFont="1" applyFill="1" applyBorder="1"/>
    <xf numFmtId="0" fontId="12" fillId="3" borderId="6" xfId="13" applyFont="1" applyFill="1" applyBorder="1" applyAlignment="1">
      <alignment horizontal="center"/>
    </xf>
    <xf numFmtId="14" fontId="11" fillId="3" borderId="6" xfId="13" applyNumberFormat="1" applyFont="1" applyFill="1" applyBorder="1" applyAlignment="1" applyProtection="1">
      <alignment horizontal="center"/>
    </xf>
    <xf numFmtId="0" fontId="11" fillId="3" borderId="6" xfId="13" applyFont="1" applyFill="1" applyBorder="1" applyAlignment="1" applyProtection="1">
      <alignment horizontal="center"/>
    </xf>
    <xf numFmtId="10" fontId="11" fillId="3" borderId="6" xfId="13" applyNumberFormat="1" applyFont="1" applyFill="1" applyBorder="1" applyAlignment="1">
      <alignment horizontal="center"/>
    </xf>
    <xf numFmtId="0" fontId="13" fillId="3" borderId="0" xfId="0" applyFont="1" applyFill="1" applyAlignment="1"/>
    <xf numFmtId="0" fontId="14" fillId="3" borderId="0" xfId="13" applyFont="1" applyFill="1"/>
    <xf numFmtId="0" fontId="10" fillId="3" borderId="7" xfId="13" applyFont="1" applyFill="1" applyBorder="1"/>
    <xf numFmtId="0" fontId="15" fillId="3" borderId="8" xfId="13" applyFont="1" applyFill="1" applyBorder="1" applyAlignment="1">
      <alignment horizontal="center" vertical="center" wrapText="1"/>
    </xf>
    <xf numFmtId="0" fontId="10" fillId="3" borderId="9" xfId="13" applyFont="1" applyFill="1" applyBorder="1" applyAlignment="1">
      <alignment horizontal="center"/>
    </xf>
    <xf numFmtId="0" fontId="15" fillId="3" borderId="7" xfId="13" applyFont="1" applyFill="1" applyBorder="1" applyAlignment="1">
      <alignment horizontal="center" vertical="center" wrapText="1"/>
    </xf>
    <xf numFmtId="0" fontId="10" fillId="3" borderId="8" xfId="13" applyNumberFormat="1" applyFont="1" applyFill="1" applyBorder="1" applyAlignment="1">
      <alignment horizontal="center"/>
    </xf>
    <xf numFmtId="0" fontId="10" fillId="3" borderId="10" xfId="13" applyFont="1" applyFill="1" applyBorder="1"/>
    <xf numFmtId="0" fontId="15" fillId="3" borderId="1" xfId="13" applyFont="1" applyFill="1" applyBorder="1" applyAlignment="1">
      <alignment horizontal="center" vertical="center" wrapText="1"/>
    </xf>
    <xf numFmtId="0" fontId="10" fillId="3" borderId="11" xfId="13" applyFont="1" applyFill="1" applyBorder="1" applyAlignment="1">
      <alignment horizontal="center"/>
    </xf>
    <xf numFmtId="0" fontId="15" fillId="3" borderId="10" xfId="13" applyFont="1" applyFill="1" applyBorder="1" applyAlignment="1">
      <alignment horizontal="center" vertical="center" wrapText="1"/>
    </xf>
    <xf numFmtId="0" fontId="10" fillId="3" borderId="1" xfId="13" applyNumberFormat="1" applyFont="1" applyFill="1" applyBorder="1" applyAlignment="1">
      <alignment horizontal="center"/>
    </xf>
    <xf numFmtId="0" fontId="10" fillId="3" borderId="12" xfId="13" applyFont="1" applyFill="1" applyBorder="1"/>
    <xf numFmtId="0" fontId="15" fillId="3" borderId="13" xfId="13" applyFont="1" applyFill="1" applyBorder="1" applyAlignment="1">
      <alignment horizontal="center" vertical="center" wrapText="1"/>
    </xf>
    <xf numFmtId="0" fontId="10" fillId="3" borderId="14" xfId="13" applyFont="1" applyFill="1" applyBorder="1" applyAlignment="1">
      <alignment horizontal="center"/>
    </xf>
    <xf numFmtId="0" fontId="15" fillId="3" borderId="12" xfId="13" applyFont="1" applyFill="1" applyBorder="1" applyAlignment="1">
      <alignment horizontal="center" vertical="center" wrapText="1"/>
    </xf>
    <xf numFmtId="0" fontId="10" fillId="3" borderId="13" xfId="13" applyNumberFormat="1" applyFont="1" applyFill="1" applyBorder="1" applyAlignment="1">
      <alignment horizontal="center"/>
    </xf>
    <xf numFmtId="0" fontId="10" fillId="3" borderId="0" xfId="13" applyNumberFormat="1" applyFont="1" applyFill="1" applyAlignment="1">
      <alignment horizontal="center"/>
    </xf>
    <xf numFmtId="0" fontId="10" fillId="3" borderId="0" xfId="13" applyFont="1" applyFill="1" applyAlignment="1">
      <alignment horizontal="right"/>
    </xf>
    <xf numFmtId="14" fontId="10" fillId="3" borderId="0" xfId="13" applyNumberFormat="1" applyFont="1" applyFill="1" applyAlignment="1">
      <alignment horizontal="center"/>
    </xf>
    <xf numFmtId="0" fontId="16" fillId="3" borderId="0" xfId="13" applyNumberFormat="1" applyFont="1" applyFill="1" applyAlignment="1">
      <alignment horizontal="center"/>
    </xf>
    <xf numFmtId="0" fontId="17" fillId="3" borderId="0" xfId="13" applyFont="1" applyFill="1" applyAlignment="1">
      <alignment horizontal="left"/>
    </xf>
    <xf numFmtId="14" fontId="16" fillId="3" borderId="0" xfId="13" applyNumberFormat="1" applyFont="1" applyFill="1" applyAlignment="1">
      <alignment horizontal="center"/>
    </xf>
    <xf numFmtId="0" fontId="16" fillId="3" borderId="0" xfId="13" applyFont="1" applyFill="1"/>
    <xf numFmtId="0" fontId="18" fillId="3" borderId="0" xfId="13" applyFont="1" applyFill="1"/>
    <xf numFmtId="0" fontId="19" fillId="3" borderId="0" xfId="13" applyFont="1" applyFill="1"/>
    <xf numFmtId="0" fontId="15" fillId="3" borderId="0" xfId="13" applyFont="1" applyFill="1" applyAlignment="1"/>
    <xf numFmtId="0" fontId="12" fillId="3" borderId="15" xfId="13" applyFont="1" applyFill="1" applyBorder="1" applyAlignment="1">
      <alignment horizontal="center" vertical="center"/>
    </xf>
    <xf numFmtId="0" fontId="12" fillId="3" borderId="15" xfId="13" applyFont="1" applyFill="1" applyBorder="1" applyAlignment="1">
      <alignment vertical="center"/>
    </xf>
    <xf numFmtId="0" fontId="12" fillId="3" borderId="2" xfId="13" applyFont="1" applyFill="1" applyBorder="1" applyAlignment="1">
      <alignment vertical="center"/>
    </xf>
    <xf numFmtId="0" fontId="12" fillId="3" borderId="4" xfId="13" applyFont="1" applyFill="1" applyBorder="1" applyAlignment="1">
      <alignment vertical="center"/>
    </xf>
    <xf numFmtId="0" fontId="12" fillId="3" borderId="3" xfId="13" applyFont="1" applyFill="1" applyBorder="1" applyAlignment="1">
      <alignment vertical="center"/>
    </xf>
    <xf numFmtId="0" fontId="15" fillId="3" borderId="0" xfId="13" applyFont="1" applyFill="1"/>
    <xf numFmtId="0" fontId="12" fillId="3" borderId="16" xfId="13" applyFont="1" applyFill="1" applyBorder="1" applyAlignment="1">
      <alignment horizontal="center" vertical="center" wrapText="1"/>
    </xf>
    <xf numFmtId="0" fontId="12" fillId="3" borderId="16" xfId="13" applyFont="1" applyFill="1" applyBorder="1" applyAlignment="1">
      <alignment vertical="center" wrapText="1"/>
    </xf>
    <xf numFmtId="0" fontId="10" fillId="3" borderId="1" xfId="13" applyFont="1" applyFill="1" applyBorder="1"/>
    <xf numFmtId="0" fontId="20" fillId="3" borderId="0" xfId="13" applyFont="1" applyFill="1" applyAlignment="1">
      <alignment vertical="center"/>
    </xf>
    <xf numFmtId="0" fontId="20" fillId="3" borderId="1" xfId="13" applyFont="1" applyFill="1" applyBorder="1" applyAlignment="1">
      <alignment horizontal="left" vertical="center" wrapText="1"/>
    </xf>
    <xf numFmtId="178" fontId="20" fillId="3" borderId="1" xfId="13" applyNumberFormat="1" applyFont="1" applyFill="1" applyBorder="1" applyAlignment="1">
      <alignment horizontal="center" vertical="center" wrapText="1"/>
    </xf>
    <xf numFmtId="0" fontId="20" fillId="3" borderId="1" xfId="13" applyFont="1" applyFill="1" applyBorder="1" applyAlignment="1">
      <alignment horizontal="center" vertical="center" wrapText="1"/>
    </xf>
    <xf numFmtId="0" fontId="10" fillId="3" borderId="1" xfId="13" applyFont="1" applyFill="1" applyBorder="1" applyAlignment="1">
      <alignment horizontal="center" wrapText="1"/>
    </xf>
    <xf numFmtId="14" fontId="10" fillId="3" borderId="1" xfId="13" applyNumberFormat="1" applyFont="1" applyFill="1" applyBorder="1" applyAlignment="1">
      <alignment horizontal="center" wrapText="1"/>
    </xf>
    <xf numFmtId="14" fontId="21" fillId="3" borderId="1" xfId="13" applyNumberFormat="1" applyFont="1" applyFill="1" applyBorder="1" applyAlignment="1">
      <alignment horizontal="center" wrapText="1"/>
    </xf>
    <xf numFmtId="0" fontId="10" fillId="3" borderId="0" xfId="13" applyFont="1" applyFill="1" applyBorder="1" applyAlignment="1">
      <alignment horizontal="center" wrapText="1"/>
    </xf>
    <xf numFmtId="14" fontId="10" fillId="3" borderId="0" xfId="13" applyNumberFormat="1" applyFont="1" applyFill="1" applyBorder="1" applyAlignment="1">
      <alignment horizontal="center" wrapText="1"/>
    </xf>
    <xf numFmtId="185" fontId="12" fillId="3" borderId="5" xfId="13" applyNumberFormat="1" applyFont="1" applyFill="1" applyBorder="1" applyAlignment="1">
      <alignment horizontal="center"/>
    </xf>
    <xf numFmtId="0" fontId="12" fillId="3" borderId="1" xfId="13" applyFont="1" applyFill="1" applyBorder="1" applyAlignment="1">
      <alignment horizontal="center" vertical="center" wrapText="1"/>
    </xf>
    <xf numFmtId="14" fontId="20" fillId="3" borderId="1" xfId="13" applyNumberFormat="1" applyFont="1" applyFill="1" applyBorder="1" applyAlignment="1">
      <alignment horizontal="center" vertical="center" wrapText="1"/>
    </xf>
    <xf numFmtId="189" fontId="22" fillId="3"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4" borderId="0" xfId="13"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2" applyFont="1" applyFill="1" applyBorder="1" applyAlignment="1" applyProtection="1">
      <alignment vertical="center"/>
    </xf>
    <xf numFmtId="0" fontId="29" fillId="3" borderId="38" xfId="12" applyFont="1" applyFill="1" applyBorder="1" applyAlignment="1" applyProtection="1">
      <alignment vertical="center"/>
    </xf>
    <xf numFmtId="0" fontId="29" fillId="3" borderId="31" xfId="12" applyFont="1" applyFill="1" applyBorder="1" applyAlignment="1" applyProtection="1">
      <alignment vertical="center"/>
    </xf>
    <xf numFmtId="0" fontId="29" fillId="3" borderId="0" xfId="12" applyFont="1" applyFill="1" applyBorder="1" applyAlignment="1" applyProtection="1">
      <alignment vertical="center"/>
    </xf>
    <xf numFmtId="0" fontId="29" fillId="3" borderId="1" xfId="12" applyFont="1" applyFill="1" applyBorder="1" applyAlignment="1" applyProtection="1">
      <alignment vertical="center"/>
    </xf>
    <xf numFmtId="185" fontId="29" fillId="3" borderId="1" xfId="12" applyNumberFormat="1" applyFont="1" applyFill="1" applyBorder="1" applyAlignment="1" applyProtection="1">
      <alignment horizontal="right" vertical="center"/>
    </xf>
    <xf numFmtId="0" fontId="33" fillId="3" borderId="0" xfId="12" applyFont="1" applyFill="1" applyBorder="1" applyAlignment="1" applyProtection="1">
      <alignment vertical="center"/>
    </xf>
    <xf numFmtId="0" fontId="29" fillId="3" borderId="15" xfId="12" applyFont="1" applyFill="1" applyBorder="1" applyAlignment="1" applyProtection="1">
      <alignment vertical="center"/>
    </xf>
    <xf numFmtId="0" fontId="29" fillId="3" borderId="15" xfId="12" applyFont="1" applyFill="1" applyBorder="1" applyAlignment="1" applyProtection="1">
      <alignment horizontal="right" vertical="center"/>
    </xf>
    <xf numFmtId="49" fontId="29" fillId="3" borderId="37" xfId="12" applyNumberFormat="1" applyFont="1" applyFill="1" applyBorder="1" applyAlignment="1" applyProtection="1"/>
    <xf numFmtId="49" fontId="29" fillId="3" borderId="38" xfId="12" applyNumberFormat="1" applyFont="1" applyFill="1" applyBorder="1" applyAlignment="1" applyProtection="1"/>
    <xf numFmtId="49" fontId="29" fillId="3" borderId="39" xfId="12" applyNumberFormat="1" applyFont="1" applyFill="1" applyBorder="1" applyAlignment="1" applyProtection="1"/>
    <xf numFmtId="49" fontId="30" fillId="3" borderId="10" xfId="12" applyNumberFormat="1" applyFont="1" applyFill="1" applyBorder="1" applyAlignment="1" applyProtection="1">
      <alignment horizontal="left"/>
    </xf>
    <xf numFmtId="0" fontId="30" fillId="3" borderId="2" xfId="12" applyFont="1" applyFill="1" applyBorder="1" applyAlignment="1" applyProtection="1"/>
    <xf numFmtId="185" fontId="30" fillId="3" borderId="1" xfId="12" applyNumberFormat="1" applyFont="1" applyFill="1" applyBorder="1" applyAlignment="1" applyProtection="1">
      <alignment horizontal="center"/>
    </xf>
    <xf numFmtId="0" fontId="30" fillId="3" borderId="1" xfId="12" applyFont="1" applyFill="1" applyBorder="1" applyAlignment="1" applyProtection="1">
      <alignment horizontal="center"/>
    </xf>
    <xf numFmtId="0" fontId="30" fillId="3" borderId="11" xfId="12" applyFont="1" applyFill="1" applyBorder="1" applyAlignment="1" applyProtection="1">
      <alignment horizontal="left"/>
    </xf>
    <xf numFmtId="49" fontId="31" fillId="3" borderId="10" xfId="12" applyNumberFormat="1" applyFont="1" applyFill="1" applyBorder="1" applyAlignment="1" applyProtection="1">
      <alignment horizontal="center"/>
    </xf>
    <xf numFmtId="0" fontId="31" fillId="3" borderId="2" xfId="12" applyFont="1" applyFill="1" applyBorder="1" applyAlignment="1" applyProtection="1"/>
    <xf numFmtId="185" fontId="31" fillId="0" borderId="1" xfId="12" applyNumberFormat="1" applyFont="1" applyFill="1" applyBorder="1" applyAlignment="1" applyProtection="1">
      <alignment horizontal="center"/>
      <protection locked="0"/>
    </xf>
    <xf numFmtId="189" fontId="31" fillId="3" borderId="1" xfId="12" applyNumberFormat="1" applyFont="1" applyFill="1" applyBorder="1" applyAlignment="1" applyProtection="1">
      <alignment horizontal="center"/>
    </xf>
    <xf numFmtId="0" fontId="31" fillId="3" borderId="1" xfId="12" applyFont="1" applyFill="1" applyBorder="1" applyAlignment="1" applyProtection="1">
      <alignment horizontal="center"/>
    </xf>
    <xf numFmtId="0" fontId="31" fillId="3" borderId="11" xfId="12" applyFont="1" applyFill="1" applyBorder="1" applyAlignment="1" applyProtection="1">
      <alignment horizontal="left"/>
    </xf>
    <xf numFmtId="185" fontId="31" fillId="3" borderId="1" xfId="12" applyNumberFormat="1" applyFont="1" applyFill="1" applyBorder="1" applyAlignment="1" applyProtection="1">
      <alignment horizontal="center"/>
    </xf>
    <xf numFmtId="10" fontId="31" fillId="3" borderId="1" xfId="12" applyNumberFormat="1" applyFont="1" applyFill="1" applyBorder="1" applyAlignment="1" applyProtection="1">
      <alignment horizontal="center"/>
    </xf>
    <xf numFmtId="185" fontId="31" fillId="3" borderId="1" xfId="12" applyNumberFormat="1" applyFont="1" applyFill="1" applyBorder="1" applyAlignment="1" applyProtection="1"/>
    <xf numFmtId="0" fontId="34" fillId="4" borderId="11" xfId="12" applyFont="1" applyFill="1" applyBorder="1" applyAlignment="1" applyProtection="1">
      <alignment horizontal="left" vertical="center"/>
      <protection locked="0"/>
    </xf>
    <xf numFmtId="0" fontId="35" fillId="3" borderId="10" xfId="12" applyFont="1" applyFill="1" applyBorder="1" applyAlignment="1" applyProtection="1">
      <alignment horizontal="right"/>
    </xf>
    <xf numFmtId="0" fontId="35" fillId="3" borderId="2" xfId="12" applyFont="1" applyFill="1" applyBorder="1" applyAlignment="1" applyProtection="1"/>
    <xf numFmtId="185" fontId="35" fillId="3" borderId="1" xfId="12" applyNumberFormat="1" applyFont="1" applyFill="1" applyBorder="1" applyAlignment="1" applyProtection="1">
      <alignment horizontal="center"/>
    </xf>
    <xf numFmtId="0" fontId="35" fillId="3" borderId="1" xfId="12" applyNumberFormat="1" applyFont="1" applyFill="1" applyBorder="1" applyAlignment="1" applyProtection="1"/>
    <xf numFmtId="0" fontId="31" fillId="3" borderId="11" xfId="12" applyFont="1" applyFill="1" applyBorder="1" applyAlignment="1" applyProtection="1">
      <alignment vertical="center" wrapText="1"/>
    </xf>
    <xf numFmtId="0" fontId="31" fillId="3" borderId="10" xfId="12" applyFont="1" applyFill="1" applyBorder="1" applyAlignment="1" applyProtection="1">
      <alignment horizontal="left"/>
    </xf>
    <xf numFmtId="0" fontId="31" fillId="3" borderId="1" xfId="12" applyNumberFormat="1" applyFont="1" applyFill="1" applyBorder="1" applyAlignment="1" applyProtection="1">
      <alignment horizontal="center"/>
    </xf>
    <xf numFmtId="0" fontId="31" fillId="3" borderId="0" xfId="12"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2" applyNumberFormat="1" applyFont="1" applyFill="1" applyBorder="1" applyAlignment="1" applyProtection="1">
      <alignment horizontal="left"/>
    </xf>
    <xf numFmtId="0" fontId="30" fillId="3" borderId="1" xfId="12" applyNumberFormat="1" applyFont="1" applyFill="1" applyBorder="1" applyAlignment="1" applyProtection="1">
      <alignment horizontal="center"/>
    </xf>
    <xf numFmtId="9" fontId="30" fillId="3" borderId="2" xfId="12"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2"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2"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2"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2" applyFont="1" applyFill="1" applyBorder="1" applyAlignment="1" applyProtection="1">
      <alignment vertical="center"/>
    </xf>
    <xf numFmtId="185" fontId="30" fillId="3" borderId="1" xfId="12" applyNumberFormat="1" applyFont="1" applyFill="1" applyBorder="1" applyAlignment="1" applyProtection="1">
      <alignment horizontal="center" vertical="center"/>
    </xf>
    <xf numFmtId="9" fontId="30" fillId="3" borderId="2" xfId="12"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2" applyFont="1" applyFill="1" applyBorder="1" applyAlignment="1" applyProtection="1">
      <alignment horizontal="left"/>
    </xf>
    <xf numFmtId="185" fontId="31" fillId="3" borderId="1" xfId="12" applyNumberFormat="1" applyFont="1" applyFill="1" applyBorder="1" applyAlignment="1" applyProtection="1">
      <alignment horizontal="center" vertical="center"/>
    </xf>
    <xf numFmtId="0" fontId="30" fillId="3" borderId="10" xfId="12" applyFont="1" applyFill="1" applyBorder="1" applyAlignment="1" applyProtection="1">
      <alignment horizontal="left"/>
    </xf>
    <xf numFmtId="189" fontId="30" fillId="3" borderId="1" xfId="12" applyNumberFormat="1" applyFont="1" applyFill="1" applyBorder="1" applyAlignment="1" applyProtection="1">
      <alignment horizontal="center"/>
    </xf>
    <xf numFmtId="9" fontId="30" fillId="3" borderId="1" xfId="12" applyNumberFormat="1" applyFont="1" applyFill="1" applyBorder="1" applyAlignment="1" applyProtection="1">
      <alignment horizontal="center"/>
    </xf>
    <xf numFmtId="49" fontId="29" fillId="3" borderId="41" xfId="12" applyNumberFormat="1" applyFont="1" applyFill="1" applyBorder="1" applyAlignment="1" applyProtection="1"/>
    <xf numFmtId="49" fontId="29" fillId="3" borderId="3" xfId="12" applyNumberFormat="1" applyFont="1" applyFill="1" applyBorder="1" applyAlignment="1" applyProtection="1"/>
    <xf numFmtId="49" fontId="29" fillId="3" borderId="42" xfId="12"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2" applyNumberFormat="1" applyFont="1" applyFill="1" applyBorder="1" applyAlignment="1" applyProtection="1">
      <alignment horizontal="center"/>
    </xf>
    <xf numFmtId="10" fontId="31" fillId="3" borderId="2" xfId="12"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2"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2" applyNumberFormat="1" applyFont="1" applyFill="1" applyBorder="1" applyAlignment="1" applyProtection="1">
      <alignment horizontal="center" vertical="center"/>
    </xf>
    <xf numFmtId="49" fontId="29" fillId="3" borderId="44" xfId="12" applyNumberFormat="1" applyFont="1" applyFill="1" applyBorder="1" applyAlignment="1" applyProtection="1"/>
    <xf numFmtId="49" fontId="29" fillId="3" borderId="45" xfId="12"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2"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2"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2"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0"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4"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3" borderId="74" xfId="8" applyFont="1" applyFill="1" applyBorder="1" applyAlignment="1" applyProtection="1">
      <alignment horizontal="center" vertical="center"/>
    </xf>
    <xf numFmtId="0" fontId="47" fillId="3"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1" fillId="9" borderId="0" xfId="4" applyFont="1" applyFill="1">
      <alignment vertical="center"/>
    </xf>
    <xf numFmtId="0" fontId="48" fillId="9" borderId="0" xfId="8" applyFont="1" applyFill="1" applyAlignment="1" applyProtection="1">
      <alignment horizontal="center" vertical="center"/>
    </xf>
    <xf numFmtId="0" fontId="47" fillId="9" borderId="0" xfId="8" applyFont="1" applyFill="1" applyAlignment="1" applyProtection="1">
      <alignment horizontal="center" vertical="center"/>
    </xf>
    <xf numFmtId="0" fontId="42" fillId="9" borderId="75" xfId="4" applyFont="1" applyFill="1" applyBorder="1" applyAlignment="1">
      <alignment horizontal="center" vertical="center"/>
    </xf>
    <xf numFmtId="0" fontId="42" fillId="9"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1" fillId="10" borderId="1" xfId="4" applyNumberFormat="1" applyFont="1" applyFill="1" applyBorder="1" applyAlignment="1" applyProtection="1">
      <alignment horizontal="center" vertical="center" wrapText="1"/>
    </xf>
    <xf numFmtId="191" fontId="43" fillId="10" borderId="0" xfId="4" applyNumberFormat="1" applyFont="1" applyFill="1" applyAlignment="1">
      <alignment horizontal="center" vertical="center"/>
    </xf>
    <xf numFmtId="0" fontId="49" fillId="11" borderId="77"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49" fontId="31" fillId="3" borderId="1" xfId="4" applyNumberFormat="1" applyFont="1" applyFill="1" applyBorder="1" applyAlignment="1" applyProtection="1">
      <alignment horizontal="center" vertical="center" wrapText="1"/>
    </xf>
    <xf numFmtId="191" fontId="8" fillId="0" borderId="0" xfId="4" applyNumberFormat="1" applyFont="1" applyAlignment="1">
      <alignment horizontal="center" vertical="center"/>
    </xf>
    <xf numFmtId="0" fontId="49" fillId="11" borderId="79" xfId="4" applyFont="1" applyFill="1" applyBorder="1" applyAlignment="1" applyProtection="1">
      <alignment horizontal="center" vertical="center" wrapText="1"/>
    </xf>
    <xf numFmtId="0" fontId="49" fillId="12" borderId="78" xfId="4" applyFont="1" applyFill="1" applyBorder="1" applyAlignment="1" applyProtection="1">
      <alignment horizontal="center" vertical="center" wrapText="1"/>
    </xf>
    <xf numFmtId="191" fontId="42" fillId="11" borderId="80" xfId="4" applyNumberFormat="1" applyFont="1" applyFill="1" applyBorder="1" applyAlignment="1">
      <alignment horizontal="center" vertical="center" wrapText="1"/>
    </xf>
    <xf numFmtId="191" fontId="42" fillId="11" borderId="81" xfId="4" applyNumberFormat="1" applyFont="1" applyFill="1" applyBorder="1" applyAlignment="1">
      <alignment horizontal="center" vertical="center" wrapText="1"/>
    </xf>
    <xf numFmtId="0" fontId="49" fillId="11" borderId="80" xfId="4" applyFont="1" applyFill="1" applyBorder="1" applyAlignment="1" applyProtection="1">
      <alignment horizontal="center" vertical="center" wrapText="1"/>
    </xf>
    <xf numFmtId="0" fontId="49" fillId="11" borderId="79" xfId="4" applyFont="1" applyFill="1" applyBorder="1" applyAlignment="1" applyProtection="1">
      <alignment vertical="center" wrapText="1"/>
    </xf>
    <xf numFmtId="0" fontId="49" fillId="11" borderId="77" xfId="4" applyFont="1" applyFill="1" applyBorder="1" applyAlignment="1" applyProtection="1">
      <alignment vertical="center" wrapText="1"/>
    </xf>
    <xf numFmtId="0" fontId="49" fillId="11" borderId="78" xfId="4" applyFont="1" applyFill="1" applyBorder="1" applyAlignment="1" applyProtection="1">
      <alignment horizontal="center" vertical="center" wrapText="1"/>
    </xf>
    <xf numFmtId="0" fontId="49" fillId="11" borderId="85" xfId="4" applyFont="1" applyFill="1" applyBorder="1" applyAlignment="1" applyProtection="1">
      <alignment horizontal="center" vertical="center" wrapText="1"/>
    </xf>
    <xf numFmtId="0" fontId="49" fillId="12" borderId="80" xfId="4" applyFont="1" applyFill="1" applyBorder="1" applyAlignment="1" applyProtection="1">
      <alignment horizontal="center" vertical="center" wrapText="1"/>
    </xf>
    <xf numFmtId="191" fontId="42" fillId="11" borderId="78" xfId="4" applyNumberFormat="1" applyFont="1" applyFill="1" applyBorder="1" applyAlignment="1">
      <alignment horizontal="center" vertical="center" wrapText="1"/>
    </xf>
    <xf numFmtId="191" fontId="42" fillId="11" borderId="86" xfId="4" applyNumberFormat="1" applyFont="1" applyFill="1" applyBorder="1" applyAlignment="1">
      <alignment horizontal="center" vertical="center" wrapText="1"/>
    </xf>
    <xf numFmtId="0" fontId="8" fillId="12" borderId="80" xfId="4" applyFont="1" applyFill="1" applyBorder="1" applyAlignment="1" applyProtection="1">
      <alignment horizontal="center" vertical="center" wrapText="1"/>
    </xf>
    <xf numFmtId="49" fontId="31" fillId="4" borderId="1" xfId="4" applyNumberFormat="1" applyFont="1" applyFill="1" applyBorder="1" applyAlignment="1" applyProtection="1">
      <alignment horizontal="center" vertical="center" wrapText="1"/>
    </xf>
    <xf numFmtId="191" fontId="8" fillId="4" borderId="0" xfId="4" applyNumberFormat="1" applyFont="1" applyFill="1" applyAlignment="1">
      <alignment horizontal="center" vertical="center"/>
    </xf>
    <xf numFmtId="0" fontId="8" fillId="4" borderId="78" xfId="4" applyFont="1" applyFill="1" applyBorder="1" applyAlignment="1" applyProtection="1">
      <alignment horizontal="center" vertical="center" wrapText="1"/>
    </xf>
    <xf numFmtId="0" fontId="8" fillId="11" borderId="85" xfId="4" applyFont="1" applyFill="1" applyBorder="1" applyAlignment="1" applyProtection="1">
      <alignment horizontal="center" vertical="center" wrapText="1"/>
    </xf>
    <xf numFmtId="191" fontId="42" fillId="11" borderId="85" xfId="4" applyNumberFormat="1" applyFont="1" applyFill="1" applyBorder="1" applyAlignment="1">
      <alignment horizontal="center" vertical="center" wrapText="1"/>
    </xf>
    <xf numFmtId="191" fontId="42" fillId="11" borderId="87" xfId="4" applyNumberFormat="1" applyFont="1" applyFill="1" applyBorder="1" applyAlignment="1">
      <alignment horizontal="center" vertical="center" wrapText="1"/>
    </xf>
    <xf numFmtId="191" fontId="8" fillId="10" borderId="0" xfId="4" applyNumberFormat="1" applyFont="1" applyFill="1" applyAlignment="1">
      <alignment horizontal="center" vertical="center"/>
    </xf>
    <xf numFmtId="191" fontId="8" fillId="0" borderId="21" xfId="4" applyNumberFormat="1" applyFont="1" applyBorder="1" applyAlignment="1">
      <alignment horizontal="center" vertical="center"/>
    </xf>
    <xf numFmtId="0" fontId="49" fillId="12" borderId="88" xfId="4" applyFont="1" applyFill="1" applyBorder="1" applyAlignment="1" applyProtection="1">
      <alignment horizontal="center" vertical="center" wrapText="1"/>
    </xf>
    <xf numFmtId="0" fontId="49" fillId="11" borderId="89" xfId="4" applyFont="1" applyFill="1" applyBorder="1" applyAlignment="1" applyProtection="1">
      <alignment horizontal="center" vertical="center" wrapText="1"/>
    </xf>
    <xf numFmtId="0" fontId="43" fillId="9" borderId="0" xfId="4" applyFont="1" applyFill="1" applyBorder="1" applyAlignment="1" applyProtection="1">
      <alignment horizontal="center" vertical="center"/>
      <protection locked="0"/>
    </xf>
    <xf numFmtId="0" fontId="42" fillId="9"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10" borderId="0" xfId="4" applyFont="1" applyFill="1" applyBorder="1" applyAlignment="1" applyProtection="1">
      <alignment horizontal="center" vertical="center"/>
      <protection locked="0"/>
    </xf>
    <xf numFmtId="10" fontId="43" fillId="10" borderId="90" xfId="4" applyNumberFormat="1" applyFont="1" applyFill="1" applyBorder="1" applyAlignment="1">
      <alignment vertical="center"/>
    </xf>
    <xf numFmtId="0" fontId="49" fillId="12" borderId="91" xfId="4" applyFont="1" applyFill="1" applyBorder="1" applyAlignment="1" applyProtection="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1" borderId="92" xfId="4" applyFont="1" applyFill="1" applyBorder="1" applyAlignment="1" applyProtection="1">
      <alignment horizontal="center" vertical="center" wrapText="1"/>
    </xf>
    <xf numFmtId="0" fontId="49" fillId="11" borderId="91" xfId="4" applyFont="1" applyFill="1" applyBorder="1" applyAlignment="1" applyProtection="1">
      <alignment horizontal="center" vertical="center" wrapText="1"/>
    </xf>
    <xf numFmtId="0" fontId="49" fillId="11" borderId="93" xfId="4" applyFont="1" applyFill="1" applyBorder="1" applyAlignment="1" applyProtection="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2" xfId="4" applyFont="1" applyFill="1" applyBorder="1" applyAlignment="1" applyProtection="1">
      <alignment horizontal="center" vertical="center" wrapText="1"/>
    </xf>
    <xf numFmtId="10" fontId="8" fillId="0" borderId="0" xfId="4" applyNumberFormat="1" applyFont="1" applyBorder="1">
      <alignment vertical="center"/>
    </xf>
    <xf numFmtId="10" fontId="8" fillId="0" borderId="90" xfId="4" applyNumberFormat="1" applyFont="1" applyBorder="1">
      <alignment vertical="center"/>
    </xf>
    <xf numFmtId="10" fontId="8" fillId="0" borderId="96" xfId="4" applyNumberFormat="1" applyFont="1" applyBorder="1">
      <alignment vertical="center"/>
    </xf>
    <xf numFmtId="0" fontId="8" fillId="12" borderId="92" xfId="4" applyFont="1" applyFill="1" applyBorder="1" applyAlignment="1" applyProtection="1">
      <alignment horizontal="center" vertical="center" wrapText="1"/>
    </xf>
    <xf numFmtId="0" fontId="8" fillId="4" borderId="91" xfId="4" applyFont="1" applyFill="1" applyBorder="1" applyAlignment="1" applyProtection="1">
      <alignment horizontal="center" vertical="center" wrapText="1"/>
    </xf>
    <xf numFmtId="10" fontId="8" fillId="4" borderId="75" xfId="4" applyNumberFormat="1" applyFont="1" applyFill="1" applyBorder="1">
      <alignment vertical="center"/>
    </xf>
    <xf numFmtId="10" fontId="8" fillId="4" borderId="0" xfId="4" applyNumberFormat="1" applyFont="1" applyFill="1">
      <alignment vertical="center"/>
    </xf>
    <xf numFmtId="0" fontId="8" fillId="11" borderId="93" xfId="4" applyFont="1" applyFill="1" applyBorder="1" applyAlignment="1" applyProtection="1">
      <alignment horizontal="center" vertical="center" wrapText="1"/>
    </xf>
    <xf numFmtId="0" fontId="49" fillId="12" borderId="97" xfId="4" applyFont="1" applyFill="1" applyBorder="1" applyAlignment="1" applyProtection="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pplyProtection="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0" fontId="42" fillId="0" borderId="74" xfId="4" applyFont="1" applyBorder="1" applyAlignment="1">
      <alignment horizontal="center" vertical="center"/>
    </xf>
    <xf numFmtId="0" fontId="12"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4" borderId="0" xfId="4" applyFont="1" applyFill="1">
      <alignment vertical="center"/>
    </xf>
    <xf numFmtId="0" fontId="8" fillId="10" borderId="0" xfId="4" applyFont="1" applyFill="1" applyAlignment="1">
      <alignment horizontal="center" vertical="center"/>
    </xf>
    <xf numFmtId="185" fontId="8" fillId="0" borderId="0" xfId="4" applyNumberFormat="1" applyFont="1">
      <alignment vertical="center"/>
    </xf>
    <xf numFmtId="0" fontId="8" fillId="0" borderId="0" xfId="4" applyFont="1" applyFill="1">
      <alignment vertical="center"/>
    </xf>
    <xf numFmtId="0" fontId="8" fillId="0" borderId="0" xfId="4" applyFont="1" applyFill="1" applyAlignment="1">
      <alignment horizontal="center" vertical="center"/>
    </xf>
    <xf numFmtId="177" fontId="8" fillId="0" borderId="75" xfId="4" applyNumberFormat="1" applyFont="1" applyBorder="1">
      <alignment vertical="center"/>
    </xf>
    <xf numFmtId="177" fontId="8" fillId="0" borderId="0" xfId="4" applyNumberFormat="1" applyFont="1">
      <alignment vertical="center"/>
    </xf>
    <xf numFmtId="185" fontId="8" fillId="4" borderId="0" xfId="4" applyNumberFormat="1" applyFont="1" applyFill="1">
      <alignment vertical="center"/>
    </xf>
    <xf numFmtId="10" fontId="8" fillId="4" borderId="90" xfId="4" applyNumberFormat="1" applyFont="1" applyFill="1" applyBorder="1">
      <alignment vertical="center"/>
    </xf>
    <xf numFmtId="10" fontId="8" fillId="4" borderId="96" xfId="4" applyNumberFormat="1" applyFont="1" applyFill="1" applyBorder="1">
      <alignment vertical="center"/>
    </xf>
    <xf numFmtId="0" fontId="15" fillId="4" borderId="0" xfId="4" applyFont="1" applyFill="1">
      <alignment vertical="center"/>
    </xf>
    <xf numFmtId="0" fontId="8" fillId="4" borderId="0" xfId="4" applyNumberFormat="1" applyFont="1" applyFill="1" applyAlignment="1">
      <alignment horizontal="center" vertical="center"/>
    </xf>
    <xf numFmtId="14" fontId="8" fillId="0" borderId="0" xfId="4" applyNumberFormat="1" applyFont="1">
      <alignment vertical="center"/>
    </xf>
    <xf numFmtId="0" fontId="8" fillId="0" borderId="0" xfId="4" applyNumberFormat="1" applyFont="1" applyAlignment="1">
      <alignment horizontal="center" vertical="center"/>
    </xf>
    <xf numFmtId="10" fontId="8" fillId="0" borderId="0" xfId="4" applyNumberFormat="1" applyFont="1" applyAlignment="1">
      <alignment horizontal="center" vertical="center"/>
    </xf>
    <xf numFmtId="185" fontId="8" fillId="0" borderId="21" xfId="4" applyNumberFormat="1" applyFont="1" applyBorder="1">
      <alignment vertical="center"/>
    </xf>
    <xf numFmtId="10" fontId="8" fillId="0" borderId="21" xfId="4" applyNumberFormat="1" applyFont="1" applyBorder="1" applyAlignment="1">
      <alignment horizontal="center" vertical="center"/>
    </xf>
    <xf numFmtId="184" fontId="8" fillId="0" borderId="0" xfId="4" applyNumberFormat="1" applyFont="1" applyAlignment="1">
      <alignment horizontal="center" vertical="center"/>
    </xf>
    <xf numFmtId="184" fontId="8" fillId="0" borderId="21" xfId="4" applyNumberFormat="1" applyFont="1" applyBorder="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0" borderId="0" xfId="4" applyNumberFormat="1" applyFont="1" applyFill="1" applyAlignment="1">
      <alignment horizontal="center" vertical="center"/>
    </xf>
    <xf numFmtId="10" fontId="8" fillId="4" borderId="0" xfId="4" applyNumberFormat="1" applyFont="1" applyFill="1" applyAlignment="1">
      <alignment horizontal="center" vertical="center"/>
    </xf>
    <xf numFmtId="0" fontId="15"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5" fontId="8" fillId="13" borderId="0" xfId="4" applyNumberFormat="1" applyFont="1" applyFill="1" applyAlignment="1">
      <alignment horizontal="center" vertical="center"/>
    </xf>
    <xf numFmtId="0" fontId="49" fillId="12" borderId="85" xfId="4" applyFont="1" applyFill="1" applyBorder="1" applyAlignment="1" applyProtection="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5" fontId="8" fillId="4" borderId="0" xfId="4" applyNumberFormat="1" applyFont="1" applyFill="1" applyAlignment="1">
      <alignment horizontal="center" vertical="center"/>
    </xf>
    <xf numFmtId="0" fontId="49" fillId="4" borderId="78" xfId="4" applyFont="1" applyFill="1" applyBorder="1" applyAlignment="1" applyProtection="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1" fillId="0" borderId="0" xfId="4" applyFont="1">
      <alignment vertical="center"/>
    </xf>
    <xf numFmtId="0" fontId="44" fillId="0" borderId="75" xfId="4" applyFont="1" applyBorder="1">
      <alignment vertical="center"/>
    </xf>
    <xf numFmtId="182" fontId="8" fillId="0" borderId="0" xfId="4" applyNumberFormat="1" applyFont="1" applyAlignment="1">
      <alignment horizontal="center" vertical="center"/>
    </xf>
    <xf numFmtId="182" fontId="8" fillId="0" borderId="75" xfId="4" applyNumberFormat="1" applyFont="1" applyBorder="1" applyAlignment="1">
      <alignment horizontal="center" vertical="center"/>
    </xf>
    <xf numFmtId="182" fontId="8" fillId="4" borderId="0" xfId="4" applyNumberFormat="1" applyFont="1" applyFill="1" applyAlignment="1">
      <alignment horizontal="center" vertical="center"/>
    </xf>
    <xf numFmtId="0" fontId="8" fillId="4" borderId="75" xfId="4" applyFont="1" applyFill="1" applyBorder="1">
      <alignment vertical="center"/>
    </xf>
    <xf numFmtId="182" fontId="44" fillId="0" borderId="0" xfId="4" applyNumberFormat="1" applyFont="1" applyAlignment="1">
      <alignment horizontal="center" vertical="center"/>
    </xf>
    <xf numFmtId="182" fontId="44" fillId="0" borderId="75" xfId="4" applyNumberFormat="1" applyFont="1" applyBorder="1" applyAlignment="1">
      <alignment horizontal="center" vertical="center"/>
    </xf>
    <xf numFmtId="184" fontId="8" fillId="4"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2" borderId="80"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2" borderId="78"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9"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wrapText="1"/>
    </xf>
    <xf numFmtId="0" fontId="53" fillId="3" borderId="1" xfId="10" applyNumberFormat="1" applyFont="1" applyFill="1" applyBorder="1" applyAlignment="1" applyProtection="1">
      <alignment horizontal="center" vertical="center"/>
    </xf>
    <xf numFmtId="189" fontId="52" fillId="3" borderId="1" xfId="10" applyNumberFormat="1" applyFont="1" applyFill="1" applyBorder="1" applyAlignment="1" applyProtection="1">
      <alignment horizontal="center" vertical="center" wrapText="1"/>
    </xf>
    <xf numFmtId="0" fontId="52"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2"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1"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1" applyFont="1" applyFill="1" applyBorder="1" applyAlignment="1" applyProtection="1">
      <alignment horizontal="center" vertical="center" wrapText="1"/>
      <protection locked="0"/>
    </xf>
    <xf numFmtId="0" fontId="56" fillId="3" borderId="8" xfId="11" applyFont="1" applyFill="1" applyBorder="1" applyAlignment="1" applyProtection="1">
      <alignment vertical="center" wrapText="1"/>
      <protection locked="0"/>
    </xf>
    <xf numFmtId="0" fontId="56" fillId="3" borderId="29" xfId="11"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1" applyFont="1" applyFill="1" applyBorder="1" applyAlignment="1" applyProtection="1">
      <alignment horizontal="center" vertical="center" wrapText="1"/>
    </xf>
    <xf numFmtId="10" fontId="56" fillId="0" borderId="4" xfId="11" applyNumberFormat="1" applyFont="1" applyFill="1" applyBorder="1" applyAlignment="1" applyProtection="1">
      <alignment horizontal="center" vertical="center" wrapText="1"/>
      <protection locked="0"/>
    </xf>
    <xf numFmtId="10" fontId="31" fillId="3" borderId="11" xfId="11"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1" applyFont="1" applyFill="1" applyBorder="1" applyAlignment="1" applyProtection="1">
      <alignment horizontal="center" vertical="center" wrapText="1"/>
    </xf>
    <xf numFmtId="10" fontId="56" fillId="0" borderId="62" xfId="11" applyNumberFormat="1" applyFont="1" applyFill="1" applyBorder="1" applyAlignment="1" applyProtection="1">
      <alignment horizontal="center" vertical="center" wrapText="1"/>
      <protection locked="0"/>
    </xf>
    <xf numFmtId="10" fontId="31" fillId="3" borderId="14" xfId="11" applyNumberFormat="1" applyFont="1" applyFill="1" applyBorder="1" applyAlignment="1" applyProtection="1">
      <alignment horizontal="center" vertical="center" wrapText="1"/>
    </xf>
    <xf numFmtId="0" fontId="56" fillId="3" borderId="19" xfId="11" applyFont="1" applyFill="1" applyBorder="1" applyAlignment="1" applyProtection="1">
      <alignment horizontal="center" vertical="center" wrapText="1"/>
      <protection locked="0"/>
    </xf>
    <xf numFmtId="0" fontId="56" fillId="3" borderId="21" xfId="11"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1" applyFont="1" applyFill="1" applyBorder="1" applyAlignment="1" applyProtection="1">
      <alignment horizontal="center" vertical="center" wrapText="1"/>
    </xf>
    <xf numFmtId="0" fontId="31" fillId="3"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3" borderId="4" xfId="11" applyFont="1" applyFill="1" applyBorder="1" applyAlignment="1" applyProtection="1">
      <alignment horizontal="center" vertical="center" wrapText="1"/>
      <protection locked="0"/>
    </xf>
    <xf numFmtId="0" fontId="31" fillId="3" borderId="1" xfId="11" applyFont="1" applyFill="1" applyBorder="1" applyAlignment="1" applyProtection="1">
      <alignment horizontal="center" vertical="center" wrapText="1"/>
      <protection locked="0"/>
    </xf>
    <xf numFmtId="191" fontId="8" fillId="3" borderId="1" xfId="11" applyNumberFormat="1" applyFont="1" applyFill="1" applyBorder="1" applyAlignment="1" applyProtection="1">
      <alignment horizontal="center" vertical="center"/>
    </xf>
    <xf numFmtId="0" fontId="31" fillId="3" borderId="1" xfId="11" applyFont="1" applyFill="1" applyBorder="1" applyAlignment="1" applyProtection="1">
      <alignment horizontal="center" vertical="center" wrapText="1"/>
    </xf>
    <xf numFmtId="0" fontId="8" fillId="3" borderId="1" xfId="11"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1" applyFont="1" applyFill="1" applyAlignment="1" applyProtection="1">
      <alignment horizontal="center" vertical="center" wrapText="1"/>
      <protection locked="0"/>
    </xf>
    <xf numFmtId="0" fontId="31" fillId="6" borderId="0" xfId="11" applyFont="1" applyFill="1" applyAlignment="1" applyProtection="1">
      <alignment horizontal="center" vertical="center" wrapText="1"/>
    </xf>
    <xf numFmtId="0" fontId="56" fillId="3" borderId="0" xfId="11" applyFont="1" applyFill="1" applyAlignment="1" applyProtection="1">
      <alignment horizontal="center" vertical="center" wrapText="1"/>
      <protection locked="0"/>
    </xf>
    <xf numFmtId="0" fontId="56" fillId="6" borderId="0" xfId="11" applyFont="1" applyFill="1" applyAlignment="1" applyProtection="1">
      <alignment horizontal="center" vertical="center" wrapText="1"/>
    </xf>
    <xf numFmtId="189" fontId="31" fillId="3" borderId="1" xfId="11" applyNumberFormat="1" applyFont="1" applyFill="1" applyBorder="1" applyAlignment="1" applyProtection="1">
      <alignment horizontal="center" vertical="center" wrapText="1"/>
      <protection locked="0"/>
    </xf>
    <xf numFmtId="0" fontId="8" fillId="3" borderId="1" xfId="11" applyFont="1" applyFill="1" applyBorder="1" applyAlignment="1" applyProtection="1">
      <alignment horizontal="center" vertical="center"/>
    </xf>
    <xf numFmtId="185" fontId="44" fillId="0" borderId="1" xfId="11" applyNumberFormat="1" applyFont="1" applyFill="1" applyBorder="1" applyAlignment="1" applyProtection="1">
      <alignment horizontal="center" vertical="center"/>
      <protection locked="0"/>
    </xf>
    <xf numFmtId="185" fontId="44" fillId="3" borderId="1" xfId="11" applyNumberFormat="1" applyFont="1" applyFill="1" applyBorder="1" applyAlignment="1" applyProtection="1">
      <alignment horizontal="center" vertical="center"/>
    </xf>
    <xf numFmtId="193" fontId="44" fillId="3" borderId="1" xfId="11" applyNumberFormat="1" applyFont="1" applyFill="1" applyBorder="1" applyAlignment="1" applyProtection="1">
      <alignment horizontal="center" vertical="center" wrapText="1"/>
    </xf>
    <xf numFmtId="0" fontId="31" fillId="3" borderId="1" xfId="11"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0"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0" applyNumberFormat="1" applyFont="1" applyFill="1" applyBorder="1" applyAlignment="1" applyProtection="1">
      <alignment horizontal="center" vertical="center"/>
    </xf>
    <xf numFmtId="0" fontId="31" fillId="3" borderId="16" xfId="10" applyNumberFormat="1" applyFont="1" applyFill="1" applyBorder="1" applyAlignment="1" applyProtection="1">
      <alignment horizontal="center" vertical="center"/>
    </xf>
    <xf numFmtId="0" fontId="31" fillId="3" borderId="16" xfId="10"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0" applyNumberFormat="1" applyFont="1" applyFill="1" applyBorder="1" applyAlignment="1" applyProtection="1">
      <alignment horizontal="center" vertical="center"/>
    </xf>
    <xf numFmtId="0" fontId="31" fillId="3" borderId="36" xfId="10"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2"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2" applyNumberFormat="1" applyFont="1" applyFill="1" applyBorder="1" applyAlignment="1" applyProtection="1">
      <alignment horizontal="center"/>
    </xf>
    <xf numFmtId="0" fontId="31" fillId="3" borderId="10" xfId="12"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2"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2"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2"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2" applyFont="1" applyFill="1" applyBorder="1" applyAlignment="1" applyProtection="1">
      <alignment vertical="center"/>
      <protection locked="0"/>
    </xf>
    <xf numFmtId="0" fontId="29" fillId="3" borderId="108" xfId="12" applyFont="1" applyFill="1" applyBorder="1" applyAlignment="1" applyProtection="1">
      <alignment vertical="center"/>
      <protection locked="0"/>
    </xf>
    <xf numFmtId="0" fontId="29" fillId="4" borderId="16" xfId="12"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2"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2"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2"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2"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2" applyFont="1" applyFill="1" applyBorder="1" applyAlignment="1" applyProtection="1">
      <alignment horizontal="left" vertical="center"/>
      <protection locked="0"/>
    </xf>
    <xf numFmtId="0" fontId="41" fillId="4" borderId="4" xfId="12" applyFont="1" applyFill="1" applyBorder="1" applyAlignment="1" applyProtection="1">
      <alignment vertical="center"/>
    </xf>
    <xf numFmtId="0" fontId="41" fillId="3" borderId="0" xfId="12"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2" applyFont="1" applyFill="1" applyBorder="1" applyAlignment="1" applyProtection="1">
      <alignment horizontal="right" vertical="center"/>
    </xf>
    <xf numFmtId="0" fontId="37" fillId="3" borderId="2" xfId="12"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2" applyNumberFormat="1" applyFont="1" applyFill="1" applyBorder="1" applyAlignment="1" applyProtection="1">
      <alignment horizontal="center" vertical="center"/>
    </xf>
    <xf numFmtId="177" fontId="37" fillId="3" borderId="1" xfId="12" applyNumberFormat="1" applyFont="1" applyFill="1" applyBorder="1" applyAlignment="1" applyProtection="1">
      <alignment horizontal="center" vertical="center"/>
    </xf>
    <xf numFmtId="9" fontId="37" fillId="3" borderId="1" xfId="12" applyNumberFormat="1" applyFont="1" applyFill="1" applyBorder="1" applyAlignment="1" applyProtection="1">
      <alignment horizontal="center" vertical="center"/>
    </xf>
    <xf numFmtId="0" fontId="37" fillId="3" borderId="1" xfId="12" applyNumberFormat="1" applyFont="1" applyFill="1" applyBorder="1" applyAlignment="1" applyProtection="1">
      <alignment horizontal="center" vertical="center"/>
    </xf>
    <xf numFmtId="185" fontId="37" fillId="3" borderId="1" xfId="12" applyNumberFormat="1" applyFont="1" applyFill="1" applyBorder="1" applyAlignment="1" applyProtection="1">
      <alignment horizontal="center" vertical="center"/>
    </xf>
    <xf numFmtId="185" fontId="37" fillId="3" borderId="1" xfId="12" applyNumberFormat="1" applyFont="1" applyFill="1" applyBorder="1" applyAlignment="1" applyProtection="1">
      <alignment vertical="center"/>
    </xf>
    <xf numFmtId="10" fontId="37" fillId="3" borderId="1" xfId="12"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2" applyFont="1" applyFill="1" applyBorder="1" applyAlignment="1" applyProtection="1">
      <alignment vertical="center"/>
    </xf>
    <xf numFmtId="185" fontId="72" fillId="3" borderId="1" xfId="12" applyNumberFormat="1" applyFont="1" applyFill="1" applyBorder="1" applyAlignment="1" applyProtection="1">
      <alignment horizontal="center" vertical="center"/>
    </xf>
    <xf numFmtId="0" fontId="72" fillId="3" borderId="1" xfId="12" applyFont="1" applyFill="1" applyBorder="1" applyAlignment="1" applyProtection="1">
      <alignment vertical="center"/>
    </xf>
    <xf numFmtId="185" fontId="72" fillId="3" borderId="1" xfId="12" applyNumberFormat="1" applyFont="1" applyFill="1" applyBorder="1" applyAlignment="1" applyProtection="1">
      <alignment vertical="center"/>
    </xf>
    <xf numFmtId="10" fontId="72" fillId="3" borderId="1" xfId="12"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2"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2"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2"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2"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2"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2"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2" applyFont="1" applyFill="1" applyBorder="1" applyAlignment="1" applyProtection="1">
      <alignment vertical="center"/>
    </xf>
    <xf numFmtId="49" fontId="29" fillId="3" borderId="0" xfId="12" applyNumberFormat="1" applyFont="1" applyFill="1" applyBorder="1" applyAlignment="1" applyProtection="1">
      <alignment horizontal="right" vertical="center"/>
    </xf>
    <xf numFmtId="0" fontId="30" fillId="4" borderId="2" xfId="12" applyFont="1" applyFill="1" applyBorder="1" applyAlignment="1" applyProtection="1">
      <alignment vertical="center"/>
      <protection locked="0"/>
    </xf>
    <xf numFmtId="0" fontId="29" fillId="3" borderId="2" xfId="12" applyFont="1" applyFill="1" applyBorder="1" applyAlignment="1" applyProtection="1">
      <alignment horizontal="right" vertical="center"/>
    </xf>
    <xf numFmtId="0" fontId="29" fillId="3" borderId="4" xfId="12" applyFont="1" applyFill="1" applyBorder="1" applyAlignment="1" applyProtection="1">
      <alignment vertical="center"/>
    </xf>
    <xf numFmtId="0" fontId="29" fillId="4" borderId="1" xfId="12" applyFont="1" applyFill="1" applyBorder="1" applyAlignment="1" applyProtection="1">
      <alignment vertical="center"/>
      <protection locked="0"/>
    </xf>
    <xf numFmtId="0" fontId="30" fillId="4" borderId="11" xfId="12"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2"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2"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3" applyFont="1" applyFill="1" applyBorder="1" applyAlignment="1" applyProtection="1">
      <alignment horizontal="left" vertical="center" wrapText="1"/>
    </xf>
    <xf numFmtId="0" fontId="62" fillId="3" borderId="42" xfId="13"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3" applyFont="1" applyFill="1" applyBorder="1" applyAlignment="1" applyProtection="1">
      <alignment horizontal="left" vertical="center" wrapText="1"/>
    </xf>
    <xf numFmtId="0" fontId="62" fillId="8" borderId="1" xfId="13"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7" fillId="3" borderId="39" xfId="13" applyFont="1" applyFill="1" applyBorder="1" applyAlignment="1" applyProtection="1">
      <alignment horizontal="left" vertical="center" wrapText="1"/>
    </xf>
    <xf numFmtId="0" fontId="37" fillId="3" borderId="42" xfId="13"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3"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3"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3"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5"/>
    <xf numFmtId="0" fontId="102" fillId="3"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3"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3" borderId="1" xfId="5" applyFill="1" applyBorder="1" applyAlignment="1">
      <alignment vertical="center"/>
    </xf>
    <xf numFmtId="0" fontId="102" fillId="3" borderId="15" xfId="5" applyFont="1" applyFill="1" applyBorder="1" applyAlignment="1">
      <alignment horizontal="center" vertical="center" wrapText="1"/>
    </xf>
    <xf numFmtId="0" fontId="2" fillId="3"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2" applyFont="1" applyFill="1" applyBorder="1" applyAlignment="1" applyProtection="1">
      <alignment vertical="center" wrapText="1"/>
    </xf>
    <xf numFmtId="0" fontId="62" fillId="3" borderId="8" xfId="12" applyFont="1" applyFill="1" applyBorder="1" applyAlignment="1" applyProtection="1">
      <alignment vertical="center" wrapText="1"/>
    </xf>
    <xf numFmtId="0" fontId="62" fillId="3" borderId="32" xfId="12" applyFont="1" applyFill="1" applyBorder="1" applyAlignment="1" applyProtection="1">
      <alignment vertical="center" wrapText="1"/>
    </xf>
    <xf numFmtId="182" fontId="56" fillId="3" borderId="7" xfId="12"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2" applyNumberFormat="1" applyFont="1" applyFill="1" applyBorder="1" applyAlignment="1" applyProtection="1">
      <alignment horizontal="left" vertical="center"/>
    </xf>
    <xf numFmtId="185" fontId="62" fillId="3" borderId="1" xfId="12" applyNumberFormat="1" applyFont="1" applyFill="1" applyBorder="1" applyAlignment="1" applyProtection="1">
      <alignment vertical="center"/>
    </xf>
    <xf numFmtId="185" fontId="62" fillId="8" borderId="2" xfId="12" applyNumberFormat="1" applyFont="1" applyFill="1" applyBorder="1" applyAlignment="1" applyProtection="1">
      <alignment vertical="center"/>
      <protection locked="0"/>
    </xf>
    <xf numFmtId="185" fontId="37" fillId="3" borderId="10" xfId="12"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2" applyNumberFormat="1" applyFont="1" applyFill="1" applyBorder="1" applyAlignment="1" applyProtection="1">
      <alignment horizontal="center" vertical="center"/>
    </xf>
    <xf numFmtId="182" fontId="56" fillId="3" borderId="1" xfId="12"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2" applyNumberFormat="1" applyFont="1" applyFill="1" applyBorder="1" applyAlignment="1" applyProtection="1">
      <alignment horizontal="left" vertical="center" wrapText="1"/>
      <protection locked="0"/>
    </xf>
    <xf numFmtId="185" fontId="62" fillId="3" borderId="2" xfId="12"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2" applyFont="1" applyFill="1" applyBorder="1" applyAlignment="1" applyProtection="1">
      <alignment vertical="center" wrapText="1"/>
    </xf>
    <xf numFmtId="0" fontId="72" fillId="3" borderId="13" xfId="12" applyFont="1" applyFill="1" applyBorder="1" applyAlignment="1" applyProtection="1">
      <alignment vertical="center"/>
    </xf>
    <xf numFmtId="0" fontId="72" fillId="3" borderId="12" xfId="12" applyFont="1" applyFill="1" applyBorder="1" applyAlignment="1" applyProtection="1">
      <alignment vertical="center"/>
    </xf>
    <xf numFmtId="0" fontId="72" fillId="3" borderId="13" xfId="12" applyFont="1" applyFill="1" applyBorder="1" applyAlignment="1" applyProtection="1">
      <alignment horizontal="center" vertical="center"/>
    </xf>
    <xf numFmtId="177" fontId="72" fillId="3" borderId="13" xfId="12"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2" applyNumberFormat="1" applyFont="1" applyFill="1" applyBorder="1" applyAlignment="1" applyProtection="1">
      <alignment vertical="center" wrapText="1"/>
    </xf>
    <xf numFmtId="187" fontId="56" fillId="0" borderId="9" xfId="12" applyNumberFormat="1" applyFont="1" applyFill="1" applyBorder="1" applyAlignment="1" applyProtection="1">
      <alignment horizontal="center" vertical="center"/>
      <protection locked="0"/>
    </xf>
    <xf numFmtId="187" fontId="56" fillId="3" borderId="10" xfId="12" applyNumberFormat="1" applyFont="1" applyFill="1" applyBorder="1" applyAlignment="1" applyProtection="1">
      <alignment vertical="center" wrapText="1"/>
    </xf>
    <xf numFmtId="187" fontId="62" fillId="0" borderId="11" xfId="12" applyNumberFormat="1" applyFont="1" applyFill="1" applyBorder="1" applyAlignment="1" applyProtection="1">
      <alignment horizontal="center" vertical="center"/>
      <protection locked="0"/>
    </xf>
    <xf numFmtId="187" fontId="62" fillId="3" borderId="10" xfId="12" applyNumberFormat="1" applyFont="1" applyFill="1" applyBorder="1" applyAlignment="1" applyProtection="1">
      <alignment vertical="center" wrapText="1"/>
    </xf>
    <xf numFmtId="187" fontId="56" fillId="3" borderId="11" xfId="12" applyNumberFormat="1" applyFont="1" applyFill="1" applyBorder="1" applyAlignment="1" applyProtection="1">
      <alignment horizontal="center" vertical="center"/>
    </xf>
    <xf numFmtId="187" fontId="56" fillId="3" borderId="12" xfId="12" applyNumberFormat="1" applyFont="1" applyFill="1" applyBorder="1" applyAlignment="1" applyProtection="1">
      <alignment vertical="center" wrapText="1"/>
    </xf>
    <xf numFmtId="187" fontId="56" fillId="3" borderId="14" xfId="12"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6" fillId="3" borderId="11" xfId="12"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2"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2" applyNumberFormat="1" applyFont="1" applyFill="1" applyBorder="1" applyAlignment="1" applyProtection="1">
      <alignment horizontal="center" vertical="center" wrapText="1"/>
    </xf>
    <xf numFmtId="0" fontId="62" fillId="3" borderId="8" xfId="12" applyFont="1" applyFill="1" applyBorder="1" applyAlignment="1" applyProtection="1">
      <alignment horizontal="center" vertical="center" wrapText="1"/>
    </xf>
    <xf numFmtId="189" fontId="62" fillId="3" borderId="8" xfId="12" applyNumberFormat="1" applyFont="1" applyFill="1" applyBorder="1" applyAlignment="1" applyProtection="1">
      <alignment horizontal="center" vertical="center" wrapText="1"/>
    </xf>
    <xf numFmtId="0" fontId="62" fillId="4" borderId="8" xfId="12" applyFont="1" applyFill="1" applyBorder="1" applyAlignment="1" applyProtection="1">
      <alignment horizontal="center" vertical="center" wrapText="1"/>
      <protection locked="0"/>
    </xf>
    <xf numFmtId="0" fontId="62" fillId="3" borderId="32" xfId="12" applyFont="1" applyFill="1" applyBorder="1" applyAlignment="1" applyProtection="1">
      <alignment horizontal="center" vertical="center" wrapText="1"/>
    </xf>
    <xf numFmtId="189" fontId="37" fillId="3" borderId="10" xfId="12" applyNumberFormat="1" applyFont="1" applyFill="1" applyBorder="1" applyAlignment="1" applyProtection="1">
      <alignment horizontal="center" vertical="center"/>
    </xf>
    <xf numFmtId="185" fontId="37" fillId="0" borderId="1" xfId="12" applyNumberFormat="1" applyFont="1" applyFill="1" applyBorder="1" applyAlignment="1" applyProtection="1">
      <alignment horizontal="center" vertical="center"/>
      <protection locked="0"/>
    </xf>
    <xf numFmtId="0" fontId="62" fillId="3"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2" applyNumberFormat="1" applyFont="1" applyFill="1" applyBorder="1" applyAlignment="1" applyProtection="1">
      <alignment horizontal="center" vertical="center"/>
      <protection locked="0"/>
    </xf>
    <xf numFmtId="10" fontId="62" fillId="0" borderId="1" xfId="12" applyNumberFormat="1" applyFont="1" applyFill="1" applyBorder="1" applyAlignment="1" applyProtection="1">
      <alignment horizontal="center" vertical="center"/>
      <protection locked="0"/>
    </xf>
    <xf numFmtId="185" fontId="62" fillId="3" borderId="1" xfId="12" applyNumberFormat="1" applyFont="1" applyFill="1" applyBorder="1" applyAlignment="1" applyProtection="1">
      <alignment horizontal="center" vertical="center"/>
    </xf>
    <xf numFmtId="10" fontId="62" fillId="3" borderId="1" xfId="12" applyNumberFormat="1" applyFont="1" applyFill="1" applyBorder="1" applyAlignment="1" applyProtection="1">
      <alignment horizontal="center" vertical="center"/>
    </xf>
    <xf numFmtId="0" fontId="72" fillId="3" borderId="14" xfId="12"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2" applyNumberFormat="1" applyFont="1" applyFill="1" applyBorder="1" applyAlignment="1" applyProtection="1">
      <alignment horizontal="center" vertical="center"/>
    </xf>
    <xf numFmtId="10" fontId="62" fillId="3" borderId="13" xfId="12"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2" applyFont="1" applyFill="1" applyBorder="1" applyAlignment="1" applyProtection="1">
      <alignment horizontal="center" vertical="center" wrapText="1"/>
    </xf>
    <xf numFmtId="0" fontId="62" fillId="3" borderId="31" xfId="12" applyFont="1" applyFill="1" applyBorder="1" applyAlignment="1" applyProtection="1">
      <alignment horizontal="center" vertical="center" wrapText="1"/>
    </xf>
    <xf numFmtId="0" fontId="62" fillId="3" borderId="36" xfId="12"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2"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2"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2" applyNumberFormat="1" applyFont="1" applyFill="1" applyBorder="1" applyAlignment="1" applyProtection="1">
      <alignment horizontal="center" vertical="center"/>
    </xf>
    <xf numFmtId="189" fontId="62" fillId="3" borderId="62" xfId="12" applyNumberFormat="1" applyFont="1" applyFill="1" applyBorder="1" applyAlignment="1" applyProtection="1">
      <alignment horizontal="center" vertical="center"/>
    </xf>
    <xf numFmtId="0" fontId="62" fillId="3" borderId="46" xfId="12"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2"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2"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2"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2"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2" applyNumberFormat="1" applyFont="1" applyFill="1" applyBorder="1" applyAlignment="1" applyProtection="1">
      <alignment horizontal="center" vertical="center"/>
    </xf>
    <xf numFmtId="187" fontId="57" fillId="3" borderId="38" xfId="12" applyNumberFormat="1" applyFont="1" applyFill="1" applyBorder="1" applyAlignment="1" applyProtection="1">
      <alignment horizontal="center" vertical="center"/>
    </xf>
    <xf numFmtId="187" fontId="57" fillId="3" borderId="39" xfId="12"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2"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2"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2" applyNumberFormat="1" applyFont="1" applyFill="1" applyBorder="1" applyAlignment="1" applyProtection="1">
      <alignment vertical="center"/>
      <protection locked="0" hidden="1"/>
    </xf>
    <xf numFmtId="185" fontId="62" fillId="0" borderId="1" xfId="12"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2"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2"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5" applyFill="1">
      <alignment vertical="center"/>
    </xf>
    <xf numFmtId="0" fontId="113" fillId="0" borderId="0" xfId="15" applyFont="1">
      <alignment vertical="center"/>
    </xf>
    <xf numFmtId="0" fontId="114" fillId="0" borderId="0" xfId="15" applyFont="1">
      <alignment vertical="center"/>
    </xf>
    <xf numFmtId="0" fontId="2" fillId="0" borderId="0" xfId="15">
      <alignment vertical="center"/>
    </xf>
    <xf numFmtId="0" fontId="13" fillId="0" borderId="0" xfId="15" applyFont="1" applyAlignment="1">
      <alignment horizontal="right" vertical="center"/>
    </xf>
    <xf numFmtId="14" fontId="115" fillId="0" borderId="0" xfId="15" applyNumberFormat="1" applyFont="1" applyAlignment="1">
      <alignment horizontal="left" vertical="center"/>
    </xf>
    <xf numFmtId="0" fontId="1" fillId="0" borderId="0" xfId="15" applyFont="1">
      <alignment vertical="center"/>
    </xf>
    <xf numFmtId="0" fontId="116" fillId="4"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6" fontId="117" fillId="0" borderId="2" xfId="15" applyNumberFormat="1" applyFont="1" applyFill="1" applyBorder="1" applyAlignment="1">
      <alignment horizontal="right" vertical="center"/>
    </xf>
    <xf numFmtId="0" fontId="117" fillId="0" borderId="155" xfId="15" applyFont="1" applyFill="1" applyBorder="1">
      <alignment vertical="center"/>
    </xf>
    <xf numFmtId="188" fontId="117" fillId="0" borderId="1" xfId="15" applyNumberFormat="1" applyFont="1" applyFill="1" applyBorder="1" applyAlignment="1">
      <alignment horizontal="right" vertical="center"/>
    </xf>
    <xf numFmtId="196"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8"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4" fillId="0" borderId="1" xfId="15" applyFont="1" applyBorder="1">
      <alignment vertical="center"/>
    </xf>
    <xf numFmtId="0" fontId="13" fillId="0" borderId="1" xfId="15" applyFont="1" applyBorder="1">
      <alignment vertical="center"/>
    </xf>
    <xf numFmtId="188" fontId="117" fillId="0" borderId="2" xfId="15" applyNumberFormat="1" applyFont="1" applyFill="1" applyBorder="1" applyAlignment="1">
      <alignment horizontal="right" vertical="center"/>
    </xf>
    <xf numFmtId="0" fontId="114" fillId="0" borderId="155" xfId="15" applyFont="1" applyBorder="1">
      <alignment vertical="center"/>
    </xf>
    <xf numFmtId="188" fontId="117"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8" fillId="0" borderId="1" xfId="15" applyFont="1" applyBorder="1">
      <alignment vertical="center"/>
    </xf>
    <xf numFmtId="188" fontId="118" fillId="0" borderId="1" xfId="0" applyNumberFormat="1" applyFont="1" applyFill="1" applyBorder="1" applyAlignment="1">
      <alignment horizontal="right" vertical="center"/>
    </xf>
    <xf numFmtId="14" fontId="2"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6" applyFont="1">
      <alignment vertical="center"/>
    </xf>
    <xf numFmtId="0" fontId="126" fillId="0" borderId="0" xfId="16" applyFont="1" applyProtection="1">
      <alignment vertical="center"/>
    </xf>
    <xf numFmtId="0" fontId="48" fillId="0" borderId="0" xfId="16" applyFont="1" applyProtection="1">
      <alignment vertical="center"/>
    </xf>
    <xf numFmtId="0" fontId="126"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8" fillId="0" borderId="0" xfId="16" applyFont="1" applyProtection="1">
      <alignment vertical="center"/>
    </xf>
    <xf numFmtId="0" fontId="48"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3"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187" fontId="37" fillId="3" borderId="0" xfId="0" applyNumberFormat="1" applyFont="1" applyFill="1" applyAlignment="1" applyProtection="1">
      <alignment vertical="center"/>
      <protection locked="0"/>
    </xf>
    <xf numFmtId="188" fontId="44" fillId="4" borderId="1" xfId="0" applyNumberFormat="1" applyFont="1" applyFill="1" applyBorder="1" applyAlignment="1" applyProtection="1">
      <alignment horizontal="center" vertical="center"/>
    </xf>
    <xf numFmtId="0" fontId="37" fillId="4"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62" fillId="4" borderId="16" xfId="0" applyFont="1" applyFill="1" applyBorder="1" applyAlignment="1" applyProtection="1">
      <alignment horizontal="center" vertical="center" wrapText="1"/>
      <protection locked="0"/>
    </xf>
    <xf numFmtId="49" fontId="185" fillId="0" borderId="34" xfId="0" applyNumberFormat="1" applyFont="1" applyFill="1" applyBorder="1" applyAlignment="1" applyProtection="1">
      <alignment horizontal="left" vertical="center"/>
      <protection locked="0"/>
    </xf>
    <xf numFmtId="187" fontId="37" fillId="0" borderId="1" xfId="0" applyNumberFormat="1" applyFont="1" applyFill="1" applyBorder="1" applyAlignment="1" applyProtection="1">
      <alignment vertical="center" wrapText="1"/>
      <protection locked="0"/>
    </xf>
    <xf numFmtId="187" fontId="62" fillId="0" borderId="1" xfId="0" applyNumberFormat="1" applyFont="1" applyFill="1" applyBorder="1" applyAlignment="1" applyProtection="1">
      <alignment vertical="center" wrapText="1"/>
      <protection locked="0"/>
    </xf>
    <xf numFmtId="0" fontId="37" fillId="4" borderId="16" xfId="0" applyFont="1" applyFill="1" applyBorder="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54" fillId="0" borderId="0" xfId="0" applyFont="1" applyAlignment="1"/>
    <xf numFmtId="0" fontId="210" fillId="0" borderId="0" xfId="0" applyFont="1" applyAlignment="1"/>
    <xf numFmtId="0" fontId="101" fillId="0" borderId="1" xfId="5" applyBorder="1"/>
    <xf numFmtId="0" fontId="101" fillId="0" borderId="95" xfId="5" applyBorder="1" applyAlignment="1">
      <alignment horizontal="center" vertical="center"/>
    </xf>
    <xf numFmtId="0" fontId="101" fillId="0" borderId="64" xfId="5" applyFill="1" applyBorder="1"/>
    <xf numFmtId="0" fontId="101" fillId="0" borderId="4" xfId="5" applyBorder="1"/>
    <xf numFmtId="0" fontId="101" fillId="0" borderId="0" xfId="5" applyBorder="1" applyAlignment="1">
      <alignment horizontal="center" vertical="center"/>
    </xf>
    <xf numFmtId="0" fontId="1" fillId="0" borderId="1" xfId="5" applyFont="1" applyBorder="1"/>
    <xf numFmtId="0" fontId="137" fillId="0" borderId="0" xfId="1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2"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1" applyFont="1" applyFill="1" applyBorder="1" applyAlignment="1" applyProtection="1">
      <alignment horizontal="right" vertical="center" wrapText="1"/>
      <protection locked="0"/>
    </xf>
    <xf numFmtId="0" fontId="31" fillId="3" borderId="4" xfId="11"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2" fillId="0" borderId="0" xfId="4" applyFont="1" applyAlignment="1">
      <alignment horizontal="center" vertical="center"/>
    </xf>
    <xf numFmtId="0" fontId="49" fillId="11" borderId="82" xfId="4" applyFont="1" applyFill="1" applyBorder="1" applyAlignment="1" applyProtection="1">
      <alignment horizontal="center" vertical="center" wrapText="1"/>
    </xf>
    <xf numFmtId="0" fontId="49" fillId="11" borderId="77" xfId="4" applyFont="1" applyFill="1" applyBorder="1" applyAlignment="1" applyProtection="1">
      <alignment horizontal="center" vertical="center" wrapText="1"/>
    </xf>
    <xf numFmtId="0" fontId="49" fillId="11" borderId="83" xfId="4" applyFont="1" applyFill="1" applyBorder="1" applyAlignment="1" applyProtection="1">
      <alignment horizontal="center" vertical="center" wrapText="1"/>
    </xf>
    <xf numFmtId="0" fontId="49" fillId="11" borderId="84" xfId="4" applyFont="1" applyFill="1" applyBorder="1" applyAlignment="1" applyProtection="1">
      <alignment horizontal="center" vertical="center" wrapText="1"/>
    </xf>
    <xf numFmtId="0" fontId="8" fillId="11" borderId="84" xfId="4" applyFont="1" applyFill="1" applyBorder="1" applyAlignment="1" applyProtection="1">
      <alignment horizontal="center" vertical="center" wrapText="1"/>
    </xf>
    <xf numFmtId="0" fontId="8" fillId="11" borderId="77" xfId="4" applyFont="1" applyFill="1" applyBorder="1" applyAlignment="1" applyProtection="1">
      <alignment horizontal="center" vertical="center" wrapText="1"/>
    </xf>
    <xf numFmtId="0" fontId="8" fillId="11" borderId="83" xfId="4"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101" fillId="0" borderId="1" xfId="5" applyBorder="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0" fontId="101" fillId="0" borderId="0" xfId="5" applyAlignment="1">
      <alignment horizontal="left"/>
    </xf>
    <xf numFmtId="0" fontId="0" fillId="4" borderId="0" xfId="0" applyFill="1" applyAlignment="1">
      <alignment horizontal="left" vertical="center"/>
    </xf>
    <xf numFmtId="0" fontId="2" fillId="4" borderId="0" xfId="0" applyFont="1" applyFill="1" applyAlignment="1">
      <alignment horizontal="left" vertical="center"/>
    </xf>
    <xf numFmtId="0" fontId="1" fillId="4" borderId="0" xfId="0" applyFont="1" applyFill="1" applyAlignment="1">
      <alignment horizontal="left" vertical="center"/>
    </xf>
    <xf numFmtId="187" fontId="91" fillId="0" borderId="1" xfId="0" applyNumberFormat="1" applyFont="1" applyBorder="1" applyAlignment="1" applyProtection="1">
      <alignment vertical="center" wrapText="1"/>
      <protection locked="0"/>
    </xf>
    <xf numFmtId="0" fontId="2" fillId="4" borderId="0" xfId="0" applyFont="1" applyFill="1">
      <alignment vertical="center"/>
    </xf>
    <xf numFmtId="0" fontId="1" fillId="0" borderId="0" xfId="0" applyFont="1">
      <alignment vertical="center"/>
    </xf>
    <xf numFmtId="0" fontId="211" fillId="17" borderId="0" xfId="0" applyFont="1" applyFill="1" applyAlignment="1">
      <alignment horizontal="left" vertical="center"/>
    </xf>
    <xf numFmtId="0" fontId="0" fillId="17" borderId="0" xfId="0" applyFill="1" applyAlignment="1">
      <alignment horizontal="left" vertical="center"/>
    </xf>
    <xf numFmtId="0" fontId="2" fillId="17" borderId="0" xfId="0" applyFont="1" applyFill="1" applyAlignment="1">
      <alignment horizontal="left" vertical="center"/>
    </xf>
    <xf numFmtId="0" fontId="1" fillId="17" borderId="0" xfId="0" applyFont="1" applyFill="1" applyAlignment="1">
      <alignment horizontal="lef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6797;&#23425;&#26397;&#38451;&#21888;&#24038;&#36890;&#32654;&#26230;&#20307;-&#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28660.61</v>
          </cell>
          <cell r="C14">
            <v>42279.32</v>
          </cell>
          <cell r="D14">
            <v>8610</v>
          </cell>
          <cell r="G14">
            <v>8610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K11">
            <v>0.5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6" customWidth="1"/>
    <col min="2" max="2" width="81" style="2947" customWidth="1"/>
    <col min="3" max="16384" width="9" style="2948"/>
  </cols>
  <sheetData>
    <row r="1" spans="1:2" s="2943" customFormat="1" ht="15.75">
      <c r="A1" s="2949" t="s">
        <v>0</v>
      </c>
      <c r="B1" s="2950" t="s">
        <v>1</v>
      </c>
    </row>
    <row r="2" spans="1:2" s="2944" customFormat="1">
      <c r="A2" s="2951" t="s">
        <v>2</v>
      </c>
      <c r="B2" s="2952" t="str">
        <f>'预评函-封皮'!B37:I37</f>
        <v>辽宁省朝阳市朝阳喀左经济开发区房地产抵押价值预评估</v>
      </c>
    </row>
    <row r="3" spans="1:2" s="2945" customFormat="1">
      <c r="A3" s="2953" t="s">
        <v>3</v>
      </c>
      <c r="B3" s="2954" t="str">
        <f>'预评函-封皮'!B40</f>
        <v>朝阳通美晶体科技有限公司</v>
      </c>
    </row>
    <row r="4" spans="1:2" s="2945" customFormat="1">
      <c r="A4" s="2953" t="s">
        <v>4</v>
      </c>
      <c r="B4" s="2954" t="str">
        <f ca="1">'预评函-封皮'!B46</f>
        <v>郑燚（注册号：0)、崔锴（注册号：0)</v>
      </c>
    </row>
    <row r="5" spans="1:2" s="2943" customFormat="1">
      <c r="A5" s="2955" t="s">
        <v>5</v>
      </c>
      <c r="B5" s="2956" t="str">
        <f>'预评函-封皮'!B49</f>
        <v>康正预评字号</v>
      </c>
    </row>
    <row r="6" spans="1:2" s="2944" customFormat="1">
      <c r="A6" s="2951" t="s">
        <v>6</v>
      </c>
      <c r="B6" s="2952" t="str">
        <f>'预评函-1'!A4</f>
        <v>受贵公司委托，我公司对辽宁省朝阳市朝阳喀左经济开发区房地产抵押价值进行了预评估。</v>
      </c>
    </row>
    <row r="7" spans="1:2" s="2945" customFormat="1">
      <c r="A7" s="2953" t="s">
        <v>7</v>
      </c>
      <c r="B7" s="2954" t="str">
        <f>'预评函-1'!A7</f>
        <v>估价对象为辽宁省朝阳市朝阳喀左经济开发区房地产，为所有。根据《国有土地使用证》[]，估价对象（分摊）出让国有建设用地使用权面积为50693.68平方米。根据《房屋所有权证》[]、《测绘报告》[]，估价对象建筑面积为34364.59平方米。</v>
      </c>
    </row>
    <row r="8" spans="1:2" s="2945" customFormat="1">
      <c r="A8" s="2953" t="s">
        <v>8</v>
      </c>
      <c r="B8" s="2954" t="str">
        <f>'预评函-1'!A8</f>
        <v>估价对象简述。项目推广名，项目类型（用途），估价对象分布，各用途面积明细情况：XX用途建筑面积XX平方米，XX用途建筑面积XX平方米，……。复杂面积清单需设‘附表’列示：抵押物清单详见附表</v>
      </c>
    </row>
    <row r="9" spans="1:2" s="2945" customFormat="1">
      <c r="A9" s="2953" t="s">
        <v>9</v>
      </c>
      <c r="B9" s="2954" t="str">
        <f>'预评函-1'!A10</f>
        <v>估价对象为辽宁省朝阳市朝阳喀左经济开发区房地产,为开发建设的工业项目，该项目尚在开发建设中。根据《国有土地使用证》[]，估价对象（分摊）出让国有建设用地使用权面积为50693.68平方米。根据《房屋所有权证》[]、《测绘报告》[]，估价对象规划建筑面积为34364.59平方米。</v>
      </c>
    </row>
    <row r="10" spans="1:2" s="2945" customFormat="1">
      <c r="A10" s="2953" t="s">
        <v>10</v>
      </c>
      <c r="B10" s="2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5" customFormat="1">
      <c r="A11" s="2953" t="s">
        <v>11</v>
      </c>
      <c r="B11" s="2954" t="str">
        <f>'预评函-1'!A13</f>
        <v>为估价委托人在向办理贷款手续过程中，确定房地产抵押贷款额度提供参考依据而评估房地产抵押价值。</v>
      </c>
    </row>
    <row r="12" spans="1:2" s="2945" customFormat="1">
      <c r="A12" s="2953" t="s">
        <v>12</v>
      </c>
      <c r="B12" s="2954" t="str">
        <f>'预评函-1'!A15</f>
        <v>2021年7月16日（评估专业人员实地查勘之日）</v>
      </c>
    </row>
    <row r="13" spans="1:2" s="2945" customFormat="1">
      <c r="A13" s="2953" t="s">
        <v>13</v>
      </c>
      <c r="B13" s="2954" t="str">
        <f>'预评函-1'!A18</f>
        <v>本次估价的“房地产价值”是指在正常市场情况下，在价值时点2021年7月16日，估价对象规划用途为，土地取得方式为出让，出让国有建设用地使用权剩余土地使用年限为，假定未设立法定优先受偿款下的房地产市场价值。</v>
      </c>
    </row>
    <row r="14" spans="1:2" s="2945" customFormat="1">
      <c r="A14" s="2953" t="s">
        <v>14</v>
      </c>
      <c r="B14" s="295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5" customFormat="1">
      <c r="A15" s="2953" t="s">
        <v>15</v>
      </c>
      <c r="B15" s="2954" t="str">
        <f>'预评函-1'!A20</f>
        <v>本次估价的“房地产抵押价值”是指估价对象在价值时点的“房地产价值”扣减估价师于价值时点所知悉的法定优先受偿款后的余额。</v>
      </c>
    </row>
    <row r="16" spans="1:2" s="2945" customFormat="1">
      <c r="A16" s="2953" t="s">
        <v>16</v>
      </c>
      <c r="B16" s="29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5" customFormat="1">
      <c r="A17" s="2953" t="s">
        <v>17</v>
      </c>
      <c r="B17" s="2954" t="str">
        <f>'预评函-1'!A22</f>
        <v/>
      </c>
    </row>
    <row r="18" spans="1:2" s="2943" customFormat="1">
      <c r="A18" s="2955" t="s">
        <v>18</v>
      </c>
      <c r="B18" s="2956" t="str">
        <f>'预评函-1'!A24</f>
        <v>本次评估采用的主估价方法为比较法和假设开发法。</v>
      </c>
    </row>
    <row r="19" spans="1:2" s="2944" customFormat="1">
      <c r="A19" s="2951" t="s">
        <v>19</v>
      </c>
      <c r="B19" s="29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5" customFormat="1">
      <c r="A20" s="2953" t="s">
        <v>20</v>
      </c>
      <c r="B20" s="2954">
        <f ca="1">'预评函-2'!D5</f>
        <v>1430</v>
      </c>
    </row>
    <row r="21" spans="1:2" s="2945" customFormat="1">
      <c r="A21" s="2953" t="s">
        <v>21</v>
      </c>
      <c r="B21" s="2954">
        <f ca="1">'预评函-2'!D7</f>
        <v>416</v>
      </c>
    </row>
    <row r="22" spans="1:2" s="2945" customFormat="1">
      <c r="A22" s="2953" t="s">
        <v>22</v>
      </c>
      <c r="B22" s="2954" t="str">
        <f ca="1">'预评函-2'!D6</f>
        <v>壹仟肆佰叁拾万元整</v>
      </c>
    </row>
    <row r="23" spans="1:2" s="2945" customFormat="1">
      <c r="A23" s="2953" t="s">
        <v>23</v>
      </c>
      <c r="B23" s="2954" t="str">
        <f>'预评函-2'!B8</f>
        <v>2.估价师知悉的法定优先受偿款</v>
      </c>
    </row>
    <row r="24" spans="1:2" s="2945" customFormat="1">
      <c r="A24" s="2953" t="s">
        <v>24</v>
      </c>
      <c r="B24" s="2954">
        <f>'预评函-2'!D8</f>
        <v>0</v>
      </c>
    </row>
    <row r="25" spans="1:2" s="2945" customFormat="1">
      <c r="A25" s="2953" t="s">
        <v>25</v>
      </c>
      <c r="B25" s="2954" t="str">
        <f>'预评函-2'!D9</f>
        <v>零元整</v>
      </c>
    </row>
    <row r="26" spans="1:2" s="2945" customFormat="1">
      <c r="A26" s="2953" t="s">
        <v>26</v>
      </c>
      <c r="B26" s="2954">
        <f>'预评函-2'!D10</f>
        <v>0</v>
      </c>
    </row>
    <row r="27" spans="1:2" s="2945" customFormat="1">
      <c r="A27" s="2953" t="s">
        <v>27</v>
      </c>
      <c r="B27" s="2954">
        <f>'预评函-2'!D11</f>
        <v>0</v>
      </c>
    </row>
    <row r="28" spans="1:2" s="2945" customFormat="1">
      <c r="A28" s="2953" t="s">
        <v>28</v>
      </c>
      <c r="B28" s="2954">
        <f>'预评函-2'!D12</f>
        <v>0</v>
      </c>
    </row>
    <row r="29" spans="1:2" s="2945" customFormat="1">
      <c r="A29" s="2953" t="s">
        <v>29</v>
      </c>
      <c r="B29" s="2954" t="str">
        <f>'预评函-2'!B13</f>
        <v>3.房地产抵押价值</v>
      </c>
    </row>
    <row r="30" spans="1:2" s="2945" customFormat="1">
      <c r="A30" s="2953" t="s">
        <v>30</v>
      </c>
      <c r="B30" s="2954">
        <f ca="1">'预评函-2'!D13</f>
        <v>1430</v>
      </c>
    </row>
    <row r="31" spans="1:2" s="2945" customFormat="1">
      <c r="A31" s="2953" t="s">
        <v>31</v>
      </c>
      <c r="B31" s="2954">
        <f ca="1">'预评函-2'!D15</f>
        <v>416</v>
      </c>
    </row>
    <row r="32" spans="1:2" s="2945" customFormat="1">
      <c r="A32" s="2953" t="s">
        <v>32</v>
      </c>
      <c r="B32" s="2954" t="str">
        <f ca="1">'预评函-2'!D14</f>
        <v>壹仟肆佰叁拾万元整</v>
      </c>
    </row>
    <row r="33" spans="1:2" s="2945" customFormat="1">
      <c r="A33" s="2953" t="s">
        <v>33</v>
      </c>
      <c r="B33" s="2954" t="str">
        <f>'预评函-2'!B16</f>
        <v>——</v>
      </c>
    </row>
    <row r="34" spans="1:2" s="2945" customFormat="1">
      <c r="A34" s="2953" t="s">
        <v>34</v>
      </c>
      <c r="B34" s="2954" t="str">
        <f>'预评函-2'!D16</f>
        <v>——</v>
      </c>
    </row>
    <row r="35" spans="1:2" s="2945" customFormat="1">
      <c r="A35" s="2953" t="s">
        <v>35</v>
      </c>
      <c r="B35" s="2954" t="str">
        <f>'预评函-2'!D18</f>
        <v>——</v>
      </c>
    </row>
    <row r="36" spans="1:2" s="2945" customFormat="1">
      <c r="A36" s="2953" t="s">
        <v>36</v>
      </c>
      <c r="B36" s="2954" t="e">
        <f>'预评函-2'!D17</f>
        <v>#VALUE!</v>
      </c>
    </row>
    <row r="37" spans="1:2" s="2945" customFormat="1">
      <c r="A37" s="2953" t="s">
        <v>37</v>
      </c>
      <c r="B37" s="2954" t="str">
        <f>'预评函-2'!B19</f>
        <v>——</v>
      </c>
    </row>
    <row r="38" spans="1:2" s="2945" customFormat="1">
      <c r="A38" s="2953" t="s">
        <v>38</v>
      </c>
      <c r="B38" s="2954" t="str">
        <f>'预评函-2'!D19</f>
        <v>——</v>
      </c>
    </row>
    <row r="39" spans="1:2" s="2945" customFormat="1">
      <c r="A39" s="2953" t="s">
        <v>39</v>
      </c>
      <c r="B39" s="2954" t="str">
        <f>'预评函-2'!D21</f>
        <v>——</v>
      </c>
    </row>
    <row r="40" spans="1:2" s="2945" customFormat="1">
      <c r="A40" s="2953" t="s">
        <v>40</v>
      </c>
      <c r="B40" s="2954" t="e">
        <f>'预评函-2'!D20</f>
        <v>#VALUE!</v>
      </c>
    </row>
    <row r="41" spans="1:2" s="2945" customFormat="1">
      <c r="A41" s="2953" t="s">
        <v>41</v>
      </c>
      <c r="B41" s="2954" t="str">
        <f>'预评函-3'!A4</f>
        <v>辽宁省朝阳市朝阳喀左经济开发区房地产</v>
      </c>
    </row>
    <row r="42" spans="1:2" s="2945" customFormat="1">
      <c r="A42" s="2953" t="s">
        <v>42</v>
      </c>
      <c r="B42" s="2954" t="str">
        <f>'预评函-3'!B2</f>
        <v>建筑面积</v>
      </c>
    </row>
    <row r="43" spans="1:2" s="2945" customFormat="1">
      <c r="A43" s="2953" t="s">
        <v>43</v>
      </c>
      <c r="B43" s="2954">
        <f>'预评函-3'!B4</f>
        <v>34364.589999999997</v>
      </c>
    </row>
    <row r="44" spans="1:2" s="2945" customFormat="1">
      <c r="A44" s="2953" t="s">
        <v>44</v>
      </c>
      <c r="B44" s="2954" t="str">
        <f>'预评函-3'!C2</f>
        <v>(分摊)土地面积</v>
      </c>
    </row>
    <row r="45" spans="1:2" s="2945" customFormat="1">
      <c r="A45" s="2953" t="s">
        <v>45</v>
      </c>
      <c r="B45" s="2954">
        <f>'预评函-3'!C4</f>
        <v>50693.68</v>
      </c>
    </row>
    <row r="46" spans="1:2" s="2945" customFormat="1">
      <c r="A46" s="2953" t="s">
        <v>46</v>
      </c>
      <c r="B46" s="2954" t="str">
        <f>'预评函-3'!D2</f>
        <v>出让国有建设用地使用权价值</v>
      </c>
    </row>
    <row r="47" spans="1:2" s="2945" customFormat="1">
      <c r="A47" s="2953" t="s">
        <v>47</v>
      </c>
      <c r="B47" s="2954">
        <f ca="1">'预评函-3'!D4</f>
        <v>1430</v>
      </c>
    </row>
    <row r="48" spans="1:2" s="2945" customFormat="1">
      <c r="A48" s="2953" t="s">
        <v>48</v>
      </c>
      <c r="B48" s="2954">
        <f ca="1">'预评函-3'!E4</f>
        <v>416</v>
      </c>
    </row>
    <row r="49" spans="1:2" s="2945" customFormat="1">
      <c r="A49" s="2953" t="s">
        <v>49</v>
      </c>
      <c r="B49" s="2954" t="str">
        <f ca="1">'预评函-3'!D5</f>
        <v>壹仟肆佰叁拾万元整</v>
      </c>
    </row>
    <row r="50" spans="1:2" s="2945" customFormat="1">
      <c r="A50" s="2953" t="s">
        <v>50</v>
      </c>
      <c r="B50" s="2954" t="str">
        <f>'预评函-3'!F2</f>
        <v>在建建筑物价值</v>
      </c>
    </row>
    <row r="51" spans="1:2" s="2945" customFormat="1">
      <c r="A51" s="2953" t="s">
        <v>51</v>
      </c>
      <c r="B51" s="2954">
        <f ca="1">'预评函-3'!F4</f>
        <v>0</v>
      </c>
    </row>
    <row r="52" spans="1:2" s="2945" customFormat="1">
      <c r="A52" s="2953" t="s">
        <v>52</v>
      </c>
      <c r="B52" s="2954">
        <f ca="1">'预评函-3'!G4</f>
        <v>0</v>
      </c>
    </row>
    <row r="53" spans="1:2" s="2945" customFormat="1">
      <c r="A53" s="2953" t="s">
        <v>53</v>
      </c>
      <c r="B53" s="2954" t="str">
        <f ca="1">'预评函-3'!F5</f>
        <v>零元整</v>
      </c>
    </row>
    <row r="54" spans="1:2" s="2945" customFormat="1">
      <c r="A54" s="2953" t="s">
        <v>54</v>
      </c>
      <c r="B54" s="2954" t="str">
        <f>'预评函-3'!A8</f>
        <v>房地产抵押价值</v>
      </c>
    </row>
    <row r="55" spans="1:2" s="2945" customFormat="1">
      <c r="A55" s="2953" t="s">
        <v>55</v>
      </c>
      <c r="B55" s="2954" t="str">
        <f>'预评函-3'!A10</f>
        <v/>
      </c>
    </row>
    <row r="56" spans="1:2" s="2945" customFormat="1">
      <c r="A56" s="2953" t="s">
        <v>56</v>
      </c>
      <c r="B56" s="2954" t="str">
        <f>'预评函-3'!A12</f>
        <v/>
      </c>
    </row>
    <row r="57" spans="1:2" s="2943" customFormat="1">
      <c r="A57" s="2955" t="s">
        <v>57</v>
      </c>
      <c r="B57" s="2956" t="str">
        <f>'预评函-3'!A6</f>
        <v>估价师知悉的法定优先受偿款</v>
      </c>
    </row>
    <row r="58" spans="1:2" s="2944" customFormat="1">
      <c r="A58" s="2951" t="s">
        <v>58</v>
      </c>
      <c r="B58" s="2952" t="str">
        <f>'预评函-4'!A12</f>
        <v>2.本《评估意见函》仅供金融机构进行内部审核使用，不做其他目的之用。</v>
      </c>
    </row>
    <row r="59" spans="1:2" s="2945" customFormat="1">
      <c r="A59" s="2953" t="s">
        <v>59</v>
      </c>
      <c r="B59" s="2954" t="str">
        <f>'预评函-4'!A13</f>
        <v>3.抵押双方在办理抵押登记手续时，应使用本公司出具的正式《房地产评估报告》，特提醒报告使用者注意。</v>
      </c>
    </row>
    <row r="60" spans="1:2" s="2945" customFormat="1">
      <c r="A60" s="2953" t="s">
        <v>60</v>
      </c>
      <c r="B60" s="2954" t="str">
        <f>'预评函-4'!A14</f>
        <v>4.本次评估估价师所知悉的法定优先受偿款情况说明如下：</v>
      </c>
    </row>
    <row r="61" spans="1:2" s="2945" customFormat="1">
      <c r="A61" s="2953" t="s">
        <v>61</v>
      </c>
      <c r="B61" s="2954" t="str">
        <f>'预评函-4'!A15</f>
        <v>（1）根据估价对象《不动产权证书》原件、，截至价值时点，估价对象抵押权未见登记。</v>
      </c>
    </row>
    <row r="62" spans="1:2" s="2945" customFormat="1">
      <c r="A62" s="2953" t="s">
        <v>62</v>
      </c>
      <c r="B62" s="2954" t="str">
        <f>'预评函-4'!A16</f>
        <v>（2）根据《工程款支付情况说明》，截至价值时点，估价对象不存在应付未付工程款项。（只要没有施工方盖章的，均“设定”进行表述）</v>
      </c>
    </row>
    <row r="63" spans="1:2" s="2945" customFormat="1">
      <c r="A63" s="2953" t="s">
        <v>63</v>
      </c>
      <c r="B63" s="2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5" customFormat="1">
      <c r="A64" s="2953" t="s">
        <v>64</v>
      </c>
      <c r="B64" s="2954" t="str">
        <f>'预评函-4'!A18</f>
        <v>故，本次评估不存在估价师知悉的法定优先受偿款</v>
      </c>
    </row>
    <row r="65" spans="1:2" s="2945" customFormat="1">
      <c r="A65" s="2953" t="s">
        <v>65</v>
      </c>
      <c r="B65" s="29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5" customFormat="1">
      <c r="A66" s="2953" t="s">
        <v>66</v>
      </c>
      <c r="B66" s="2954" t="str">
        <f>'预评函-4'!A20</f>
        <v>——</v>
      </c>
    </row>
    <row r="67" spans="1:2" s="2945" customFormat="1">
      <c r="A67" s="2953" t="s">
        <v>67</v>
      </c>
      <c r="B67" s="2954" t="str">
        <f>'预评函-4'!A21</f>
        <v>——</v>
      </c>
    </row>
    <row r="68" spans="1:2" s="2945" customFormat="1">
      <c r="A68" s="2953" t="s">
        <v>68</v>
      </c>
      <c r="B68" s="2954" t="str">
        <f>'预评函-4'!A22</f>
        <v>8.其他需特殊说明事项：无（注意调整序号）</v>
      </c>
    </row>
    <row r="69" spans="1:2" s="2943" customFormat="1">
      <c r="A69" s="2955" t="s">
        <v>69</v>
      </c>
      <c r="B69" s="2957">
        <f>'预评函-4'!C31</f>
        <v>42551</v>
      </c>
    </row>
    <row r="70" spans="1:2">
      <c r="A70" s="2958" t="s">
        <v>70</v>
      </c>
      <c r="B70" s="2959" t="str">
        <f>'预评函-4'!A4</f>
        <v>郑燚</v>
      </c>
    </row>
    <row r="71" spans="1:2">
      <c r="A71" s="2953" t="s">
        <v>71</v>
      </c>
      <c r="B71" s="2954">
        <f ca="1">'预评函-4'!B4</f>
        <v>0</v>
      </c>
    </row>
    <row r="72" spans="1:2">
      <c r="A72" s="2953" t="s">
        <v>72</v>
      </c>
      <c r="B72" s="2960" t="str">
        <f>'预评函-4'!A5</f>
        <v>崔锴</v>
      </c>
    </row>
    <row r="73" spans="1:2" s="2943" customFormat="1">
      <c r="A73" s="2955" t="s">
        <v>73</v>
      </c>
      <c r="B73" s="2956">
        <f ca="1">'预评函-4'!B5</f>
        <v>0</v>
      </c>
    </row>
    <row r="74" spans="1:2">
      <c r="A74" s="2946" t="s">
        <v>74</v>
      </c>
      <c r="B74" s="2947"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t="s">
        <v>242</v>
      </c>
      <c r="C3" s="2831" t="s">
        <v>243</v>
      </c>
      <c r="D3" s="2823" t="s">
        <v>244</v>
      </c>
      <c r="E3" s="2823" t="s">
        <v>124</v>
      </c>
      <c r="F3" s="2823" t="s">
        <v>160</v>
      </c>
      <c r="G3" s="2823">
        <v>50</v>
      </c>
      <c r="H3" s="2823" t="s">
        <v>160</v>
      </c>
      <c r="I3" s="2823" t="s">
        <v>245</v>
      </c>
      <c r="J3" s="2823" t="s">
        <v>246</v>
      </c>
      <c r="K3" s="2823" t="s">
        <v>247</v>
      </c>
      <c r="L3" s="2823" t="s">
        <v>247</v>
      </c>
      <c r="M3" s="2823" t="s">
        <v>247</v>
      </c>
      <c r="N3" s="2823" t="s">
        <v>247</v>
      </c>
      <c r="O3" s="2823" t="s">
        <v>247</v>
      </c>
      <c r="P3" s="2823" t="s">
        <v>247</v>
      </c>
      <c r="Q3" s="2823" t="s">
        <v>247</v>
      </c>
      <c r="R3" s="2823" t="s">
        <v>248</v>
      </c>
      <c r="S3" s="2823" t="s">
        <v>247</v>
      </c>
      <c r="T3" s="2823" t="s">
        <v>249</v>
      </c>
      <c r="U3" s="2823" t="s">
        <v>247</v>
      </c>
      <c r="V3" s="2823" t="s">
        <v>250</v>
      </c>
      <c r="W3" s="2823" t="s">
        <v>247</v>
      </c>
    </row>
    <row r="4" spans="1:23">
      <c r="A4" s="2828" t="s">
        <v>251</v>
      </c>
      <c r="B4" s="2828" t="s">
        <v>252</v>
      </c>
      <c r="C4" s="2829" t="s">
        <v>253</v>
      </c>
      <c r="D4" s="2823" t="s">
        <v>124</v>
      </c>
      <c r="E4" s="2823" t="s">
        <v>254</v>
      </c>
      <c r="F4" s="2823" t="s">
        <v>161</v>
      </c>
      <c r="G4" s="2823">
        <v>70</v>
      </c>
      <c r="H4" s="2823" t="s">
        <v>161</v>
      </c>
      <c r="I4" s="2823" t="s">
        <v>255</v>
      </c>
      <c r="K4" s="2823" t="s">
        <v>256</v>
      </c>
      <c r="L4" s="2823" t="s">
        <v>256</v>
      </c>
      <c r="M4" s="2823" t="s">
        <v>256</v>
      </c>
      <c r="N4" s="2823" t="s">
        <v>256</v>
      </c>
      <c r="O4" s="2823" t="s">
        <v>256</v>
      </c>
      <c r="P4" s="2823" t="s">
        <v>256</v>
      </c>
      <c r="Q4" s="2823" t="s">
        <v>256</v>
      </c>
      <c r="R4" s="2823" t="s">
        <v>257</v>
      </c>
      <c r="S4" s="2823" t="s">
        <v>256</v>
      </c>
      <c r="T4" s="2823" t="s">
        <v>258</v>
      </c>
      <c r="U4" s="2823" t="s">
        <v>256</v>
      </c>
      <c r="W4" s="2823" t="s">
        <v>256</v>
      </c>
    </row>
    <row r="5" spans="1:23">
      <c r="A5" s="2828" t="s">
        <v>259</v>
      </c>
      <c r="B5" s="2828" t="s">
        <v>260</v>
      </c>
      <c r="C5" s="2829" t="s">
        <v>261</v>
      </c>
      <c r="F5" s="2823" t="s">
        <v>162</v>
      </c>
      <c r="H5" s="2823" t="s">
        <v>262</v>
      </c>
      <c r="I5" s="2823" t="s">
        <v>263</v>
      </c>
      <c r="K5" s="2823" t="s">
        <v>264</v>
      </c>
      <c r="L5" s="2823" t="s">
        <v>264</v>
      </c>
      <c r="M5" s="2823" t="s">
        <v>264</v>
      </c>
      <c r="N5" s="2823" t="s">
        <v>264</v>
      </c>
      <c r="O5" s="2823" t="s">
        <v>264</v>
      </c>
      <c r="P5" s="2823" t="s">
        <v>264</v>
      </c>
      <c r="Q5" s="2823" t="s">
        <v>264</v>
      </c>
      <c r="R5" s="2823" t="s">
        <v>265</v>
      </c>
      <c r="S5" s="2823" t="s">
        <v>264</v>
      </c>
      <c r="T5" s="2823" t="s">
        <v>266</v>
      </c>
      <c r="U5" s="2823" t="s">
        <v>264</v>
      </c>
      <c r="W5" s="2823" t="s">
        <v>264</v>
      </c>
    </row>
    <row r="6" spans="1:23">
      <c r="A6" s="2828" t="s">
        <v>267</v>
      </c>
      <c r="B6" s="2830" t="s">
        <v>268</v>
      </c>
      <c r="C6" s="2832" t="s">
        <v>269</v>
      </c>
      <c r="F6" s="2823" t="s">
        <v>262</v>
      </c>
      <c r="H6" s="2823" t="s">
        <v>164</v>
      </c>
      <c r="I6" s="2823" t="s">
        <v>270</v>
      </c>
      <c r="K6" s="2823" t="s">
        <v>271</v>
      </c>
      <c r="L6" s="2823" t="s">
        <v>271</v>
      </c>
      <c r="M6" s="2823" t="s">
        <v>271</v>
      </c>
      <c r="N6" s="2823" t="s">
        <v>271</v>
      </c>
      <c r="O6" s="2823" t="s">
        <v>271</v>
      </c>
      <c r="P6" s="2823" t="s">
        <v>271</v>
      </c>
      <c r="Q6" s="2823" t="s">
        <v>271</v>
      </c>
      <c r="R6" s="2823" t="s">
        <v>272</v>
      </c>
      <c r="S6" s="2823" t="s">
        <v>271</v>
      </c>
      <c r="T6" s="2823"/>
      <c r="U6" s="2823" t="s">
        <v>271</v>
      </c>
      <c r="W6" s="2823" t="s">
        <v>271</v>
      </c>
    </row>
    <row r="7" spans="1:23">
      <c r="A7" s="2828" t="s">
        <v>273</v>
      </c>
      <c r="B7" s="2830" t="s">
        <v>274</v>
      </c>
      <c r="C7" s="2829" t="s">
        <v>275</v>
      </c>
      <c r="F7" s="2823" t="s">
        <v>276</v>
      </c>
      <c r="H7" s="2823" t="s">
        <v>162</v>
      </c>
      <c r="I7" s="2823" t="s">
        <v>277</v>
      </c>
    </row>
    <row r="8" spans="1:23">
      <c r="A8" s="2828" t="s">
        <v>278</v>
      </c>
      <c r="B8" s="2828" t="s">
        <v>279</v>
      </c>
      <c r="C8" s="2829" t="s">
        <v>280</v>
      </c>
      <c r="F8" s="2823" t="s">
        <v>281</v>
      </c>
      <c r="H8" s="2823"/>
      <c r="I8" s="2823" t="s">
        <v>282</v>
      </c>
    </row>
    <row r="9" spans="1:23">
      <c r="A9" s="2828" t="s">
        <v>283</v>
      </c>
      <c r="B9" s="2828" t="s">
        <v>284</v>
      </c>
      <c r="C9" s="2829" t="s">
        <v>285</v>
      </c>
      <c r="F9" s="2823" t="s">
        <v>164</v>
      </c>
      <c r="H9" s="2823"/>
    </row>
    <row r="10" spans="1:23">
      <c r="A10" s="2828" t="s">
        <v>286</v>
      </c>
      <c r="B10" s="2828" t="s">
        <v>287</v>
      </c>
      <c r="C10" s="2829" t="s">
        <v>288</v>
      </c>
      <c r="F10" s="2823" t="s">
        <v>124</v>
      </c>
    </row>
    <row r="11" spans="1:23">
      <c r="A11" s="2828" t="s">
        <v>289</v>
      </c>
      <c r="B11" s="2828" t="s">
        <v>290</v>
      </c>
      <c r="C11" s="2829" t="s">
        <v>291</v>
      </c>
    </row>
    <row r="12" spans="1:23">
      <c r="A12" s="2828" t="s">
        <v>292</v>
      </c>
      <c r="B12" s="2828" t="s">
        <v>293</v>
      </c>
      <c r="C12" s="2829" t="s">
        <v>294</v>
      </c>
    </row>
    <row r="13" spans="1:23">
      <c r="A13" s="2828" t="s">
        <v>295</v>
      </c>
      <c r="B13" s="2828" t="s">
        <v>296</v>
      </c>
      <c r="C13" s="2829" t="s">
        <v>297</v>
      </c>
    </row>
    <row r="14" spans="1:23">
      <c r="A14" s="2828" t="s">
        <v>298</v>
      </c>
      <c r="B14" s="2828" t="s">
        <v>299</v>
      </c>
      <c r="C14" s="2823" t="s">
        <v>124</v>
      </c>
    </row>
    <row r="15" spans="1:23">
      <c r="A15" s="2828" t="s">
        <v>300</v>
      </c>
      <c r="B15" s="2828" t="s">
        <v>301</v>
      </c>
      <c r="C15" s="2829"/>
    </row>
    <row r="16" spans="1:23">
      <c r="A16" s="2828" t="s">
        <v>302</v>
      </c>
      <c r="B16" s="2828" t="s">
        <v>303</v>
      </c>
      <c r="C16" s="2829"/>
    </row>
    <row r="17" spans="1:3">
      <c r="A17" s="2828" t="s">
        <v>304</v>
      </c>
      <c r="B17" s="2828" t="s">
        <v>305</v>
      </c>
      <c r="C17" s="2829"/>
    </row>
    <row r="18" spans="1:3">
      <c r="A18" s="2828" t="s">
        <v>306</v>
      </c>
      <c r="B18" s="2828" t="s">
        <v>305</v>
      </c>
      <c r="C18" s="2829"/>
    </row>
    <row r="19" spans="1:3">
      <c r="A19" s="2828" t="s">
        <v>307</v>
      </c>
      <c r="B19" s="2828" t="s">
        <v>305</v>
      </c>
      <c r="C19" s="2829"/>
    </row>
    <row r="20" spans="1:3">
      <c r="A20" s="2828" t="s">
        <v>308</v>
      </c>
      <c r="B20" s="2828" t="s">
        <v>305</v>
      </c>
      <c r="C20" s="2829"/>
    </row>
    <row r="21" spans="1:3">
      <c r="A21" s="2828" t="s">
        <v>262</v>
      </c>
      <c r="B21" s="2828" t="s">
        <v>305</v>
      </c>
      <c r="C21" s="2829"/>
    </row>
    <row r="22" spans="1:3">
      <c r="A22" s="2828" t="s">
        <v>309</v>
      </c>
      <c r="B22" s="2828" t="s">
        <v>305</v>
      </c>
      <c r="C22" s="2829"/>
    </row>
    <row r="23" spans="1:3">
      <c r="A23" s="2828" t="s">
        <v>310</v>
      </c>
      <c r="B23" s="2828" t="s">
        <v>305</v>
      </c>
      <c r="C23" s="2829"/>
    </row>
    <row r="24" spans="1:3">
      <c r="A24" s="2828" t="s">
        <v>311</v>
      </c>
      <c r="B24" s="2828" t="s">
        <v>305</v>
      </c>
      <c r="C24" s="2829"/>
    </row>
    <row r="25" spans="1:3">
      <c r="A25" s="2828" t="s">
        <v>312</v>
      </c>
      <c r="B25" s="2828" t="s">
        <v>305</v>
      </c>
      <c r="C25" s="2829"/>
    </row>
    <row r="26" spans="1:3">
      <c r="A26" s="2828" t="s">
        <v>313</v>
      </c>
      <c r="B26" s="2828" t="s">
        <v>305</v>
      </c>
      <c r="C26" s="2829"/>
    </row>
    <row r="27" spans="1:3">
      <c r="A27" s="2828" t="s">
        <v>314</v>
      </c>
      <c r="B27" s="2828" t="s">
        <v>305</v>
      </c>
      <c r="C27" s="2829"/>
    </row>
    <row r="28" spans="1:3">
      <c r="A28" s="2828" t="s">
        <v>305</v>
      </c>
      <c r="B28" s="2828" t="s">
        <v>305</v>
      </c>
      <c r="C28" s="2829"/>
    </row>
    <row r="29" spans="1:3">
      <c r="A29" s="2828" t="s">
        <v>305</v>
      </c>
      <c r="B29" s="2828" t="s">
        <v>305</v>
      </c>
      <c r="C29" s="2829"/>
    </row>
    <row r="30" spans="1:3">
      <c r="A30" s="2828" t="s">
        <v>305</v>
      </c>
      <c r="B30" s="2828" t="s">
        <v>305</v>
      </c>
      <c r="C30" s="2829"/>
    </row>
    <row r="31" spans="1:3">
      <c r="A31" s="2828" t="s">
        <v>305</v>
      </c>
      <c r="B31" s="2828" t="s">
        <v>305</v>
      </c>
      <c r="C31" s="2829"/>
    </row>
    <row r="32" spans="1:3">
      <c r="A32" s="2828" t="s">
        <v>305</v>
      </c>
      <c r="B32" s="2828" t="s">
        <v>305</v>
      </c>
      <c r="C32" s="2829"/>
    </row>
    <row r="33" spans="1:3">
      <c r="A33" s="2828" t="s">
        <v>305</v>
      </c>
      <c r="B33" s="2828" t="s">
        <v>305</v>
      </c>
      <c r="C33" s="2829"/>
    </row>
    <row r="34" spans="1:3">
      <c r="A34" s="2828" t="s">
        <v>305</v>
      </c>
      <c r="B34" s="2828" t="s">
        <v>305</v>
      </c>
      <c r="C34" s="2829"/>
    </row>
    <row r="35" spans="1:3">
      <c r="A35" s="2828" t="s">
        <v>305</v>
      </c>
      <c r="B35" s="2828" t="s">
        <v>305</v>
      </c>
      <c r="C35" s="2829"/>
    </row>
    <row r="36" spans="1:3">
      <c r="A36" s="2828" t="s">
        <v>305</v>
      </c>
      <c r="B36" s="2828" t="s">
        <v>305</v>
      </c>
      <c r="C36" s="2829"/>
    </row>
    <row r="37" spans="1:3">
      <c r="A37" s="2828" t="s">
        <v>305</v>
      </c>
      <c r="B37" s="2828" t="s">
        <v>305</v>
      </c>
      <c r="C37" s="2829"/>
    </row>
    <row r="38" spans="1:3">
      <c r="A38" s="2828" t="s">
        <v>305</v>
      </c>
      <c r="B38" s="2828" t="s">
        <v>305</v>
      </c>
      <c r="C38" s="2829"/>
    </row>
    <row r="39" spans="1:3">
      <c r="A39" s="2828" t="s">
        <v>305</v>
      </c>
      <c r="B39" s="2828" t="s">
        <v>305</v>
      </c>
      <c r="C39" s="2829"/>
    </row>
    <row r="40" spans="1:3">
      <c r="A40" s="2828" t="s">
        <v>305</v>
      </c>
      <c r="B40" s="2828" t="s">
        <v>305</v>
      </c>
      <c r="C40" s="2829"/>
    </row>
    <row r="41" spans="1:3">
      <c r="A41" s="2828" t="s">
        <v>305</v>
      </c>
      <c r="B41" s="2828" t="s">
        <v>305</v>
      </c>
      <c r="C41" s="2829"/>
    </row>
    <row r="42" spans="1:3">
      <c r="A42" s="2828" t="s">
        <v>305</v>
      </c>
      <c r="B42" s="2828" t="s">
        <v>305</v>
      </c>
      <c r="C42" s="2829"/>
    </row>
    <row r="43" spans="1:3">
      <c r="A43" s="2828" t="s">
        <v>305</v>
      </c>
      <c r="B43" s="2828" t="s">
        <v>305</v>
      </c>
      <c r="C43" s="2829"/>
    </row>
    <row r="44" spans="1:3">
      <c r="A44" s="2828" t="s">
        <v>305</v>
      </c>
      <c r="B44" s="2828" t="s">
        <v>305</v>
      </c>
      <c r="C44" s="2829"/>
    </row>
    <row r="45" spans="1:3">
      <c r="A45" s="2828" t="s">
        <v>305</v>
      </c>
      <c r="B45" s="2828" t="s">
        <v>305</v>
      </c>
      <c r="C45" s="2829"/>
    </row>
    <row r="46" spans="1:3">
      <c r="A46" s="2828" t="s">
        <v>305</v>
      </c>
      <c r="B46" s="2828" t="s">
        <v>305</v>
      </c>
      <c r="C46" s="2829"/>
    </row>
    <row r="47" spans="1:3">
      <c r="A47" s="2828" t="s">
        <v>305</v>
      </c>
      <c r="B47" s="2828" t="s">
        <v>305</v>
      </c>
      <c r="C47" s="2829"/>
    </row>
    <row r="48" spans="1:3">
      <c r="A48" s="2828" t="s">
        <v>305</v>
      </c>
      <c r="B48" s="2828" t="s">
        <v>305</v>
      </c>
      <c r="C48" s="2829"/>
    </row>
    <row r="49" spans="1:4">
      <c r="A49" s="2828" t="s">
        <v>305</v>
      </c>
      <c r="B49" s="2828" t="s">
        <v>305</v>
      </c>
      <c r="C49" s="2829"/>
    </row>
    <row r="50" spans="1:4">
      <c r="A50" s="2828" t="s">
        <v>305</v>
      </c>
      <c r="B50" s="2828" t="s">
        <v>305</v>
      </c>
      <c r="C50" s="2829"/>
    </row>
    <row r="51" spans="1:4">
      <c r="A51" s="2833" t="s">
        <v>315</v>
      </c>
      <c r="B51" s="28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朝阳通美晶体科技有限公司拟使用辽宁省朝阳市朝阳喀左经济开发区房地产作为抵押担保物，向办理贷款手续。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24"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834" t="s">
        <v>323</v>
      </c>
      <c r="C54" s="2822" t="s">
        <v>324</v>
      </c>
    </row>
    <row r="55" spans="1:4">
      <c r="A55" s="3024"/>
      <c r="B55" s="2834" t="s">
        <v>325</v>
      </c>
      <c r="C55" s="2822" t="s">
        <v>326</v>
      </c>
    </row>
    <row r="56" spans="1:4">
      <c r="A56" s="3024"/>
      <c r="B56" s="2834" t="s">
        <v>327</v>
      </c>
      <c r="C56" s="2822" t="s">
        <v>328</v>
      </c>
    </row>
    <row r="57" spans="1:4">
      <c r="A57" s="3024"/>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5" sqref="M15"/>
    </sheetView>
  </sheetViews>
  <sheetFormatPr defaultColWidth="10" defaultRowHeight="18" customHeight="1"/>
  <cols>
    <col min="1" max="1" width="14.875" style="2323" customWidth="1"/>
    <col min="2" max="2" width="10" style="2323" customWidth="1"/>
    <col min="3" max="3" width="11.5" style="2323" customWidth="1"/>
    <col min="4" max="6" width="10" style="2323" customWidth="1"/>
    <col min="7" max="7" width="10.75" style="2323" customWidth="1"/>
    <col min="8" max="8" width="10" style="2323" customWidth="1"/>
    <col min="9" max="9" width="11.125" style="2598" customWidth="1"/>
    <col min="10" max="10" width="10" style="2323" customWidth="1"/>
    <col min="11" max="11" width="10" style="2684" customWidth="1"/>
    <col min="12" max="13" width="10" style="2685" customWidth="1"/>
    <col min="14" max="14" width="10" style="2323" customWidth="1"/>
    <col min="15" max="15" width="10" style="2598" customWidth="1"/>
    <col min="16" max="17" width="10" style="2323"/>
    <col min="18" max="18" width="10" style="2323" customWidth="1"/>
    <col min="19" max="16384" width="10" style="2323"/>
  </cols>
  <sheetData>
    <row r="1" spans="1:19" ht="38.25" customHeight="1">
      <c r="A1" s="2686" t="s">
        <v>331</v>
      </c>
      <c r="B1" s="3029" t="str">
        <f>IF(B10="北京市","北京市",C10)&amp;F10&amp;IF(结果表!G1="在建","出让国有建设用地使用权及在建建筑物",IF(结果表!G1="土地","出让国有建设用地使用权",))&amp;B9&amp;"预评估"</f>
        <v>辽宁省朝阳市朝阳喀左经济开发区房地产抵押价值预评估</v>
      </c>
      <c r="C1" s="3030"/>
      <c r="D1" s="3030"/>
      <c r="E1" s="3030"/>
      <c r="F1" s="3030"/>
      <c r="G1" s="3030"/>
      <c r="H1" s="3030"/>
      <c r="I1" s="3031"/>
      <c r="J1" s="2687"/>
      <c r="K1" s="2798"/>
      <c r="L1" s="2799"/>
      <c r="M1" s="2799"/>
      <c r="N1" s="2336"/>
      <c r="O1" s="2600"/>
      <c r="P1" s="2336"/>
      <c r="Q1" s="2336"/>
      <c r="R1" s="2336"/>
      <c r="S1" s="2322" t="str">
        <f>IF(B10="北京市","北京市",C10)&amp;F10&amp;IF(结果表!G1="在建","出让国有建设用地使用权及在建建筑物房地产抵押价值",IF(结果表!G1="土地","出让国有建设用地使用权抵押价值",B9))</f>
        <v>辽宁省朝阳市朝阳喀左经济开发区房地产抵押价值</v>
      </c>
    </row>
    <row r="2" spans="1:19" ht="18" customHeight="1">
      <c r="A2" s="2687" t="s">
        <v>332</v>
      </c>
      <c r="B2" s="2688"/>
      <c r="C2" s="2689"/>
      <c r="D2" s="2687"/>
      <c r="E2" s="2690"/>
      <c r="F2" s="2690"/>
      <c r="G2" s="2687"/>
      <c r="H2" s="2687"/>
      <c r="I2" s="2687"/>
      <c r="J2" s="2687"/>
      <c r="K2" s="2798"/>
      <c r="L2" s="2799"/>
      <c r="M2" s="2799"/>
      <c r="N2" s="2336"/>
      <c r="O2" s="2600"/>
      <c r="P2" s="2336"/>
      <c r="Q2" s="2336"/>
      <c r="R2" s="2336"/>
      <c r="S2" s="2322" t="str">
        <f>IF(B10="北京市","北京市",C10)&amp;F10&amp;IF(结果表!G1="在建","出让国有建设用地使用权及在建建筑物房地产",IF(结果表!G1="土地","出让国有建设用地使用权","房地产"))</f>
        <v>辽宁省朝阳市朝阳喀左经济开发区房地产</v>
      </c>
    </row>
    <row r="3" spans="1:19" ht="18" customHeight="1">
      <c r="A3" s="2691" t="s">
        <v>333</v>
      </c>
      <c r="B3" s="2692">
        <v>44393</v>
      </c>
      <c r="C3" s="2693" t="s">
        <v>334</v>
      </c>
      <c r="D3" s="2694">
        <f>B3</f>
        <v>44393</v>
      </c>
      <c r="E3" s="2687"/>
      <c r="F3" s="2687"/>
      <c r="G3" s="2687"/>
      <c r="H3" s="2687"/>
      <c r="I3" s="2687"/>
      <c r="J3" s="2687"/>
      <c r="K3" s="2798"/>
      <c r="L3" s="2799"/>
      <c r="M3" s="2799"/>
      <c r="N3" s="2336"/>
      <c r="O3" s="2600"/>
      <c r="P3" s="2336"/>
      <c r="Q3" s="2336"/>
      <c r="R3" s="2336"/>
      <c r="S3" s="2322"/>
    </row>
    <row r="4" spans="1:19" ht="18" customHeight="1">
      <c r="A4" s="2695" t="s">
        <v>335</v>
      </c>
      <c r="B4" s="2696" t="s">
        <v>190</v>
      </c>
      <c r="C4" s="2697">
        <f ca="1">SUMIF(注册房地产估价师,B4,估价师及机构信息!B3:B24)</f>
        <v>0</v>
      </c>
      <c r="D4" s="2698" t="s">
        <v>189</v>
      </c>
      <c r="E4" s="2699">
        <f ca="1">SUMIF(注册房地产估价师,D4,估价师及机构信息!B3:B24)</f>
        <v>0</v>
      </c>
      <c r="F4" s="2698" t="s">
        <v>124</v>
      </c>
      <c r="G4" s="2700">
        <f>SUMIF(注册房地产估价师,F4,估价师及机构信息!B3:B24)</f>
        <v>0</v>
      </c>
      <c r="H4" s="2698" t="s">
        <v>124</v>
      </c>
      <c r="I4" s="2800">
        <f>SUMIF(注册房地产估价师,H4,估价师及机构信息!B3:B24)</f>
        <v>0</v>
      </c>
      <c r="J4" s="2705"/>
      <c r="K4" s="2801" t="str">
        <f ca="1">CONCATENATE(B4,"（注册号：",C4,")、",D4,"（注册号：",E4,")")</f>
        <v>郑燚（注册号：0)、崔锴（注册号：0)</v>
      </c>
      <c r="L4" s="2799"/>
      <c r="M4" s="2799"/>
      <c r="N4" s="2336"/>
      <c r="O4" s="2600"/>
      <c r="P4" s="2336"/>
      <c r="Q4" s="2336"/>
      <c r="R4" s="2336"/>
      <c r="S4" s="2322"/>
    </row>
    <row r="5" spans="1:19" ht="18" customHeight="1">
      <c r="A5" s="2701" t="s">
        <v>336</v>
      </c>
      <c r="B5" s="2702" t="s">
        <v>2564</v>
      </c>
      <c r="C5" s="2703"/>
      <c r="D5" s="2704"/>
      <c r="E5" s="2705"/>
      <c r="F5" s="2705"/>
      <c r="G5" s="2705"/>
      <c r="H5" s="2705"/>
      <c r="I5" s="2705"/>
      <c r="J5" s="2705"/>
      <c r="K5" s="2801" t="str">
        <f>IF(F4="——","",IF(H4="——",F4&amp;"（注册号："&amp;G4&amp;")",CONCATENATE(F4,"（注册号：",G4,")、",H4,"（注册号：",I4,")")))</f>
        <v/>
      </c>
      <c r="L5" s="2799"/>
      <c r="M5" s="2799"/>
      <c r="N5" s="2336"/>
      <c r="O5" s="2600"/>
      <c r="P5" s="2336"/>
      <c r="Q5" s="2336"/>
      <c r="R5" s="2336"/>
    </row>
    <row r="6" spans="1:19" ht="18" customHeight="1">
      <c r="A6" s="2706" t="s">
        <v>337</v>
      </c>
      <c r="B6" s="2707"/>
      <c r="C6" s="2708"/>
      <c r="D6" s="2709"/>
      <c r="E6" s="2690"/>
      <c r="F6" s="2705"/>
      <c r="G6" s="2705"/>
      <c r="H6" s="2705"/>
      <c r="I6" s="2705"/>
      <c r="J6" s="2705"/>
      <c r="K6" s="2802" t="str">
        <f>IF(COUNTIF(B6,"*上海银行*"),"上海银行","")</f>
        <v/>
      </c>
      <c r="L6" s="2799"/>
      <c r="M6" s="2799"/>
      <c r="N6" s="2336"/>
      <c r="O6" s="2600"/>
      <c r="P6" s="2336"/>
      <c r="Q6" s="2336"/>
      <c r="R6" s="2336"/>
    </row>
    <row r="7" spans="1:19" ht="18" customHeight="1">
      <c r="A7" s="2706" t="s">
        <v>338</v>
      </c>
      <c r="B7" s="2710" t="str">
        <f>B5</f>
        <v>朝阳通美晶体科技有限公司</v>
      </c>
      <c r="C7" s="2708"/>
      <c r="D7" s="2709"/>
      <c r="E7" s="2690"/>
      <c r="F7" s="2705"/>
      <c r="G7" s="2705"/>
      <c r="H7" s="2705"/>
      <c r="I7" s="2705"/>
      <c r="J7" s="2705"/>
      <c r="K7" s="2803"/>
      <c r="L7" s="2799"/>
      <c r="M7" s="2799"/>
      <c r="N7" s="2336"/>
      <c r="O7" s="2600"/>
      <c r="P7" s="2336"/>
      <c r="Q7" s="2336"/>
      <c r="R7" s="2336"/>
    </row>
    <row r="8" spans="1:19" ht="18" customHeight="1">
      <c r="A8" s="2706" t="s">
        <v>339</v>
      </c>
      <c r="B8" s="2711" t="s">
        <v>318</v>
      </c>
      <c r="C8" s="2712"/>
      <c r="D8" s="3044" t="s">
        <v>340</v>
      </c>
      <c r="E8" s="2713" t="s">
        <v>323</v>
      </c>
      <c r="F8" s="2714"/>
      <c r="G8" s="2687"/>
      <c r="H8" s="2687"/>
      <c r="I8" s="2687"/>
      <c r="J8" s="2705"/>
      <c r="K8" s="2801"/>
      <c r="L8" s="2799"/>
      <c r="M8" s="2799"/>
      <c r="N8" s="2336"/>
      <c r="O8" s="2600"/>
      <c r="P8" s="2336"/>
      <c r="Q8" s="2336"/>
      <c r="R8" s="2336"/>
    </row>
    <row r="9" spans="1:19" ht="18" customHeight="1">
      <c r="A9" s="2700" t="s">
        <v>341</v>
      </c>
      <c r="B9" s="2715" t="s">
        <v>323</v>
      </c>
      <c r="C9" s="2716"/>
      <c r="D9" s="3045"/>
      <c r="E9" s="2715" t="s">
        <v>124</v>
      </c>
      <c r="F9" s="2717"/>
      <c r="G9" s="2718"/>
      <c r="H9" s="2718"/>
      <c r="I9" s="2718"/>
      <c r="J9" s="2705"/>
      <c r="K9" s="2803"/>
      <c r="L9" s="2799"/>
      <c r="M9" s="2799"/>
      <c r="N9" s="2336"/>
      <c r="O9" s="2600"/>
      <c r="P9" s="2336"/>
      <c r="Q9" s="2336"/>
      <c r="R9" s="2336"/>
    </row>
    <row r="10" spans="1:19" ht="18" customHeight="1">
      <c r="A10" s="2719" t="s">
        <v>342</v>
      </c>
      <c r="B10" s="2720" t="s">
        <v>343</v>
      </c>
      <c r="C10" s="2721" t="s">
        <v>2565</v>
      </c>
      <c r="D10" s="2704"/>
      <c r="E10" s="2722" t="s">
        <v>344</v>
      </c>
      <c r="F10" s="2967" t="s">
        <v>2566</v>
      </c>
      <c r="G10" s="2723"/>
      <c r="H10" s="2724"/>
      <c r="I10" s="2704"/>
      <c r="J10" s="2705"/>
      <c r="K10" s="2803"/>
      <c r="L10" s="2799"/>
      <c r="M10" s="2799"/>
      <c r="N10" s="2336"/>
      <c r="O10" s="2600"/>
      <c r="P10" s="2336"/>
      <c r="Q10" s="2336"/>
      <c r="R10" s="2336"/>
    </row>
    <row r="11" spans="1:19" ht="18" customHeight="1">
      <c r="A11" s="2725" t="s">
        <v>345</v>
      </c>
      <c r="B11" s="1972" t="s">
        <v>346</v>
      </c>
      <c r="C11" s="2726"/>
      <c r="D11" s="2727"/>
      <c r="E11" s="2705"/>
      <c r="F11" s="2705"/>
      <c r="G11" s="2705"/>
      <c r="H11" s="2705"/>
      <c r="I11" s="2705"/>
      <c r="J11" s="2705"/>
      <c r="K11" s="2803"/>
      <c r="L11" s="2799"/>
      <c r="M11" s="2799"/>
      <c r="N11" s="2336"/>
      <c r="O11" s="2600"/>
      <c r="P11" s="2336"/>
      <c r="Q11" s="2336"/>
      <c r="R11" s="2336"/>
    </row>
    <row r="12" spans="1:19" ht="18" customHeight="1">
      <c r="A12" s="2728" t="s">
        <v>347</v>
      </c>
      <c r="B12" s="1972" t="s">
        <v>348</v>
      </c>
      <c r="C12" s="2504" t="s">
        <v>349</v>
      </c>
      <c r="D12" s="2729" t="s">
        <v>350</v>
      </c>
      <c r="E12" s="2729" t="s">
        <v>351</v>
      </c>
      <c r="F12" s="2729" t="s">
        <v>352</v>
      </c>
      <c r="G12" s="2729" t="s">
        <v>353</v>
      </c>
      <c r="H12" s="2729" t="s">
        <v>354</v>
      </c>
      <c r="I12" s="2729" t="s">
        <v>355</v>
      </c>
      <c r="J12" s="2705"/>
      <c r="K12" s="2803"/>
      <c r="L12" s="2799"/>
      <c r="M12" s="2799"/>
      <c r="N12" s="2336"/>
      <c r="O12" s="2600"/>
      <c r="P12" s="2336"/>
      <c r="Q12" s="2336"/>
      <c r="R12" s="2336"/>
    </row>
    <row r="13" spans="1:19" ht="18" customHeight="1">
      <c r="A13" s="2730"/>
      <c r="B13" s="2731"/>
      <c r="C13" s="2732" t="s">
        <v>356</v>
      </c>
      <c r="D13" s="2733"/>
      <c r="E13" s="2733"/>
      <c r="F13" s="2733"/>
      <c r="G13" s="2733"/>
      <c r="H13" s="2733"/>
      <c r="I13" s="2804">
        <v>61437</v>
      </c>
      <c r="J13" s="2705"/>
      <c r="K13" s="2803"/>
      <c r="L13" s="2799"/>
      <c r="M13" s="2799"/>
      <c r="N13" s="2336"/>
      <c r="O13" s="2600"/>
      <c r="P13" s="2336"/>
      <c r="Q13" s="2336"/>
      <c r="R13" s="2336"/>
    </row>
    <row r="14" spans="1:19" ht="18" customHeight="1">
      <c r="A14" s="2730"/>
      <c r="B14" s="2731"/>
      <c r="C14" s="2732" t="s">
        <v>357</v>
      </c>
      <c r="D14" s="2734"/>
      <c r="E14" s="2734"/>
      <c r="F14" s="2734"/>
      <c r="G14" s="2734"/>
      <c r="H14" s="2734"/>
      <c r="I14" s="2734">
        <v>50</v>
      </c>
      <c r="J14" s="2705"/>
      <c r="K14" s="2805"/>
      <c r="L14" s="2799"/>
      <c r="M14" s="2799"/>
      <c r="N14" s="2336"/>
      <c r="O14" s="2600"/>
      <c r="P14" s="2336"/>
      <c r="Q14" s="2336"/>
      <c r="R14" s="2336"/>
    </row>
    <row r="15" spans="1:19" ht="18" customHeight="1">
      <c r="A15" s="2719"/>
      <c r="B15" s="2735"/>
      <c r="C15" s="2732" t="s">
        <v>358</v>
      </c>
      <c r="D15" s="2736" t="str">
        <f>IF(B12="出让",IF(D13="","",ROUNDDOWN(MIN((D13-$D$3)/365,D14),2)),D14)</f>
        <v/>
      </c>
      <c r="E15" s="2736" t="str">
        <f>IF(B12="出让",IF(E13="","",ROUNDDOWN(MIN((E13-$D$3)/365,E14),2)),E14)</f>
        <v/>
      </c>
      <c r="F15" s="2736" t="str">
        <f>IF(B12="出让",IF(F13="","",ROUNDDOWN(MIN((F13-$D$3)/365,F14),2)),F14)</f>
        <v/>
      </c>
      <c r="G15" s="2736" t="str">
        <f>IF(B12="出让",IF(G13="","",ROUNDDOWN(MIN((G13-$D$3)/365,G14),2)),G14)</f>
        <v/>
      </c>
      <c r="H15" s="2736" t="str">
        <f>IF(B12="出让",IF(H13="","",ROUNDDOWN(MIN((H13-$D$3)/365,H14),2)),H14)</f>
        <v/>
      </c>
      <c r="I15" s="2736">
        <f>IF(B12="出让",IF(I13="","",ROUNDDOWN(MIN((I13-$D$3)/365,I14),2)),I14)</f>
        <v>46.69</v>
      </c>
      <c r="J15" s="2705"/>
      <c r="K15" s="2806"/>
      <c r="L15" s="2807"/>
      <c r="M15" s="2807"/>
      <c r="N15" s="2808"/>
      <c r="O15" s="2807"/>
      <c r="P15" s="2808"/>
      <c r="Q15" s="2336"/>
      <c r="R15" s="2336"/>
    </row>
    <row r="16" spans="1:19" ht="30.75" customHeight="1">
      <c r="A16" s="2722" t="s">
        <v>359</v>
      </c>
      <c r="B16" s="3032"/>
      <c r="C16" s="3033"/>
      <c r="D16" s="3034"/>
      <c r="E16" s="2737" t="s">
        <v>360</v>
      </c>
      <c r="F16" s="3035"/>
      <c r="G16" s="3036"/>
      <c r="H16" s="3036"/>
      <c r="I16" s="3037"/>
      <c r="J16" s="2336"/>
      <c r="K16" s="2806"/>
      <c r="L16" s="2807"/>
      <c r="M16" s="2807"/>
      <c r="N16" s="2808"/>
      <c r="O16" s="2807"/>
      <c r="P16" s="2808"/>
      <c r="Q16" s="2336"/>
      <c r="R16" s="2336"/>
    </row>
    <row r="17" spans="1:22" ht="18" customHeight="1">
      <c r="A17" s="2738" t="s">
        <v>361</v>
      </c>
      <c r="B17" s="2691" t="s">
        <v>108</v>
      </c>
      <c r="C17" s="2739">
        <f>'数据-汇总表'!E3</f>
        <v>34364.589999999997</v>
      </c>
      <c r="D17" s="2740" t="s">
        <v>362</v>
      </c>
      <c r="E17" s="3038" t="s">
        <v>363</v>
      </c>
      <c r="F17" s="3039"/>
      <c r="G17" s="3039"/>
      <c r="H17" s="3039"/>
      <c r="I17" s="3040"/>
      <c r="J17" s="2336"/>
      <c r="K17" s="2809"/>
      <c r="L17" s="2807"/>
      <c r="M17" s="2807"/>
      <c r="N17" s="2808"/>
      <c r="O17" s="2807"/>
      <c r="P17" s="2808"/>
      <c r="Q17" s="2336"/>
      <c r="R17" s="2336"/>
      <c r="S17" s="2336"/>
      <c r="T17" s="2336"/>
      <c r="U17" s="2336"/>
      <c r="V17" s="2336"/>
    </row>
    <row r="18" spans="1:22" ht="36" customHeight="1">
      <c r="A18" s="2741" t="s">
        <v>124</v>
      </c>
      <c r="B18" s="2695" t="s">
        <v>364</v>
      </c>
      <c r="C18" s="2742">
        <f>'数据-汇总表'!D3</f>
        <v>50693.68</v>
      </c>
      <c r="D18" s="2743" t="s">
        <v>362</v>
      </c>
      <c r="E18" s="3041" t="s">
        <v>365</v>
      </c>
      <c r="F18" s="3042"/>
      <c r="G18" s="3042"/>
      <c r="H18" s="3042"/>
      <c r="I18" s="3043"/>
      <c r="J18" s="2336"/>
      <c r="K18" s="2809"/>
      <c r="L18" s="2807"/>
      <c r="M18" s="2807"/>
      <c r="N18" s="2808"/>
      <c r="O18" s="2807"/>
      <c r="P18" s="2808"/>
      <c r="Q18" s="2336"/>
      <c r="R18" s="2336"/>
      <c r="S18" s="2336"/>
      <c r="T18" s="2336"/>
      <c r="U18" s="2336"/>
      <c r="V18" s="2336"/>
    </row>
    <row r="19" spans="1:22" ht="37.5" customHeight="1">
      <c r="A19" s="1654" t="s">
        <v>366</v>
      </c>
      <c r="B19" s="1596" t="s">
        <v>367</v>
      </c>
      <c r="C19" s="2744" t="s">
        <v>368</v>
      </c>
      <c r="D19" s="2745" t="s">
        <v>369</v>
      </c>
      <c r="E19" s="2746" t="s">
        <v>124</v>
      </c>
      <c r="F19" s="2747" t="str">
        <f>IF(AND(C19="是",E19="否"),"是否提供他项权证或相关说明","")</f>
        <v/>
      </c>
      <c r="G19" s="2748"/>
      <c r="H19" s="2705"/>
      <c r="I19" s="2705"/>
      <c r="J19" s="2705"/>
      <c r="K19" s="2803"/>
      <c r="L19" s="2799"/>
      <c r="M19" s="2799"/>
      <c r="N19" s="2808"/>
      <c r="O19" s="2807"/>
      <c r="P19" s="2808"/>
      <c r="Q19" s="2336"/>
      <c r="R19" s="2336"/>
      <c r="S19" s="2336"/>
      <c r="T19" s="2336"/>
      <c r="U19" s="2336"/>
      <c r="V19" s="2336"/>
    </row>
    <row r="20" spans="1:22" ht="18" customHeight="1">
      <c r="A20" s="2749" t="s">
        <v>370</v>
      </c>
      <c r="B20" s="3048" t="s">
        <v>371</v>
      </c>
      <c r="C20" s="3049"/>
      <c r="D20" s="3050" t="s">
        <v>372</v>
      </c>
      <c r="E20" s="3051"/>
      <c r="F20" s="2750" t="s">
        <v>373</v>
      </c>
      <c r="G20" s="2705"/>
      <c r="H20" s="2705"/>
      <c r="I20" s="2705"/>
      <c r="J20" s="2705"/>
      <c r="K20" s="3046" t="s">
        <v>374</v>
      </c>
      <c r="L20" s="173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799"/>
      <c r="N20" s="2808"/>
      <c r="O20" s="2807"/>
      <c r="P20" s="2808"/>
      <c r="Q20" s="2336"/>
      <c r="R20" s="2336"/>
      <c r="S20" s="2336"/>
      <c r="T20" s="2336"/>
      <c r="U20" s="2336"/>
      <c r="V20" s="2336"/>
    </row>
    <row r="21" spans="1:22" ht="24.75" customHeight="1">
      <c r="A21" s="2749"/>
      <c r="B21" s="2751" t="s">
        <v>375</v>
      </c>
      <c r="C21" s="2752" t="s">
        <v>376</v>
      </c>
      <c r="D21" s="2753"/>
      <c r="E21" s="2754"/>
      <c r="F21" s="2755"/>
      <c r="G21" s="2705"/>
      <c r="H21" s="2705"/>
      <c r="I21" s="2705"/>
      <c r="J21" s="2705"/>
      <c r="K21" s="3046"/>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9"/>
      <c r="N21" s="2808"/>
      <c r="O21" s="2807"/>
      <c r="P21" s="2808"/>
      <c r="Q21" s="2336"/>
      <c r="R21" s="2336"/>
      <c r="S21" s="2336"/>
      <c r="T21" s="2336"/>
      <c r="U21" s="2336"/>
      <c r="V21" s="2336"/>
    </row>
    <row r="22" spans="1:22" ht="24.75" customHeight="1">
      <c r="A22" s="2749"/>
      <c r="B22" s="2756"/>
      <c r="C22" s="2752"/>
      <c r="D22" s="2687"/>
      <c r="E22" s="2687"/>
      <c r="F22" s="2757"/>
      <c r="G22" s="2705"/>
      <c r="H22" s="2705"/>
      <c r="I22" s="2705"/>
      <c r="J22" s="2705"/>
      <c r="K22" s="3046"/>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36"/>
      <c r="R22" s="2336"/>
      <c r="S22" s="2336"/>
      <c r="T22" s="2336"/>
      <c r="U22" s="2336"/>
      <c r="V22" s="2336"/>
    </row>
    <row r="23" spans="1:22" ht="18" customHeight="1">
      <c r="A23" s="2758" t="s">
        <v>377</v>
      </c>
      <c r="B23" s="2083" t="s">
        <v>378</v>
      </c>
      <c r="C23" s="2759"/>
      <c r="D23" s="2760" t="s">
        <v>378</v>
      </c>
      <c r="E23" s="2761"/>
      <c r="F23" s="2757"/>
      <c r="G23" s="2705"/>
      <c r="H23" s="2705"/>
      <c r="I23" s="2705"/>
      <c r="J23" s="2705"/>
      <c r="K23" s="2612"/>
      <c r="L23" s="1734"/>
      <c r="M23" s="2799"/>
      <c r="N23" s="2808"/>
      <c r="O23" s="2807"/>
      <c r="P23" s="2808"/>
      <c r="Q23" s="2336"/>
      <c r="R23" s="2336"/>
      <c r="S23" s="2336"/>
      <c r="T23" s="2336"/>
      <c r="U23" s="2336"/>
      <c r="V23" s="2336"/>
    </row>
    <row r="24" spans="1:22" ht="18" customHeight="1">
      <c r="A24" s="2762"/>
      <c r="B24" s="2083" t="s">
        <v>379</v>
      </c>
      <c r="C24" s="2763"/>
      <c r="D24" s="2758" t="s">
        <v>379</v>
      </c>
      <c r="E24" s="2764"/>
      <c r="F24" s="2757"/>
      <c r="G24" s="2705"/>
      <c r="H24" s="2705"/>
      <c r="I24" s="2705"/>
      <c r="J24" s="2705"/>
      <c r="K24" s="2612"/>
      <c r="L24" s="1734"/>
      <c r="M24" s="2799"/>
      <c r="N24" s="2808"/>
      <c r="O24" s="2807"/>
      <c r="P24" s="2808"/>
      <c r="Q24" s="2336"/>
      <c r="R24" s="2336"/>
      <c r="S24" s="2336"/>
      <c r="T24" s="2336"/>
      <c r="U24" s="2336"/>
      <c r="V24" s="2336"/>
    </row>
    <row r="25" spans="1:22" ht="18" customHeight="1">
      <c r="A25" s="2762"/>
      <c r="B25" s="2083" t="s">
        <v>380</v>
      </c>
      <c r="C25" s="2763"/>
      <c r="D25" s="2758" t="s">
        <v>380</v>
      </c>
      <c r="E25" s="2764"/>
      <c r="F25" s="2757"/>
      <c r="G25" s="2705"/>
      <c r="H25" s="2705"/>
      <c r="I25" s="2705"/>
      <c r="J25" s="2705"/>
      <c r="K25" s="2803"/>
      <c r="L25" s="2799"/>
      <c r="M25" s="2799"/>
      <c r="N25" s="2808"/>
      <c r="O25" s="2807"/>
      <c r="P25" s="2808"/>
      <c r="Q25" s="2336"/>
      <c r="R25" s="2336"/>
      <c r="S25" s="2336"/>
      <c r="T25" s="2336"/>
      <c r="U25" s="2336"/>
      <c r="V25" s="2336"/>
    </row>
    <row r="26" spans="1:22" ht="18" customHeight="1">
      <c r="A26" s="2765"/>
      <c r="B26" s="2766" t="s">
        <v>381</v>
      </c>
      <c r="C26" s="2767"/>
      <c r="D26" s="2768" t="s">
        <v>381</v>
      </c>
      <c r="E26" s="2769"/>
      <c r="F26" s="2770"/>
      <c r="G26" s="2718"/>
      <c r="H26" s="2718"/>
      <c r="I26" s="2718"/>
      <c r="J26" s="2705"/>
      <c r="K26" s="2803"/>
      <c r="L26" s="2799"/>
      <c r="M26" s="2799"/>
      <c r="N26" s="2808"/>
      <c r="O26" s="2807"/>
      <c r="P26" s="2808"/>
      <c r="Q26" s="2336"/>
      <c r="R26" s="2336"/>
      <c r="S26" s="2336"/>
      <c r="T26" s="2336"/>
      <c r="U26" s="2336"/>
      <c r="V26" s="2336"/>
    </row>
    <row r="27" spans="1:22" ht="18" customHeight="1">
      <c r="A27" s="3025" t="s">
        <v>382</v>
      </c>
      <c r="B27" s="2719" t="s">
        <v>383</v>
      </c>
      <c r="C27" s="2771" t="s">
        <v>384</v>
      </c>
      <c r="D27" s="2772"/>
      <c r="E27" s="2705"/>
      <c r="F27" s="2705"/>
      <c r="G27" s="2705"/>
      <c r="H27" s="2705"/>
      <c r="I27" s="2705"/>
      <c r="J27" s="2336"/>
      <c r="K27" s="2806"/>
      <c r="L27" s="2807"/>
      <c r="M27" s="2807"/>
      <c r="N27" s="2808"/>
      <c r="O27" s="2807"/>
      <c r="P27" s="2808"/>
      <c r="Q27" s="2336"/>
      <c r="R27" s="2336"/>
      <c r="S27" s="2336"/>
      <c r="T27" s="2336"/>
      <c r="U27" s="2336"/>
      <c r="V27" s="2336"/>
    </row>
    <row r="28" spans="1:22" ht="18" customHeight="1">
      <c r="A28" s="3025"/>
      <c r="B28" s="2691" t="s">
        <v>385</v>
      </c>
      <c r="C28" s="2773" t="s">
        <v>386</v>
      </c>
      <c r="D28" s="2774"/>
      <c r="E28" s="2705"/>
      <c r="F28" s="2705"/>
      <c r="G28" s="2705"/>
      <c r="H28" s="2705"/>
      <c r="I28" s="2705"/>
      <c r="J28" s="2336"/>
      <c r="K28" s="2810"/>
      <c r="L28" s="2799"/>
      <c r="M28" s="2799"/>
      <c r="N28" s="2336"/>
      <c r="O28" s="2600"/>
      <c r="P28" s="2336"/>
      <c r="Q28" s="2336"/>
      <c r="R28" s="2336"/>
      <c r="S28" s="2336"/>
      <c r="T28" s="2336"/>
      <c r="U28" s="2336"/>
      <c r="V28" s="2336"/>
    </row>
    <row r="29" spans="1:22" ht="18" customHeight="1">
      <c r="A29" s="3025"/>
      <c r="B29" s="2691" t="s">
        <v>387</v>
      </c>
      <c r="C29" s="2775" t="s">
        <v>368</v>
      </c>
      <c r="D29" s="2776"/>
      <c r="E29" s="2705"/>
      <c r="F29" s="2705"/>
      <c r="G29" s="2705"/>
      <c r="H29" s="2705"/>
      <c r="I29" s="2705"/>
      <c r="J29" s="2336"/>
      <c r="K29" s="2810"/>
      <c r="L29" s="2799"/>
      <c r="M29" s="2799"/>
      <c r="N29" s="2336"/>
      <c r="O29" s="2600"/>
      <c r="P29" s="2336"/>
      <c r="Q29" s="2336"/>
      <c r="R29" s="2336"/>
      <c r="S29" s="2336"/>
      <c r="T29" s="2336"/>
      <c r="U29" s="2336"/>
      <c r="V29" s="2336"/>
    </row>
    <row r="30" spans="1:22" ht="18" customHeight="1">
      <c r="A30" s="3026"/>
      <c r="B30" s="2691" t="s">
        <v>388</v>
      </c>
      <c r="C30" s="3052"/>
      <c r="D30" s="3053"/>
      <c r="E30" s="2705"/>
      <c r="F30" s="2705"/>
      <c r="G30" s="2705"/>
      <c r="H30" s="2705"/>
      <c r="I30" s="2705"/>
      <c r="J30" s="2336"/>
      <c r="K30" s="2810"/>
      <c r="L30" s="2799"/>
      <c r="M30" s="2799"/>
      <c r="N30" s="2336"/>
      <c r="O30" s="2600"/>
      <c r="P30" s="2336"/>
      <c r="Q30" s="2336"/>
      <c r="R30" s="2336"/>
      <c r="S30" s="2336"/>
      <c r="T30" s="2336"/>
      <c r="U30" s="2336"/>
      <c r="V30" s="2336"/>
    </row>
    <row r="31" spans="1:22" ht="18" customHeight="1">
      <c r="A31" s="3027" t="s">
        <v>389</v>
      </c>
      <c r="B31" s="2777" t="s">
        <v>390</v>
      </c>
      <c r="C31" s="2778" t="str">
        <f>IF(B31="现房","成新及维护状况正常否",IF(B31="在建","工程状态是否正常",IF(B31="土地","是否闲置","-")))</f>
        <v>成新及维护状况正常否</v>
      </c>
      <c r="D31" s="2779"/>
      <c r="E31" s="2780"/>
      <c r="F31" s="2705"/>
      <c r="G31" s="2705"/>
      <c r="H31" s="2705"/>
      <c r="I31" s="2705"/>
      <c r="J31" s="2705"/>
      <c r="K31" s="2802"/>
      <c r="L31" s="2799"/>
      <c r="M31" s="2799"/>
      <c r="N31" s="2336"/>
      <c r="O31" s="2600"/>
      <c r="P31" s="2336"/>
      <c r="Q31" s="2336"/>
      <c r="R31" s="2336"/>
      <c r="S31" s="2336"/>
      <c r="T31" s="2336"/>
      <c r="U31" s="2336"/>
      <c r="V31" s="2336"/>
    </row>
    <row r="32" spans="1:22" ht="18" customHeight="1">
      <c r="A32" s="3028"/>
      <c r="B32" s="2777"/>
      <c r="C32" s="2778" t="str">
        <f>IF(B32="现房","成新及维护状况是否正常",IF(B32="在建","工程状态是否正常",IF(B32="土地","是否闲置","-")))</f>
        <v>-</v>
      </c>
      <c r="D32" s="2779"/>
      <c r="E32" s="2780"/>
      <c r="F32" s="2705"/>
      <c r="G32" s="2705"/>
      <c r="H32" s="2705"/>
      <c r="I32" s="2705"/>
      <c r="J32" s="2705"/>
      <c r="K32" s="2803"/>
      <c r="L32" s="2799"/>
      <c r="M32" s="2799"/>
      <c r="N32" s="2336"/>
      <c r="O32" s="2600"/>
      <c r="P32" s="2336"/>
      <c r="Q32" s="2336"/>
      <c r="R32" s="2336"/>
      <c r="S32" s="2336"/>
      <c r="T32" s="2336"/>
      <c r="U32" s="2336"/>
      <c r="V32" s="2336"/>
    </row>
    <row r="33" spans="1:22" ht="18" customHeight="1">
      <c r="A33" s="3028"/>
      <c r="B33" s="2781"/>
      <c r="C33" s="2725" t="str">
        <f>IF(B33="现房","成新及维护状况是否正常",IF(B33="在建","工程状态是否正常",IF(B33="土地","是否闲置","-")))</f>
        <v>-</v>
      </c>
      <c r="D33" s="2782"/>
      <c r="E33" s="2783"/>
      <c r="F33" s="2705"/>
      <c r="G33" s="2705"/>
      <c r="H33" s="2705"/>
      <c r="I33" s="2705"/>
      <c r="J33" s="2705"/>
      <c r="K33" s="2803"/>
      <c r="L33" s="2799"/>
      <c r="M33" s="2799"/>
      <c r="N33" s="2336"/>
      <c r="O33" s="2600"/>
      <c r="P33" s="2336"/>
      <c r="Q33" s="2336"/>
      <c r="R33" s="2336"/>
      <c r="S33" s="2336"/>
      <c r="T33" s="2336"/>
      <c r="U33" s="2336"/>
      <c r="V33" s="2336"/>
    </row>
    <row r="34" spans="1:22" ht="18" customHeight="1">
      <c r="A34" s="2691" t="s">
        <v>391</v>
      </c>
      <c r="B34" s="2784" t="s">
        <v>392</v>
      </c>
      <c r="C34" s="2784" t="s">
        <v>393</v>
      </c>
      <c r="D34" s="2784" t="s">
        <v>394</v>
      </c>
      <c r="E34" s="2784" t="s">
        <v>395</v>
      </c>
      <c r="F34" s="2784" t="s">
        <v>396</v>
      </c>
      <c r="G34" s="2784" t="s">
        <v>397</v>
      </c>
      <c r="H34" s="2784"/>
      <c r="I34" s="2705"/>
      <c r="J34" s="2705"/>
      <c r="K34" s="1075">
        <f>COUNTIF(B34:H34,"——")</f>
        <v>0</v>
      </c>
      <c r="L34" s="2504" t="s">
        <v>398</v>
      </c>
      <c r="M34" s="2504" t="s">
        <v>399</v>
      </c>
      <c r="N34" s="2504" t="s">
        <v>400</v>
      </c>
      <c r="O34" s="2504" t="s">
        <v>401</v>
      </c>
      <c r="P34" s="2504" t="s">
        <v>402</v>
      </c>
      <c r="Q34" s="2504" t="s">
        <v>403</v>
      </c>
      <c r="R34" s="2504" t="s">
        <v>404</v>
      </c>
      <c r="S34" s="3047" t="s">
        <v>405</v>
      </c>
      <c r="T34" s="2817" t="str">
        <f>NUMBERSTRING(7-K34,1)&amp;"通"</f>
        <v>七通</v>
      </c>
      <c r="U34" s="2336"/>
      <c r="V34" s="2336"/>
    </row>
    <row r="35" spans="1:22" ht="18" customHeight="1">
      <c r="A35" s="2785"/>
      <c r="B35" s="3054" t="s">
        <v>406</v>
      </c>
      <c r="C35" s="3054"/>
      <c r="D35" s="3054"/>
      <c r="E35" s="3054"/>
      <c r="F35" s="2786" t="str">
        <f>C10</f>
        <v>辽宁省朝阳市</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v>
      </c>
      <c r="S35" s="3047"/>
      <c r="T35" s="2521" t="str">
        <f>IF(T34="一通",L35,IF(T34="二通",M35,IF(T34="三通",N35,IF(T34="四通",O35,IF(T34="五通",P35,IF(T34="六通",Q35,R35))))))</f>
        <v>通路、通电、通讯、通上水、通下水、燃气、</v>
      </c>
      <c r="U35" s="2336"/>
      <c r="V35" s="2336"/>
    </row>
    <row r="36" spans="1:22" ht="18" customHeight="1">
      <c r="A36" s="2787"/>
      <c r="B36" s="2786" t="s">
        <v>407</v>
      </c>
      <c r="C36" s="2786" t="s">
        <v>408</v>
      </c>
      <c r="D36" s="2786" t="s">
        <v>409</v>
      </c>
      <c r="E36" s="2786" t="s">
        <v>410</v>
      </c>
      <c r="F36" s="2788"/>
      <c r="G36" s="2705"/>
      <c r="H36" s="2705"/>
      <c r="I36" s="2705"/>
      <c r="J36" s="2705"/>
      <c r="K36" s="2803"/>
      <c r="L36" s="2799"/>
      <c r="M36" s="2799"/>
      <c r="N36" s="2336"/>
      <c r="O36" s="2600"/>
      <c r="P36" s="2336"/>
      <c r="Q36" s="2336"/>
      <c r="R36" s="2336"/>
      <c r="S36" s="2336"/>
      <c r="T36" s="2336"/>
      <c r="U36" s="2336"/>
      <c r="V36" s="2336"/>
    </row>
    <row r="37" spans="1:22" ht="18" customHeight="1">
      <c r="A37" s="2789" t="s">
        <v>411</v>
      </c>
      <c r="B37" s="2790"/>
      <c r="C37" s="2790"/>
      <c r="D37" s="2790"/>
      <c r="E37" s="2790"/>
      <c r="F37" s="2788"/>
      <c r="G37" s="2705"/>
      <c r="H37" s="2705"/>
      <c r="I37" s="2705"/>
      <c r="J37" s="2705"/>
      <c r="K37" s="2803"/>
      <c r="L37" s="2799"/>
      <c r="M37" s="2799"/>
      <c r="N37" s="2336"/>
      <c r="O37" s="2600"/>
      <c r="P37" s="2336"/>
      <c r="Q37" s="2336"/>
      <c r="R37" s="2336"/>
      <c r="S37" s="2336"/>
      <c r="T37" s="2336"/>
      <c r="U37" s="2336"/>
      <c r="V37" s="2336"/>
    </row>
    <row r="38" spans="1:22" ht="18" customHeight="1">
      <c r="A38" s="2791" t="s">
        <v>412</v>
      </c>
      <c r="B38" s="2792"/>
      <c r="C38" s="2792"/>
      <c r="D38" s="2792"/>
      <c r="E38" s="2792"/>
      <c r="F38" s="2793"/>
      <c r="G38" s="2718"/>
      <c r="H38" s="2718"/>
      <c r="I38" s="2718"/>
      <c r="J38" s="2705"/>
      <c r="K38" s="2803"/>
      <c r="L38" s="2799"/>
      <c r="M38" s="2799"/>
      <c r="N38" s="2336"/>
      <c r="O38" s="2600"/>
      <c r="P38" s="2336"/>
      <c r="Q38" s="2336"/>
      <c r="R38" s="2336"/>
      <c r="S38" s="2336"/>
      <c r="T38" s="2336"/>
      <c r="U38" s="2336"/>
      <c r="V38" s="2336"/>
    </row>
    <row r="39" spans="1:22" s="2683" customFormat="1" ht="18" customHeight="1">
      <c r="A39" s="2794" t="s">
        <v>413</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36"/>
      <c r="B40" s="2336"/>
      <c r="C40" s="2336"/>
      <c r="D40" s="2336"/>
      <c r="E40" s="2336"/>
      <c r="F40" s="2336"/>
      <c r="G40" s="2336"/>
      <c r="H40" s="2336"/>
      <c r="I40" s="2813"/>
      <c r="J40" s="2808"/>
      <c r="K40" s="1250"/>
      <c r="L40" s="2807"/>
      <c r="M40" s="2807"/>
      <c r="N40" s="2808"/>
      <c r="O40" s="2807"/>
      <c r="P40" s="2336"/>
      <c r="Q40" s="2336"/>
      <c r="R40" s="2336"/>
      <c r="S40" s="2336"/>
      <c r="T40" s="2336"/>
      <c r="U40" s="2336"/>
      <c r="V40" s="2336"/>
    </row>
    <row r="41" spans="1:22" ht="18" customHeight="1">
      <c r="A41" s="1871" t="s">
        <v>414</v>
      </c>
      <c r="B41" s="2796"/>
      <c r="C41" s="2797"/>
      <c r="D41" s="2336"/>
      <c r="E41" s="2336"/>
      <c r="F41" s="2336"/>
      <c r="G41" s="2336"/>
      <c r="H41" s="2336"/>
      <c r="I41" s="2600"/>
      <c r="J41" s="2336"/>
      <c r="K41" s="2810"/>
      <c r="L41" s="2799"/>
      <c r="M41" s="2799"/>
      <c r="N41" s="2336"/>
      <c r="O41" s="2600"/>
      <c r="P41" s="2336"/>
      <c r="Q41" s="2336"/>
      <c r="R41" s="2336"/>
      <c r="S41" s="2336"/>
      <c r="T41" s="2336"/>
      <c r="U41" s="2336"/>
      <c r="V41" s="2336"/>
    </row>
    <row r="42" spans="1:22" ht="18" customHeight="1">
      <c r="A42" s="2504" t="s">
        <v>415</v>
      </c>
      <c r="B42" s="1075" t="s">
        <v>416</v>
      </c>
      <c r="C42" s="1075" t="s">
        <v>417</v>
      </c>
      <c r="D42" s="1075" t="s">
        <v>418</v>
      </c>
      <c r="E42" s="1075" t="s">
        <v>419</v>
      </c>
      <c r="F42" s="1075" t="s">
        <v>420</v>
      </c>
      <c r="G42" s="1075" t="s">
        <v>421</v>
      </c>
      <c r="H42" s="1075" t="s">
        <v>422</v>
      </c>
      <c r="I42" s="1075" t="s">
        <v>423</v>
      </c>
      <c r="J42" s="2814" t="s">
        <v>424</v>
      </c>
      <c r="K42" s="2729" t="s">
        <v>425</v>
      </c>
      <c r="L42" s="2729" t="s">
        <v>426</v>
      </c>
      <c r="M42" s="2729" t="s">
        <v>427</v>
      </c>
      <c r="N42" s="1075" t="s">
        <v>428</v>
      </c>
      <c r="O42" s="1075" t="s">
        <v>429</v>
      </c>
      <c r="P42" s="1075" t="s">
        <v>430</v>
      </c>
      <c r="Q42" s="2504" t="s">
        <v>431</v>
      </c>
      <c r="R42" s="2504" t="s">
        <v>432</v>
      </c>
      <c r="S42" s="2336"/>
      <c r="T42" s="2336"/>
      <c r="U42" s="2336"/>
      <c r="V42" s="2336"/>
    </row>
    <row r="43" spans="1:22" s="2507" customFormat="1" ht="18" customHeight="1">
      <c r="A43" s="2626"/>
      <c r="B43" s="2622"/>
      <c r="C43" s="2622"/>
      <c r="D43" s="2622"/>
      <c r="E43" s="2622"/>
      <c r="F43" s="2622"/>
      <c r="G43" s="2622"/>
      <c r="H43" s="2627"/>
      <c r="I43" s="2627"/>
      <c r="J43" s="2679"/>
      <c r="K43" s="2815"/>
      <c r="L43" s="2815"/>
      <c r="M43" s="2627"/>
      <c r="N43" s="2622"/>
      <c r="O43" s="2627"/>
      <c r="P43" s="2622"/>
      <c r="Q43" s="2622"/>
      <c r="R43" s="2622"/>
      <c r="S43" s="2818"/>
      <c r="T43" s="2818"/>
      <c r="U43" s="2818"/>
      <c r="V43" s="2818"/>
    </row>
    <row r="44" spans="1:22" s="2507" customFormat="1" ht="18" customHeight="1">
      <c r="A44" s="2626"/>
      <c r="B44" s="2626"/>
      <c r="C44" s="2622"/>
      <c r="D44" s="2622"/>
      <c r="E44" s="2622"/>
      <c r="F44" s="2622"/>
      <c r="G44" s="2622"/>
      <c r="H44" s="2627"/>
      <c r="I44" s="2627"/>
      <c r="J44" s="2679"/>
      <c r="K44" s="2815"/>
      <c r="L44" s="2815"/>
      <c r="M44" s="2627"/>
      <c r="N44" s="2622"/>
      <c r="O44" s="2627"/>
      <c r="P44" s="2622"/>
      <c r="Q44" s="2622"/>
      <c r="R44" s="2622"/>
      <c r="S44" s="2818"/>
      <c r="T44" s="2818"/>
      <c r="U44" s="2818"/>
      <c r="V44" s="2818"/>
    </row>
    <row r="45" spans="1:22" s="2507" customFormat="1" ht="18" customHeight="1">
      <c r="A45" s="2626"/>
      <c r="B45" s="2626"/>
      <c r="C45" s="2622"/>
      <c r="D45" s="2622"/>
      <c r="E45" s="2622"/>
      <c r="F45" s="2622"/>
      <c r="G45" s="2622"/>
      <c r="H45" s="2627"/>
      <c r="I45" s="2627"/>
      <c r="J45" s="2679"/>
      <c r="K45" s="2815"/>
      <c r="L45" s="2815"/>
      <c r="M45" s="2627"/>
      <c r="N45" s="2622"/>
      <c r="O45" s="2627"/>
      <c r="P45" s="2622"/>
      <c r="Q45" s="2622"/>
      <c r="R45" s="2622"/>
      <c r="S45" s="2818"/>
      <c r="T45" s="2818"/>
      <c r="U45" s="2818"/>
      <c r="V45" s="2818"/>
    </row>
    <row r="46" spans="1:22" s="2507" customFormat="1" ht="18" customHeight="1">
      <c r="A46" s="2626"/>
      <c r="B46" s="2626"/>
      <c r="C46" s="2622"/>
      <c r="D46" s="2622"/>
      <c r="E46" s="2622"/>
      <c r="F46" s="2622"/>
      <c r="G46" s="2622"/>
      <c r="H46" s="2627"/>
      <c r="I46" s="2627"/>
      <c r="J46" s="2679"/>
      <c r="K46" s="2815"/>
      <c r="L46" s="2815"/>
      <c r="M46" s="2627"/>
      <c r="N46" s="2622"/>
      <c r="O46" s="2627"/>
      <c r="P46" s="2622"/>
      <c r="Q46" s="2622"/>
      <c r="R46" s="2622"/>
      <c r="S46" s="2818"/>
      <c r="T46" s="2818"/>
      <c r="U46" s="2818"/>
      <c r="V46" s="2818"/>
    </row>
    <row r="47" spans="1:22" s="2507" customFormat="1" ht="18" customHeight="1">
      <c r="A47" s="2626"/>
      <c r="B47" s="2626"/>
      <c r="C47" s="2622"/>
      <c r="D47" s="2622"/>
      <c r="E47" s="2622"/>
      <c r="F47" s="2622"/>
      <c r="G47" s="2622"/>
      <c r="H47" s="2627"/>
      <c r="I47" s="2627"/>
      <c r="J47" s="2679"/>
      <c r="K47" s="2815"/>
      <c r="L47" s="2815"/>
      <c r="M47" s="2627"/>
      <c r="N47" s="2622"/>
      <c r="O47" s="2627"/>
      <c r="P47" s="2622"/>
      <c r="Q47" s="2622"/>
      <c r="R47" s="2622"/>
      <c r="S47" s="2818"/>
      <c r="T47" s="2818"/>
      <c r="U47" s="2818"/>
      <c r="V47" s="2818"/>
    </row>
    <row r="48" spans="1:22" s="2507" customFormat="1" ht="18" customHeight="1">
      <c r="A48" s="2626"/>
      <c r="B48" s="2626"/>
      <c r="C48" s="2622"/>
      <c r="D48" s="2622"/>
      <c r="E48" s="2622"/>
      <c r="F48" s="2622"/>
      <c r="G48" s="2622"/>
      <c r="H48" s="2627"/>
      <c r="I48" s="2627"/>
      <c r="J48" s="2679"/>
      <c r="K48" s="2815"/>
      <c r="L48" s="2815"/>
      <c r="M48" s="2627"/>
      <c r="N48" s="2622"/>
      <c r="O48" s="2627"/>
      <c r="P48" s="2622"/>
      <c r="Q48" s="2622"/>
      <c r="R48" s="2622"/>
      <c r="S48" s="2818"/>
      <c r="T48" s="2818"/>
      <c r="U48" s="2818"/>
      <c r="V48" s="2818"/>
    </row>
    <row r="49" spans="1:22" s="2507" customFormat="1" ht="18" customHeight="1">
      <c r="A49" s="2626"/>
      <c r="B49" s="2626"/>
      <c r="C49" s="2622"/>
      <c r="D49" s="2622"/>
      <c r="E49" s="2622"/>
      <c r="F49" s="2622"/>
      <c r="G49" s="2622"/>
      <c r="H49" s="2627"/>
      <c r="I49" s="2627"/>
      <c r="J49" s="2679"/>
      <c r="K49" s="2815"/>
      <c r="L49" s="2815"/>
      <c r="M49" s="2627"/>
      <c r="N49" s="2622"/>
      <c r="O49" s="2627"/>
      <c r="P49" s="2622"/>
      <c r="Q49" s="2622"/>
      <c r="R49" s="2622"/>
      <c r="S49" s="2818"/>
      <c r="T49" s="2818"/>
      <c r="U49" s="2818"/>
      <c r="V49" s="2818"/>
    </row>
    <row r="50" spans="1:22" s="2507" customFormat="1" ht="18" customHeight="1">
      <c r="A50" s="2626"/>
      <c r="B50" s="2626"/>
      <c r="C50" s="2622"/>
      <c r="D50" s="2622"/>
      <c r="E50" s="2622"/>
      <c r="F50" s="2622"/>
      <c r="G50" s="2622"/>
      <c r="H50" s="2627"/>
      <c r="I50" s="2627"/>
      <c r="J50" s="2679"/>
      <c r="K50" s="2815"/>
      <c r="L50" s="2815"/>
      <c r="M50" s="2627"/>
      <c r="N50" s="2622"/>
      <c r="O50" s="2627"/>
      <c r="P50" s="2622"/>
      <c r="Q50" s="2622"/>
      <c r="R50" s="2622"/>
      <c r="S50" s="2818"/>
      <c r="T50" s="2818"/>
      <c r="U50" s="2818"/>
      <c r="V50" s="2818"/>
    </row>
    <row r="51" spans="1:22" s="2507" customFormat="1" ht="18" customHeight="1">
      <c r="A51" s="2626"/>
      <c r="B51" s="2626"/>
      <c r="C51" s="2622"/>
      <c r="D51" s="2622"/>
      <c r="E51" s="2622"/>
      <c r="F51" s="2622"/>
      <c r="G51" s="2622"/>
      <c r="H51" s="2627"/>
      <c r="I51" s="2627"/>
      <c r="J51" s="2679"/>
      <c r="K51" s="2815"/>
      <c r="L51" s="2815"/>
      <c r="M51" s="2627"/>
      <c r="N51" s="2622"/>
      <c r="O51" s="2627"/>
      <c r="P51" s="2622"/>
      <c r="Q51" s="2622"/>
      <c r="R51" s="2622"/>
    </row>
    <row r="52" spans="1:22" s="2507" customFormat="1" ht="18" customHeight="1">
      <c r="A52" s="2678"/>
      <c r="B52" s="2678"/>
      <c r="C52" s="2678"/>
      <c r="D52" s="2678"/>
      <c r="E52" s="2678"/>
      <c r="F52" s="2627"/>
      <c r="G52" s="2678"/>
      <c r="H52" s="2678"/>
      <c r="I52" s="2678"/>
      <c r="J52" s="2816"/>
      <c r="K52" s="2815"/>
      <c r="L52" s="2815"/>
      <c r="M52" s="2815"/>
      <c r="N52" s="2678"/>
      <c r="O52" s="2678"/>
      <c r="P52" s="2678"/>
      <c r="Q52" s="2678"/>
      <c r="R52" s="2678"/>
    </row>
    <row r="53" spans="1:22" s="2507" customFormat="1" ht="18" customHeight="1">
      <c r="A53" s="2678"/>
      <c r="B53" s="2678"/>
      <c r="C53" s="2678"/>
      <c r="D53" s="2678"/>
      <c r="E53" s="2678"/>
      <c r="F53" s="2627"/>
      <c r="G53" s="2678"/>
      <c r="H53" s="2678"/>
      <c r="I53" s="2678"/>
      <c r="J53" s="2816"/>
      <c r="K53" s="2815"/>
      <c r="L53" s="2815"/>
      <c r="M53" s="2815"/>
      <c r="N53" s="2678"/>
      <c r="O53" s="2678"/>
      <c r="P53" s="2678"/>
      <c r="Q53" s="2678"/>
      <c r="R53" s="2678"/>
    </row>
    <row r="54" spans="1:22" s="2507" customFormat="1" ht="18" customHeight="1">
      <c r="A54" s="2678"/>
      <c r="B54" s="2678"/>
      <c r="C54" s="2678"/>
      <c r="D54" s="2678"/>
      <c r="E54" s="2678"/>
      <c r="F54" s="2627"/>
      <c r="G54" s="2678"/>
      <c r="H54" s="2678"/>
      <c r="I54" s="2678"/>
      <c r="J54" s="2816"/>
      <c r="K54" s="2815"/>
      <c r="L54" s="2815"/>
      <c r="M54" s="2815"/>
      <c r="N54" s="2678"/>
      <c r="O54" s="2678"/>
      <c r="P54" s="2678"/>
      <c r="Q54" s="2678"/>
      <c r="R54" s="2678"/>
    </row>
    <row r="55" spans="1:22" s="2507" customFormat="1" ht="18" customHeight="1">
      <c r="A55" s="2678"/>
      <c r="B55" s="2678"/>
      <c r="C55" s="2678"/>
      <c r="D55" s="2678"/>
      <c r="E55" s="2678"/>
      <c r="F55" s="2627"/>
      <c r="G55" s="2678"/>
      <c r="H55" s="2678"/>
      <c r="I55" s="2678"/>
      <c r="J55" s="2816"/>
      <c r="K55" s="2815"/>
      <c r="L55" s="2815"/>
      <c r="M55" s="2815"/>
      <c r="N55" s="2678"/>
      <c r="O55" s="2678"/>
      <c r="P55" s="2678"/>
      <c r="Q55" s="2678"/>
      <c r="R55" s="2678"/>
    </row>
    <row r="56" spans="1:22" s="2507" customFormat="1" ht="18" customHeight="1">
      <c r="A56" s="2678"/>
      <c r="B56" s="2678"/>
      <c r="C56" s="2678"/>
      <c r="D56" s="2678"/>
      <c r="E56" s="2678"/>
      <c r="F56" s="2627"/>
      <c r="G56" s="2678"/>
      <c r="H56" s="2678"/>
      <c r="I56" s="2678"/>
      <c r="J56" s="2816"/>
      <c r="K56" s="2815"/>
      <c r="L56" s="2815"/>
      <c r="M56" s="2815"/>
      <c r="N56" s="2678"/>
      <c r="O56" s="2678"/>
      <c r="P56" s="2678"/>
      <c r="Q56" s="2678"/>
      <c r="R56" s="267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I17"/>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433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1" t="s">
        <v>434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0" t="s">
        <v>435</v>
      </c>
      <c r="B2" s="290" t="s">
        <v>436</v>
      </c>
      <c r="C2" s="290" t="s">
        <v>437</v>
      </c>
      <c r="D2" s="2601"/>
      <c r="E2" s="2053"/>
      <c r="F2" s="2098"/>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59" t="s">
        <v>438</v>
      </c>
      <c r="AZ2" s="2660" t="s">
        <v>439</v>
      </c>
      <c r="BA2" s="290" t="s">
        <v>440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v>92973</v>
      </c>
      <c r="B3" s="2603">
        <f>IF(C3="否",G5-AT5,G5)</f>
        <v>63025.2</v>
      </c>
      <c r="C3" s="2604" t="s">
        <v>368</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1"/>
      <c r="AZ3" s="2622"/>
      <c r="BA3" s="2662"/>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3"/>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741" t="s">
        <v>442</v>
      </c>
      <c r="B5" s="1978"/>
      <c r="C5" s="1978"/>
      <c r="D5" s="2090"/>
      <c r="E5" s="2608" t="s">
        <v>124</v>
      </c>
      <c r="F5" s="2608">
        <f>SUM(F13:F587)</f>
        <v>0</v>
      </c>
      <c r="G5" s="2608">
        <f>SUM(G13:G587)</f>
        <v>63050.759999999995</v>
      </c>
      <c r="H5" s="2608">
        <f t="shared" ref="H5:AT5" si="0">SUM(H13:H656)</f>
        <v>63025.2</v>
      </c>
      <c r="I5" s="2608">
        <f t="shared" si="0"/>
        <v>63025.2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25.56</v>
      </c>
      <c r="AU5" s="1977"/>
      <c r="AV5" s="1741" t="s">
        <v>442</v>
      </c>
      <c r="AW5" s="1978"/>
      <c r="AX5" s="1978"/>
      <c r="AY5" s="2664" t="s">
        <v>124</v>
      </c>
      <c r="AZ5" s="2665">
        <f t="shared" ref="AZ5:BT5" si="1">SUM(AZ13:AZ656)</f>
        <v>34364.589999999997</v>
      </c>
      <c r="BA5" s="2665">
        <f t="shared" si="1"/>
        <v>34364.589999999997</v>
      </c>
      <c r="BB5" s="2665">
        <f t="shared" si="1"/>
        <v>34364.589999999997</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5" customFormat="1" ht="12.75">
      <c r="A6" s="1741" t="s">
        <v>443</v>
      </c>
      <c r="B6" s="2609"/>
      <c r="C6" s="2609"/>
      <c r="D6" s="2610"/>
      <c r="E6" s="2608">
        <f>H6+AC6+AT6</f>
        <v>92973</v>
      </c>
      <c r="F6" s="2608" t="s">
        <v>124</v>
      </c>
      <c r="G6" s="2608" t="s">
        <v>124</v>
      </c>
      <c r="H6" s="2611">
        <f>SUMIF(I$12:AB$12,"总值",I6:AB6)</f>
        <v>92973</v>
      </c>
      <c r="I6" s="2608">
        <f t="shared" ref="I6:AB6" si="2">ROUND($A$3*I5/$B$3,2)</f>
        <v>92973</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2"/>
      <c r="AV6" s="1741" t="s">
        <v>443</v>
      </c>
      <c r="AW6" s="2609"/>
      <c r="AX6" s="2609"/>
      <c r="AY6" s="2666">
        <f>IF(AY3&gt;0,AY3,ROUND($A$3*AZ5/$B$3,2))</f>
        <v>50693.68</v>
      </c>
      <c r="AZ6" s="2608" t="s">
        <v>124</v>
      </c>
      <c r="BA6" s="2608">
        <f>ROUND($AY$6*BA5/$AZ$5,2)</f>
        <v>50693.68</v>
      </c>
      <c r="BB6" s="2608">
        <f>ROUND($AY$6*BB5/$AZ$5,2)</f>
        <v>50693.68</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4">
        <f t="shared" si="5"/>
        <v>0</v>
      </c>
    </row>
    <row r="7" spans="1:72" s="2593" customFormat="1" ht="24.75">
      <c r="A7" s="2612" t="s">
        <v>444</v>
      </c>
      <c r="B7" s="2612" t="s">
        <v>445</v>
      </c>
      <c r="C7" s="2612" t="s">
        <v>446</v>
      </c>
      <c r="D7" s="2612" t="s">
        <v>447</v>
      </c>
      <c r="E7" s="2612" t="s">
        <v>443</v>
      </c>
      <c r="F7" s="2612" t="s">
        <v>448</v>
      </c>
      <c r="G7" s="2613" t="s">
        <v>449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0"/>
      <c r="AU7" s="2614" t="s">
        <v>450</v>
      </c>
      <c r="AV7" s="2073" t="s">
        <v>444</v>
      </c>
      <c r="AW7" s="2098" t="s">
        <v>445</v>
      </c>
      <c r="AX7" s="2073" t="s">
        <v>446</v>
      </c>
      <c r="AY7" s="1978" t="s">
        <v>451</v>
      </c>
      <c r="AZ7" s="2644"/>
      <c r="BA7" s="2614"/>
      <c r="BB7" s="2614"/>
      <c r="BC7" s="2614"/>
      <c r="BD7" s="2614"/>
      <c r="BE7" s="2614"/>
      <c r="BF7" s="2614"/>
      <c r="BG7" s="2614"/>
      <c r="BH7" s="2614"/>
      <c r="BI7" s="2614"/>
      <c r="BJ7" s="2614"/>
      <c r="BK7" s="2614"/>
      <c r="BL7" s="2614"/>
      <c r="BM7" s="2614"/>
      <c r="BN7" s="2614"/>
      <c r="BO7" s="2614"/>
      <c r="BP7" s="2614"/>
      <c r="BQ7" s="2614"/>
      <c r="BR7" s="2614"/>
      <c r="BS7" s="2614"/>
      <c r="BT7" s="2675"/>
    </row>
    <row r="8" spans="1:72" s="2329" customFormat="1" ht="24">
      <c r="A8" s="2615"/>
      <c r="B8" s="2615"/>
      <c r="C8" s="2615"/>
      <c r="D8" s="2615"/>
      <c r="E8" s="2615"/>
      <c r="F8" s="2615"/>
      <c r="G8" s="2616" t="s">
        <v>452</v>
      </c>
      <c r="H8" s="2617" t="s">
        <v>453</v>
      </c>
      <c r="I8" s="2633"/>
      <c r="J8" s="289"/>
      <c r="K8" s="289"/>
      <c r="L8" s="289"/>
      <c r="M8" s="289"/>
      <c r="N8" s="289"/>
      <c r="O8" s="289"/>
      <c r="P8" s="289"/>
      <c r="Q8" s="289"/>
      <c r="R8" s="289"/>
      <c r="S8" s="289"/>
      <c r="T8" s="289"/>
      <c r="U8" s="289"/>
      <c r="V8" s="2640"/>
      <c r="W8" s="289"/>
      <c r="X8" s="289"/>
      <c r="Y8" s="289"/>
      <c r="Z8" s="289"/>
      <c r="AA8" s="2640"/>
      <c r="AB8" s="2642"/>
      <c r="AC8" s="1889" t="s">
        <v>454</v>
      </c>
      <c r="AD8" s="2643"/>
      <c r="AE8" s="2644"/>
      <c r="AF8" s="289"/>
      <c r="AG8" s="289"/>
      <c r="AH8" s="289"/>
      <c r="AI8" s="289"/>
      <c r="AJ8" s="289"/>
      <c r="AK8" s="289"/>
      <c r="AL8" s="289"/>
      <c r="AM8" s="289"/>
      <c r="AN8" s="289"/>
      <c r="AO8" s="289"/>
      <c r="AP8" s="289"/>
      <c r="AQ8" s="289"/>
      <c r="AR8" s="289"/>
      <c r="AS8" s="289"/>
      <c r="AT8" s="1585" t="s">
        <v>455</v>
      </c>
      <c r="AU8" s="2615" t="s">
        <v>456</v>
      </c>
      <c r="AV8" s="1585"/>
      <c r="AW8" s="2053"/>
      <c r="AX8" s="1585"/>
      <c r="AY8" s="2098" t="s">
        <v>443</v>
      </c>
      <c r="AZ8" s="288" t="s">
        <v>436</v>
      </c>
      <c r="BA8" s="289"/>
      <c r="BB8" s="289"/>
      <c r="BC8" s="289"/>
      <c r="BD8" s="289"/>
      <c r="BE8" s="289"/>
      <c r="BF8" s="289"/>
      <c r="BG8" s="289"/>
      <c r="BH8" s="289"/>
      <c r="BI8" s="289"/>
      <c r="BJ8" s="289"/>
      <c r="BK8" s="289"/>
      <c r="BL8" s="289"/>
      <c r="BM8" s="289"/>
      <c r="BN8" s="289"/>
      <c r="BO8" s="289"/>
      <c r="BP8" s="289"/>
      <c r="BQ8" s="289"/>
      <c r="BR8" s="289"/>
      <c r="BS8" s="289"/>
      <c r="BT8" s="1631"/>
    </row>
    <row r="9" spans="1:72" s="2329" customFormat="1" ht="12.75">
      <c r="A9" s="2615"/>
      <c r="B9" s="2615"/>
      <c r="C9" s="2615"/>
      <c r="D9" s="2615"/>
      <c r="E9" s="2615"/>
      <c r="F9" s="2615"/>
      <c r="G9" s="1585"/>
      <c r="H9" s="2618" t="s">
        <v>457</v>
      </c>
      <c r="I9" s="2634" t="s">
        <v>458</v>
      </c>
      <c r="J9" s="1889"/>
      <c r="K9" s="2634" t="s">
        <v>1767</v>
      </c>
      <c r="L9" s="1889"/>
      <c r="M9" s="2634"/>
      <c r="N9" s="1889"/>
      <c r="O9" s="2634"/>
      <c r="P9" s="1889"/>
      <c r="Q9" s="2634"/>
      <c r="R9" s="1889"/>
      <c r="S9" s="2634"/>
      <c r="T9" s="1889"/>
      <c r="U9" s="2634"/>
      <c r="V9" s="1889"/>
      <c r="W9" s="2634"/>
      <c r="X9" s="2641"/>
      <c r="Y9" s="2634"/>
      <c r="Z9" s="1889"/>
      <c r="AA9" s="2634"/>
      <c r="AB9" s="1889"/>
      <c r="AC9" s="2616" t="s">
        <v>457</v>
      </c>
      <c r="AD9" s="1741" t="s">
        <v>459</v>
      </c>
      <c r="AE9" s="1597"/>
      <c r="AF9" s="1741" t="s">
        <v>460</v>
      </c>
      <c r="AG9" s="1597"/>
      <c r="AH9" s="1741" t="s">
        <v>459</v>
      </c>
      <c r="AI9" s="1597"/>
      <c r="AJ9" s="1741" t="s">
        <v>460</v>
      </c>
      <c r="AK9" s="1597"/>
      <c r="AL9" s="1741" t="s">
        <v>459</v>
      </c>
      <c r="AM9" s="1597"/>
      <c r="AN9" s="1741" t="s">
        <v>460</v>
      </c>
      <c r="AO9" s="1597"/>
      <c r="AP9" s="1741" t="s">
        <v>459</v>
      </c>
      <c r="AQ9" s="1597"/>
      <c r="AR9" s="1741" t="s">
        <v>460</v>
      </c>
      <c r="AS9" s="2653"/>
      <c r="AT9" s="2615"/>
      <c r="AU9" s="2615" t="s">
        <v>461</v>
      </c>
      <c r="AV9" s="1585"/>
      <c r="AW9" s="2053"/>
      <c r="AX9" s="1585"/>
      <c r="AY9" s="2074"/>
      <c r="AZ9" s="2074" t="s">
        <v>452</v>
      </c>
      <c r="BA9" s="2667" t="s">
        <v>462</v>
      </c>
      <c r="BB9" s="2668"/>
      <c r="BC9" s="1643"/>
      <c r="BD9" s="1643"/>
      <c r="BE9" s="1643"/>
      <c r="BF9" s="1643"/>
      <c r="BG9" s="1643"/>
      <c r="BH9" s="1643"/>
      <c r="BI9" s="1643"/>
      <c r="BJ9" s="1643"/>
      <c r="BK9" s="2672"/>
      <c r="BL9" s="1741" t="s">
        <v>463</v>
      </c>
      <c r="BM9" s="289"/>
      <c r="BN9" s="2633"/>
      <c r="BO9" s="289"/>
      <c r="BP9" s="289"/>
      <c r="BQ9" s="289"/>
      <c r="BR9" s="289"/>
      <c r="BS9" s="289"/>
      <c r="BT9" s="1631"/>
    </row>
    <row r="10" spans="1:72" s="2329" customFormat="1" ht="12.75">
      <c r="A10" s="2615"/>
      <c r="B10" s="2615"/>
      <c r="C10" s="2615"/>
      <c r="D10" s="2615"/>
      <c r="E10" s="2615"/>
      <c r="F10" s="2615"/>
      <c r="G10" s="1585"/>
      <c r="H10" s="2074"/>
      <c r="I10" s="2634" t="s">
        <v>464</v>
      </c>
      <c r="J10" s="1889"/>
      <c r="K10" s="2635" t="s">
        <v>464</v>
      </c>
      <c r="L10" s="1889"/>
      <c r="M10" s="2635"/>
      <c r="N10" s="1889"/>
      <c r="O10" s="2635"/>
      <c r="P10" s="1889"/>
      <c r="Q10" s="2635"/>
      <c r="R10" s="1889"/>
      <c r="S10" s="2635"/>
      <c r="T10" s="1889"/>
      <c r="U10" s="2635"/>
      <c r="V10" s="1889"/>
      <c r="W10" s="2635"/>
      <c r="X10" s="1889"/>
      <c r="Y10" s="2635"/>
      <c r="Z10" s="1889"/>
      <c r="AA10" s="2635"/>
      <c r="AB10" s="1889"/>
      <c r="AC10" s="1585"/>
      <c r="AD10" s="1741" t="s">
        <v>465</v>
      </c>
      <c r="AE10" s="2645"/>
      <c r="AF10" s="1741" t="s">
        <v>465</v>
      </c>
      <c r="AG10" s="2645"/>
      <c r="AH10" s="1741" t="s">
        <v>466</v>
      </c>
      <c r="AI10" s="2645"/>
      <c r="AJ10" s="1741" t="s">
        <v>466</v>
      </c>
      <c r="AK10" s="2645"/>
      <c r="AL10" s="1741" t="s">
        <v>467</v>
      </c>
      <c r="AM10" s="1597"/>
      <c r="AN10" s="1741" t="s">
        <v>467</v>
      </c>
      <c r="AO10" s="1597"/>
      <c r="AP10" s="1741" t="s">
        <v>468</v>
      </c>
      <c r="AQ10" s="1597"/>
      <c r="AR10" s="1741" t="s">
        <v>468</v>
      </c>
      <c r="AS10" s="1597"/>
      <c r="AT10" s="2615"/>
      <c r="AU10" s="2615"/>
      <c r="AV10" s="1585"/>
      <c r="AW10" s="2053"/>
      <c r="AX10" s="1585"/>
      <c r="AY10" s="2074"/>
      <c r="AZ10" s="2074"/>
      <c r="BA10" s="2619" t="s">
        <v>457</v>
      </c>
      <c r="BB10" s="2669" t="str">
        <f>I9</f>
        <v>地上</v>
      </c>
      <c r="BC10" s="1653" t="str">
        <f>K9</f>
        <v>地下</v>
      </c>
      <c r="BD10" s="1653">
        <f>M9</f>
        <v>0</v>
      </c>
      <c r="BE10" s="1653">
        <f>O9</f>
        <v>0</v>
      </c>
      <c r="BF10" s="1653">
        <f>Q9</f>
        <v>0</v>
      </c>
      <c r="BG10" s="1653">
        <f>S9</f>
        <v>0</v>
      </c>
      <c r="BH10" s="1653">
        <f>U9</f>
        <v>0</v>
      </c>
      <c r="BI10" s="1653">
        <f>W9</f>
        <v>0</v>
      </c>
      <c r="BJ10" s="1653">
        <f>Y9</f>
        <v>0</v>
      </c>
      <c r="BK10" s="1653">
        <f>AA9</f>
        <v>0</v>
      </c>
      <c r="BL10" s="1649" t="s">
        <v>457</v>
      </c>
      <c r="BM10" s="288" t="str">
        <f>AD9</f>
        <v>地上</v>
      </c>
      <c r="BN10" s="1653" t="str">
        <f>AF9</f>
        <v>地下</v>
      </c>
      <c r="BO10" s="288" t="str">
        <f>AH9</f>
        <v>地上</v>
      </c>
      <c r="BP10" s="1653" t="str">
        <f>AJ9</f>
        <v>地下</v>
      </c>
      <c r="BQ10" s="288" t="str">
        <f>AL9</f>
        <v>地上</v>
      </c>
      <c r="BR10" s="1653" t="str">
        <f>AN9</f>
        <v>地下</v>
      </c>
      <c r="BS10" s="288" t="str">
        <f>AP9</f>
        <v>地上</v>
      </c>
      <c r="BT10" s="2082" t="str">
        <f>AR9</f>
        <v>地下</v>
      </c>
    </row>
    <row r="11" spans="1:72" s="2329" customFormat="1" ht="12.75">
      <c r="A11" s="2615"/>
      <c r="B11" s="2615"/>
      <c r="C11" s="2615"/>
      <c r="D11" s="2615"/>
      <c r="E11" s="2615"/>
      <c r="F11" s="2615"/>
      <c r="G11" s="1585"/>
      <c r="H11" s="2619"/>
      <c r="I11" s="2636" t="s">
        <v>314</v>
      </c>
      <c r="J11" s="2637"/>
      <c r="K11" s="2636" t="s">
        <v>314</v>
      </c>
      <c r="L11" s="2637"/>
      <c r="M11" s="2636"/>
      <c r="N11" s="2637"/>
      <c r="O11" s="2636"/>
      <c r="P11" s="2637"/>
      <c r="Q11" s="2636"/>
      <c r="R11" s="2637"/>
      <c r="S11" s="2636"/>
      <c r="T11" s="2637"/>
      <c r="U11" s="2636"/>
      <c r="V11" s="2637"/>
      <c r="W11" s="2636"/>
      <c r="X11" s="2637"/>
      <c r="Y11" s="2636"/>
      <c r="Z11" s="2637"/>
      <c r="AA11" s="2636"/>
      <c r="AB11" s="2637"/>
      <c r="AC11" s="1585"/>
      <c r="AD11" s="2646" t="s">
        <v>469</v>
      </c>
      <c r="AE11" s="345"/>
      <c r="AF11" s="2646" t="s">
        <v>469</v>
      </c>
      <c r="AG11" s="345"/>
      <c r="AH11" s="2646" t="s">
        <v>470</v>
      </c>
      <c r="AI11" s="2650"/>
      <c r="AJ11" s="2646" t="s">
        <v>470</v>
      </c>
      <c r="AK11" s="345"/>
      <c r="AL11" s="288"/>
      <c r="AM11" s="345"/>
      <c r="AN11" s="288"/>
      <c r="AO11" s="345"/>
      <c r="AP11" s="288"/>
      <c r="AQ11" s="345"/>
      <c r="AR11" s="288"/>
      <c r="AS11" s="345"/>
      <c r="AT11" s="2053"/>
      <c r="AU11" s="2615"/>
      <c r="AV11" s="1585"/>
      <c r="AW11" s="2053"/>
      <c r="AX11" s="1585"/>
      <c r="AY11" s="2074"/>
      <c r="AZ11" s="2074"/>
      <c r="BA11" s="2074"/>
      <c r="BB11" s="2642" t="str">
        <f>I10</f>
        <v>工业</v>
      </c>
      <c r="BC11" s="2642" t="str">
        <f>K10</f>
        <v>工业</v>
      </c>
      <c r="BD11" s="2642">
        <f>M10</f>
        <v>0</v>
      </c>
      <c r="BE11" s="2642">
        <f>O10</f>
        <v>0</v>
      </c>
      <c r="BF11" s="2642">
        <f>Q10</f>
        <v>0</v>
      </c>
      <c r="BG11" s="2642">
        <f>S10</f>
        <v>0</v>
      </c>
      <c r="BH11" s="2642">
        <f>U10</f>
        <v>0</v>
      </c>
      <c r="BI11" s="2642">
        <f>W10</f>
        <v>0</v>
      </c>
      <c r="BJ11" s="2642">
        <f>Y10</f>
        <v>0</v>
      </c>
      <c r="BK11" s="2642">
        <f>AA10</f>
        <v>0</v>
      </c>
      <c r="BL11" s="1585"/>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9" t="str">
        <f>AP10</f>
        <v>未注明</v>
      </c>
      <c r="BT11" s="2075" t="str">
        <f>AR10</f>
        <v>未注明</v>
      </c>
    </row>
    <row r="12" spans="1:72" s="2593" customFormat="1" ht="12.75">
      <c r="A12" s="2620"/>
      <c r="B12" s="2620"/>
      <c r="C12" s="2620"/>
      <c r="D12" s="2620"/>
      <c r="E12" s="2620"/>
      <c r="F12" s="2620"/>
      <c r="G12" s="614"/>
      <c r="H12" s="2621"/>
      <c r="I12" s="2090" t="s">
        <v>471</v>
      </c>
      <c r="J12" s="290" t="s">
        <v>472</v>
      </c>
      <c r="K12" s="290" t="s">
        <v>471</v>
      </c>
      <c r="L12" s="290" t="s">
        <v>472</v>
      </c>
      <c r="M12" s="290" t="s">
        <v>471</v>
      </c>
      <c r="N12" s="290" t="s">
        <v>472</v>
      </c>
      <c r="O12" s="290" t="s">
        <v>471</v>
      </c>
      <c r="P12" s="290" t="s">
        <v>472</v>
      </c>
      <c r="Q12" s="290" t="s">
        <v>471</v>
      </c>
      <c r="R12" s="290" t="s">
        <v>472</v>
      </c>
      <c r="S12" s="290" t="s">
        <v>471</v>
      </c>
      <c r="T12" s="290" t="s">
        <v>472</v>
      </c>
      <c r="U12" s="290" t="s">
        <v>471</v>
      </c>
      <c r="V12" s="1977" t="s">
        <v>472</v>
      </c>
      <c r="W12" s="290" t="s">
        <v>471</v>
      </c>
      <c r="X12" s="290" t="s">
        <v>472</v>
      </c>
      <c r="Y12" s="290" t="s">
        <v>471</v>
      </c>
      <c r="Z12" s="290" t="s">
        <v>472</v>
      </c>
      <c r="AA12" s="290" t="s">
        <v>471</v>
      </c>
      <c r="AB12" s="290" t="s">
        <v>472</v>
      </c>
      <c r="AC12" s="2647"/>
      <c r="AD12" s="2090" t="s">
        <v>471</v>
      </c>
      <c r="AE12" s="290" t="s">
        <v>472</v>
      </c>
      <c r="AF12" s="290" t="s">
        <v>471</v>
      </c>
      <c r="AG12" s="290" t="s">
        <v>472</v>
      </c>
      <c r="AH12" s="290" t="s">
        <v>471</v>
      </c>
      <c r="AI12" s="290" t="s">
        <v>472</v>
      </c>
      <c r="AJ12" s="290" t="s">
        <v>471</v>
      </c>
      <c r="AK12" s="290" t="s">
        <v>472</v>
      </c>
      <c r="AL12" s="290" t="s">
        <v>471</v>
      </c>
      <c r="AM12" s="290" t="s">
        <v>472</v>
      </c>
      <c r="AN12" s="290" t="s">
        <v>471</v>
      </c>
      <c r="AO12" s="290" t="s">
        <v>472</v>
      </c>
      <c r="AP12" s="290" t="s">
        <v>471</v>
      </c>
      <c r="AQ12" s="290" t="s">
        <v>472</v>
      </c>
      <c r="AR12" s="614" t="s">
        <v>471</v>
      </c>
      <c r="AS12" s="2620" t="s">
        <v>472</v>
      </c>
      <c r="AT12" s="2654"/>
      <c r="AU12" s="2620"/>
      <c r="AV12" s="2078"/>
      <c r="AW12" s="2098"/>
      <c r="AX12" s="2078"/>
      <c r="AY12" s="2670"/>
      <c r="AZ12" s="2074"/>
      <c r="BA12" s="2619"/>
      <c r="BB12" s="287" t="str">
        <f>I11</f>
        <v>工业用房</v>
      </c>
      <c r="BC12" s="2671" t="str">
        <f>K11</f>
        <v>工业用房</v>
      </c>
      <c r="BD12" s="2671">
        <f>M11</f>
        <v>0</v>
      </c>
      <c r="BE12" s="2642">
        <f>O11</f>
        <v>0</v>
      </c>
      <c r="BF12" s="2642">
        <f>Q11</f>
        <v>0</v>
      </c>
      <c r="BG12" s="2642">
        <f>S11</f>
        <v>0</v>
      </c>
      <c r="BH12" s="2642">
        <f>U11</f>
        <v>0</v>
      </c>
      <c r="BI12" s="2642">
        <f>W11</f>
        <v>0</v>
      </c>
      <c r="BJ12" s="2642">
        <f>Y11</f>
        <v>0</v>
      </c>
      <c r="BK12" s="2642">
        <f>AA11</f>
        <v>0</v>
      </c>
      <c r="BL12" s="1585"/>
      <c r="BM12" s="288" t="str">
        <f>AD11</f>
        <v>（住宅）</v>
      </c>
      <c r="BN12" s="288" t="str">
        <f>AF11</f>
        <v>（住宅）</v>
      </c>
      <c r="BO12" s="287" t="str">
        <f>AH11</f>
        <v>（住宅、计出让金）</v>
      </c>
      <c r="BP12" s="287" t="str">
        <f>AJ11</f>
        <v>（住宅、计出让金）</v>
      </c>
      <c r="BQ12" s="287">
        <f>AL11</f>
        <v>0</v>
      </c>
      <c r="BR12" s="287">
        <f>AN11</f>
        <v>0</v>
      </c>
      <c r="BS12" s="1649">
        <f>AP11</f>
        <v>0</v>
      </c>
      <c r="BT12" s="2075">
        <f>AR11</f>
        <v>0</v>
      </c>
    </row>
    <row r="13" spans="1:72" s="2593" customFormat="1" ht="12.75">
      <c r="A13" s="2622"/>
      <c r="B13" s="2961"/>
      <c r="C13" s="2961" t="s">
        <v>2567</v>
      </c>
      <c r="D13" s="2623" t="s">
        <v>368</v>
      </c>
      <c r="E13" s="2608">
        <f>IF($C$3="是",ROUND($A$3*G13/$B$3,2),ROUND($A$3*(G13-AT13)/$B$3,2))</f>
        <v>1703.23</v>
      </c>
      <c r="F13" s="2624"/>
      <c r="G13" s="2625">
        <f>H13+AC13+AT13</f>
        <v>1154.5999999999999</v>
      </c>
      <c r="H13" s="2611">
        <f>SUMIF(I$12:AB$12,"总值",I13:AB13)</f>
        <v>1154.5999999999999</v>
      </c>
      <c r="I13" s="2968">
        <v>1154.5999999999999</v>
      </c>
      <c r="J13" s="2968"/>
      <c r="K13" s="2638"/>
      <c r="L13" s="2638"/>
      <c r="M13" s="2638"/>
      <c r="N13" s="2638"/>
      <c r="O13" s="2638"/>
      <c r="P13" s="2638"/>
      <c r="Q13" s="2638"/>
      <c r="R13" s="2638"/>
      <c r="S13" s="2638"/>
      <c r="T13" s="2638"/>
      <c r="U13" s="2638"/>
      <c r="V13" s="2638"/>
      <c r="W13" s="2638"/>
      <c r="X13" s="2638"/>
      <c r="Y13" s="2638"/>
      <c r="Z13" s="2638"/>
      <c r="AA13" s="2638"/>
      <c r="AB13" s="2638"/>
      <c r="AC13" s="2608">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90">
        <f t="shared" ref="AV13:AX17" si="6">A13</f>
        <v>0</v>
      </c>
      <c r="AW13" s="290">
        <f t="shared" si="6"/>
        <v>0</v>
      </c>
      <c r="AX13" s="290" t="str">
        <f t="shared" si="6"/>
        <v>1幢成品库房</v>
      </c>
      <c r="AY13" s="2090">
        <f>ROUND($AY$6*AZ13/$AZ$5,2)</f>
        <v>0</v>
      </c>
      <c r="AZ13" s="2608">
        <f>BA13+BL13</f>
        <v>0</v>
      </c>
      <c r="BA13" s="2608">
        <f>SUM(BB13:BK13)</f>
        <v>0</v>
      </c>
      <c r="BB13" s="2608">
        <f>IF($D13="是",I13-J13,0)</f>
        <v>0</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4">
        <f>IF($D13="是",AR13-AS13,0)</f>
        <v>0</v>
      </c>
    </row>
    <row r="14" spans="1:72" s="2593" customFormat="1" ht="12.75">
      <c r="A14" s="2622"/>
      <c r="B14" s="2961"/>
      <c r="C14" s="2961" t="s">
        <v>2568</v>
      </c>
      <c r="D14" s="2623" t="s">
        <v>368</v>
      </c>
      <c r="E14" s="2608">
        <f>IF($C$3="是",ROUND($A$3*G14/$B$3,2),ROUND($A$3*(G14-AT14)/$B$3,2))</f>
        <v>16321.7</v>
      </c>
      <c r="F14" s="2624"/>
      <c r="G14" s="2625">
        <f>H14+AC14+AT14</f>
        <v>11064.27</v>
      </c>
      <c r="H14" s="2611">
        <f>SUMIF(I$12:AB$12,"总值",I14:AB14)</f>
        <v>11064.27</v>
      </c>
      <c r="I14" s="2968">
        <v>11064.27</v>
      </c>
      <c r="J14" s="2968"/>
      <c r="K14" s="2638"/>
      <c r="L14" s="2638"/>
      <c r="M14" s="2638"/>
      <c r="N14" s="2638"/>
      <c r="O14" s="2638"/>
      <c r="P14" s="2638"/>
      <c r="Q14" s="2638"/>
      <c r="R14" s="2638"/>
      <c r="S14" s="2638"/>
      <c r="T14" s="2638"/>
      <c r="U14" s="2638"/>
      <c r="V14" s="2638"/>
      <c r="W14" s="2638"/>
      <c r="X14" s="2638"/>
      <c r="Y14" s="2638"/>
      <c r="Z14" s="2638"/>
      <c r="AA14" s="2638"/>
      <c r="AB14" s="2638"/>
      <c r="AC14" s="2608">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90">
        <f t="shared" si="6"/>
        <v>0</v>
      </c>
      <c r="AW14" s="290">
        <f t="shared" si="6"/>
        <v>0</v>
      </c>
      <c r="AX14" s="290" t="str">
        <f t="shared" si="6"/>
        <v>2幢生产车间</v>
      </c>
      <c r="AY14" s="2090">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4">
        <f>IF($D14="是",AR14-AS14,0)</f>
        <v>0</v>
      </c>
    </row>
    <row r="15" spans="1:72" s="2593" customFormat="1" ht="12.75">
      <c r="A15" s="2622"/>
      <c r="B15" s="2961"/>
      <c r="C15" s="2961" t="s">
        <v>2569</v>
      </c>
      <c r="D15" s="2623" t="s">
        <v>368</v>
      </c>
      <c r="E15" s="2608">
        <f>IF($C$3="是",ROUND($A$3*G15/$B$3,2),ROUND($A$3*(G15-AT15)/$B$3,2))</f>
        <v>16305.16</v>
      </c>
      <c r="F15" s="2624"/>
      <c r="G15" s="2625">
        <f>H15+AC15+AT15</f>
        <v>11053.06</v>
      </c>
      <c r="H15" s="2611">
        <f>SUMIF(I$12:AB$12,"总值",I15:AB15)</f>
        <v>11053.06</v>
      </c>
      <c r="I15" s="2968">
        <v>11053.06</v>
      </c>
      <c r="J15" s="2968"/>
      <c r="K15" s="2638"/>
      <c r="L15" s="2638"/>
      <c r="M15" s="2638"/>
      <c r="N15" s="2638"/>
      <c r="O15" s="2638"/>
      <c r="P15" s="2638"/>
      <c r="Q15" s="2638"/>
      <c r="R15" s="2638"/>
      <c r="S15" s="2638"/>
      <c r="T15" s="2638"/>
      <c r="U15" s="2638"/>
      <c r="V15" s="2638"/>
      <c r="W15" s="2638"/>
      <c r="X15" s="2638"/>
      <c r="Y15" s="2638"/>
      <c r="Z15" s="2638"/>
      <c r="AA15" s="2638"/>
      <c r="AB15" s="2638"/>
      <c r="AC15" s="2608">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0">
        <f t="shared" si="6"/>
        <v>0</v>
      </c>
      <c r="AW15" s="290">
        <f t="shared" si="6"/>
        <v>0</v>
      </c>
      <c r="AX15" s="290" t="str">
        <f t="shared" si="6"/>
        <v>3幢生产车间</v>
      </c>
      <c r="AY15" s="2090">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4">
        <f>IF($D15="是",AR15-AS15,0)</f>
        <v>0</v>
      </c>
    </row>
    <row r="16" spans="1:72" s="2593" customFormat="1" ht="12.75">
      <c r="A16" s="2961" t="s">
        <v>2570</v>
      </c>
      <c r="B16" s="2961" t="s">
        <v>2571</v>
      </c>
      <c r="C16" s="2961" t="s">
        <v>2572</v>
      </c>
      <c r="D16" s="2623" t="s">
        <v>368</v>
      </c>
      <c r="E16" s="2608">
        <f>IF($C$3="是",ROUND($A$3*G16/$B$3,2),ROUND($A$3*(G16-AT16)/$B$3,2))</f>
        <v>6418.92</v>
      </c>
      <c r="F16" s="2624"/>
      <c r="G16" s="2625">
        <f>H16+AC16+AT16</f>
        <v>4351.3</v>
      </c>
      <c r="H16" s="2611">
        <f>SUMIF(I$12:AB$12,"总值",I16:AB16)</f>
        <v>4351.3</v>
      </c>
      <c r="I16" s="2968">
        <v>4351.3</v>
      </c>
      <c r="J16" s="2968"/>
      <c r="K16" s="2638"/>
      <c r="L16" s="2638"/>
      <c r="M16" s="2638"/>
      <c r="N16" s="2638"/>
      <c r="O16" s="2638"/>
      <c r="P16" s="2638"/>
      <c r="Q16" s="2638"/>
      <c r="R16" s="2638"/>
      <c r="S16" s="2638"/>
      <c r="T16" s="2638"/>
      <c r="U16" s="2638"/>
      <c r="V16" s="2638"/>
      <c r="W16" s="2638"/>
      <c r="X16" s="2638"/>
      <c r="Y16" s="2638"/>
      <c r="Z16" s="2638"/>
      <c r="AA16" s="2638"/>
      <c r="AB16" s="2638"/>
      <c r="AC16" s="2608">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0" t="str">
        <f t="shared" si="6"/>
        <v>拿地</v>
      </c>
      <c r="AW16" s="290" t="str">
        <f t="shared" si="6"/>
        <v>总价</v>
      </c>
      <c r="AX16" s="290" t="str">
        <f t="shared" si="6"/>
        <v>4幢附属用房</v>
      </c>
      <c r="AY16" s="2090">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4">
        <f>IF($D16="是",AR16-AS16,0)</f>
        <v>0</v>
      </c>
    </row>
    <row r="17" spans="1:72" s="2593" customFormat="1">
      <c r="A17" s="2961" t="s">
        <v>2573</v>
      </c>
      <c r="B17" s="2627">
        <v>1850</v>
      </c>
      <c r="C17" s="2961" t="s">
        <v>2574</v>
      </c>
      <c r="D17" s="2623" t="s">
        <v>368</v>
      </c>
      <c r="E17" s="2608">
        <f>IF($C$3="是",ROUND($A$3*G17/$B$3,2),ROUND($A$3*(G17-AT17)/$B$3,2))</f>
        <v>1530.31</v>
      </c>
      <c r="F17" s="2624"/>
      <c r="G17" s="2625">
        <f>H17+AC17+AT17</f>
        <v>1037.3800000000001</v>
      </c>
      <c r="H17" s="2611">
        <f>SUMIF(I$12:AB$12,"总值",I17:AB17)</f>
        <v>1037.3800000000001</v>
      </c>
      <c r="I17" s="2638">
        <v>1037.3800000000001</v>
      </c>
      <c r="J17" s="2968"/>
      <c r="K17" s="2638"/>
      <c r="L17" s="2638"/>
      <c r="M17" s="2638"/>
      <c r="N17" s="2638"/>
      <c r="O17" s="2638"/>
      <c r="P17" s="2638"/>
      <c r="Q17" s="2638"/>
      <c r="R17" s="2638"/>
      <c r="S17" s="2638"/>
      <c r="T17" s="2638"/>
      <c r="U17" s="2638"/>
      <c r="V17" s="2638"/>
      <c r="W17" s="2638"/>
      <c r="X17" s="2638"/>
      <c r="Y17" s="2638"/>
      <c r="Z17" s="2638"/>
      <c r="AA17" s="2638"/>
      <c r="AB17" s="2638"/>
      <c r="AC17" s="2608">
        <f>SUMIF(AD$12:AS$12,"总值",AD17:AS17)</f>
        <v>0</v>
      </c>
      <c r="AD17" s="2648"/>
      <c r="AE17" s="2648"/>
      <c r="AF17" s="2648"/>
      <c r="AG17" s="2648"/>
      <c r="AH17" s="2648"/>
      <c r="AI17" s="2648"/>
      <c r="AJ17" s="2648"/>
      <c r="AK17" s="2648"/>
      <c r="AL17" s="2648"/>
      <c r="AM17" s="2648"/>
      <c r="AN17" s="2638"/>
      <c r="AO17" s="2648"/>
      <c r="AP17" s="2648"/>
      <c r="AQ17" s="2648"/>
      <c r="AR17" s="2648"/>
      <c r="AS17" s="2648"/>
      <c r="AT17" s="2655"/>
      <c r="AU17" s="2656"/>
      <c r="AV17" s="290" t="str">
        <f t="shared" si="6"/>
        <v>五通</v>
      </c>
      <c r="AW17" s="290">
        <f t="shared" si="6"/>
        <v>1850</v>
      </c>
      <c r="AX17" s="290" t="str">
        <f t="shared" si="6"/>
        <v>5幢仓库</v>
      </c>
      <c r="AY17" s="2090">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4">
        <f>IF($D17="是",AR17-AS17,0)</f>
        <v>0</v>
      </c>
    </row>
    <row r="18" spans="1:72" ht="28.5">
      <c r="A18" s="2971" t="s">
        <v>2575</v>
      </c>
      <c r="B18" s="2628">
        <f>B17/A3*10000</f>
        <v>198.9825002957848</v>
      </c>
      <c r="C18" s="2961" t="s">
        <v>2834</v>
      </c>
      <c r="D18" s="2623" t="s">
        <v>441</v>
      </c>
      <c r="E18" s="2629">
        <f t="shared" ref="E18:E112" si="7">IF($C$3="是",ROUND($A$3*G18/$B$3,2),ROUND($A$3*(G18-AT18)/$B$3,2))</f>
        <v>4953.05</v>
      </c>
      <c r="F18" s="2630"/>
      <c r="G18" s="2631">
        <f t="shared" ref="G18:G109" si="8">H18+AC18+AT18</f>
        <v>3357.6099999999997</v>
      </c>
      <c r="H18" s="2632">
        <f t="shared" ref="H18:H109" si="9">SUMIF(I$12:AB$12,"总值",I18:AB18)</f>
        <v>3357.6099999999997</v>
      </c>
      <c r="I18" s="2969">
        <f>SUM(面积表!M3:M8)+面积表!M12+面积表!M17</f>
        <v>3357.6099999999997</v>
      </c>
      <c r="J18" s="296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39"/>
      <c r="AO18" s="2649"/>
      <c r="AP18" s="2649"/>
      <c r="AQ18" s="2649"/>
      <c r="AR18" s="2649"/>
      <c r="AS18" s="2649"/>
      <c r="AT18" s="2657"/>
      <c r="AU18" s="2658"/>
      <c r="AV18" s="1075" t="str">
        <f t="shared" ref="AV18:AV112" si="11">A18</f>
        <v>地面单价</v>
      </c>
      <c r="AW18" s="1075">
        <f t="shared" ref="AW18:AW112" si="12">B18</f>
        <v>198.9825002957848</v>
      </c>
      <c r="AX18" s="1075" t="str">
        <f t="shared" ref="AX18:AX112" si="13">C18</f>
        <v>测绘（按土地）</v>
      </c>
      <c r="AY18" s="2211">
        <f t="shared" ref="AY18:AY109" si="14">ROUND($AY$6*AZ18/$AZ$5,2)</f>
        <v>4953.05</v>
      </c>
      <c r="AZ18" s="2629">
        <f t="shared" ref="AZ18:AZ109" si="15">BA18+BL18</f>
        <v>3357.6099999999997</v>
      </c>
      <c r="BA18" s="2629">
        <f t="shared" ref="BA18:BA109" si="16">SUM(BB18:BK18)</f>
        <v>3357.6099999999997</v>
      </c>
      <c r="BB18" s="2629">
        <f t="shared" ref="BB18:BB109" si="17">IF($D18="是",I18-J18,0)</f>
        <v>3357.6099999999997</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972" t="s">
        <v>2576</v>
      </c>
      <c r="B19" s="2628">
        <v>74378.399999999994</v>
      </c>
      <c r="C19" s="2961" t="s">
        <v>2577</v>
      </c>
      <c r="D19" s="2623" t="s">
        <v>441</v>
      </c>
      <c r="E19" s="2629">
        <f t="shared" si="7"/>
        <v>45740.62</v>
      </c>
      <c r="F19" s="2630"/>
      <c r="G19" s="2631">
        <f t="shared" si="8"/>
        <v>31006.98</v>
      </c>
      <c r="H19" s="2632">
        <f t="shared" si="9"/>
        <v>31006.98</v>
      </c>
      <c r="I19" s="2969">
        <f>SUM(面积表!M23:M30)</f>
        <v>31006.98</v>
      </c>
      <c r="J19" s="296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39"/>
      <c r="AO19" s="2649"/>
      <c r="AP19" s="2649"/>
      <c r="AQ19" s="2649"/>
      <c r="AR19" s="2649"/>
      <c r="AS19" s="2649"/>
      <c r="AT19" s="2657"/>
      <c r="AU19" s="2658"/>
      <c r="AV19" s="1075" t="str">
        <f t="shared" si="11"/>
        <v>规划建筑</v>
      </c>
      <c r="AW19" s="1075">
        <f t="shared" si="12"/>
        <v>74378.399999999994</v>
      </c>
      <c r="AX19" s="1075" t="str">
        <f t="shared" si="13"/>
        <v>剩余未建</v>
      </c>
      <c r="AY19" s="2211">
        <f t="shared" si="14"/>
        <v>45740.63</v>
      </c>
      <c r="AZ19" s="2629">
        <f t="shared" si="15"/>
        <v>31006.98</v>
      </c>
      <c r="BA19" s="2629">
        <f t="shared" si="16"/>
        <v>31006.98</v>
      </c>
      <c r="BB19" s="2629">
        <f t="shared" si="17"/>
        <v>31006.98</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972" t="s">
        <v>2578</v>
      </c>
      <c r="B20" s="2628">
        <v>0.8</v>
      </c>
      <c r="C20" s="2961"/>
      <c r="D20" s="2623"/>
      <c r="E20" s="2629">
        <f t="shared" si="7"/>
        <v>0</v>
      </c>
      <c r="F20" s="2630"/>
      <c r="G20" s="2631">
        <f t="shared" si="8"/>
        <v>0</v>
      </c>
      <c r="H20" s="2632">
        <f t="shared" si="9"/>
        <v>0</v>
      </c>
      <c r="I20" s="2969"/>
      <c r="J20" s="296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1075" t="str">
        <f t="shared" si="11"/>
        <v>容积率</v>
      </c>
      <c r="AW20" s="1075">
        <f t="shared" si="12"/>
        <v>0.8</v>
      </c>
      <c r="AX20" s="1075">
        <f t="shared" si="13"/>
        <v>0</v>
      </c>
      <c r="AY20" s="2211">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972" t="s">
        <v>2829</v>
      </c>
      <c r="B21" s="2628">
        <f>1000+850</f>
        <v>1850</v>
      </c>
      <c r="C21" s="2961"/>
      <c r="D21" s="2970"/>
      <c r="E21" s="2629">
        <f t="shared" si="7"/>
        <v>0</v>
      </c>
      <c r="F21" s="2630"/>
      <c r="G21" s="2631">
        <f t="shared" si="8"/>
        <v>0</v>
      </c>
      <c r="H21" s="2632">
        <f t="shared" si="9"/>
        <v>0</v>
      </c>
      <c r="I21" s="2969"/>
      <c r="J21" s="296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1075" t="str">
        <f t="shared" si="11"/>
        <v>地价款票据</v>
      </c>
      <c r="AW21" s="1075">
        <f t="shared" si="12"/>
        <v>1850</v>
      </c>
      <c r="AX21" s="1075">
        <f t="shared" si="13"/>
        <v>0</v>
      </c>
      <c r="AY21" s="2211">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3313" t="s">
        <v>2828</v>
      </c>
      <c r="B22" s="2628">
        <v>74</v>
      </c>
      <c r="C22" s="2961"/>
      <c r="D22" s="2970"/>
      <c r="E22" s="2629">
        <f t="shared" si="7"/>
        <v>0</v>
      </c>
      <c r="F22" s="2630"/>
      <c r="G22" s="2631">
        <f t="shared" si="8"/>
        <v>0</v>
      </c>
      <c r="H22" s="2632">
        <f t="shared" si="9"/>
        <v>0</v>
      </c>
      <c r="I22" s="2969"/>
      <c r="J22" s="296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1075" t="str">
        <f t="shared" si="11"/>
        <v>契税</v>
      </c>
      <c r="AW22" s="1075">
        <f t="shared" si="12"/>
        <v>74</v>
      </c>
      <c r="AX22" s="1075">
        <f t="shared" si="13"/>
        <v>0</v>
      </c>
      <c r="AY22" s="2211">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961"/>
      <c r="D23" s="2970"/>
      <c r="E23" s="2629">
        <f t="shared" si="7"/>
        <v>0</v>
      </c>
      <c r="F23" s="2630"/>
      <c r="G23" s="2631">
        <f t="shared" si="8"/>
        <v>0</v>
      </c>
      <c r="H23" s="2632">
        <f t="shared" si="9"/>
        <v>0</v>
      </c>
      <c r="I23" s="2969"/>
      <c r="J23" s="296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1075">
        <f t="shared" si="11"/>
        <v>0</v>
      </c>
      <c r="AW23" s="1075">
        <f t="shared" si="12"/>
        <v>0</v>
      </c>
      <c r="AX23" s="1075">
        <f t="shared" si="13"/>
        <v>0</v>
      </c>
      <c r="AY23" s="2211">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961"/>
      <c r="D24" s="2970"/>
      <c r="E24" s="2629">
        <f t="shared" si="7"/>
        <v>0</v>
      </c>
      <c r="F24" s="2630"/>
      <c r="G24" s="2631">
        <f t="shared" si="8"/>
        <v>0</v>
      </c>
      <c r="H24" s="2632">
        <f t="shared" si="9"/>
        <v>0</v>
      </c>
      <c r="I24" s="2969"/>
      <c r="J24" s="296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1075">
        <f t="shared" si="11"/>
        <v>0</v>
      </c>
      <c r="AW24" s="1075">
        <f t="shared" si="12"/>
        <v>0</v>
      </c>
      <c r="AX24" s="1075">
        <f t="shared" si="13"/>
        <v>0</v>
      </c>
      <c r="AY24" s="2211">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961"/>
      <c r="D25" s="2970"/>
      <c r="E25" s="2629">
        <f t="shared" si="7"/>
        <v>0</v>
      </c>
      <c r="F25" s="2630"/>
      <c r="G25" s="2631">
        <f t="shared" si="8"/>
        <v>0</v>
      </c>
      <c r="H25" s="2632">
        <f t="shared" si="9"/>
        <v>0</v>
      </c>
      <c r="I25" s="2969"/>
      <c r="J25" s="296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1075">
        <f t="shared" si="11"/>
        <v>0</v>
      </c>
      <c r="AW25" s="1075">
        <f t="shared" si="12"/>
        <v>0</v>
      </c>
      <c r="AX25" s="1075">
        <f t="shared" si="13"/>
        <v>0</v>
      </c>
      <c r="AY25" s="2211">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961"/>
      <c r="D26" s="2970"/>
      <c r="E26" s="2629">
        <f t="shared" si="7"/>
        <v>0</v>
      </c>
      <c r="F26" s="2630"/>
      <c r="G26" s="2631">
        <f t="shared" si="8"/>
        <v>0</v>
      </c>
      <c r="H26" s="2632">
        <f t="shared" si="9"/>
        <v>0</v>
      </c>
      <c r="I26" s="2969"/>
      <c r="J26" s="296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1075">
        <f t="shared" si="11"/>
        <v>0</v>
      </c>
      <c r="AW26" s="1075">
        <f t="shared" si="12"/>
        <v>0</v>
      </c>
      <c r="AX26" s="1075">
        <f t="shared" si="13"/>
        <v>0</v>
      </c>
      <c r="AY26" s="2211">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961"/>
      <c r="D27" s="2970"/>
      <c r="E27" s="2629">
        <f t="shared" si="7"/>
        <v>0</v>
      </c>
      <c r="F27" s="2630"/>
      <c r="G27" s="2631">
        <f t="shared" si="8"/>
        <v>0</v>
      </c>
      <c r="H27" s="2632">
        <f t="shared" si="9"/>
        <v>0</v>
      </c>
      <c r="I27" s="2969"/>
      <c r="J27" s="296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1075">
        <f t="shared" si="11"/>
        <v>0</v>
      </c>
      <c r="AW27" s="1075">
        <f t="shared" si="12"/>
        <v>0</v>
      </c>
      <c r="AX27" s="1075">
        <f t="shared" si="13"/>
        <v>0</v>
      </c>
      <c r="AY27" s="2211">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961"/>
      <c r="D28" s="2970"/>
      <c r="E28" s="2629">
        <f t="shared" si="7"/>
        <v>0</v>
      </c>
      <c r="F28" s="2630"/>
      <c r="G28" s="2631">
        <f t="shared" si="8"/>
        <v>0</v>
      </c>
      <c r="H28" s="2632">
        <f t="shared" si="9"/>
        <v>0</v>
      </c>
      <c r="I28" s="2969"/>
      <c r="J28" s="296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39"/>
      <c r="AO28" s="2649"/>
      <c r="AP28" s="2649"/>
      <c r="AQ28" s="2649"/>
      <c r="AR28" s="2649"/>
      <c r="AS28" s="2649"/>
      <c r="AT28" s="2657"/>
      <c r="AU28" s="2658"/>
      <c r="AV28" s="1075">
        <f t="shared" si="11"/>
        <v>0</v>
      </c>
      <c r="AW28" s="1075">
        <f t="shared" si="12"/>
        <v>0</v>
      </c>
      <c r="AX28" s="1075">
        <f t="shared" si="13"/>
        <v>0</v>
      </c>
      <c r="AY28" s="2211">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961"/>
      <c r="D29" s="2970"/>
      <c r="E29" s="2629">
        <f t="shared" si="7"/>
        <v>0</v>
      </c>
      <c r="F29" s="2630"/>
      <c r="G29" s="2631">
        <f t="shared" si="8"/>
        <v>0</v>
      </c>
      <c r="H29" s="2632">
        <f t="shared" si="9"/>
        <v>0</v>
      </c>
      <c r="I29" s="2969"/>
      <c r="J29" s="296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1075">
        <f t="shared" si="11"/>
        <v>0</v>
      </c>
      <c r="AW29" s="1075">
        <f t="shared" si="12"/>
        <v>0</v>
      </c>
      <c r="AX29" s="1075">
        <f t="shared" si="13"/>
        <v>0</v>
      </c>
      <c r="AY29" s="2211">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961"/>
      <c r="D30" s="2970"/>
      <c r="E30" s="2629">
        <f t="shared" si="7"/>
        <v>0</v>
      </c>
      <c r="F30" s="2630"/>
      <c r="G30" s="2631">
        <f t="shared" si="8"/>
        <v>0</v>
      </c>
      <c r="H30" s="2632">
        <f t="shared" si="9"/>
        <v>0</v>
      </c>
      <c r="I30" s="2969"/>
      <c r="J30" s="296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1075">
        <f t="shared" si="11"/>
        <v>0</v>
      </c>
      <c r="AW30" s="1075">
        <f t="shared" si="12"/>
        <v>0</v>
      </c>
      <c r="AX30" s="1075">
        <f t="shared" si="13"/>
        <v>0</v>
      </c>
      <c r="AY30" s="2211">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961"/>
      <c r="D31" s="2970"/>
      <c r="E31" s="2629">
        <f t="shared" si="7"/>
        <v>0</v>
      </c>
      <c r="F31" s="2630"/>
      <c r="G31" s="2631">
        <f t="shared" si="8"/>
        <v>0</v>
      </c>
      <c r="H31" s="2632">
        <f t="shared" si="9"/>
        <v>0</v>
      </c>
      <c r="I31" s="2969"/>
      <c r="J31" s="296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1075">
        <f t="shared" si="11"/>
        <v>0</v>
      </c>
      <c r="AW31" s="1075">
        <f t="shared" si="12"/>
        <v>0</v>
      </c>
      <c r="AX31" s="1075">
        <f t="shared" si="13"/>
        <v>0</v>
      </c>
      <c r="AY31" s="2211">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961"/>
      <c r="D32" s="2970"/>
      <c r="E32" s="2629">
        <f t="shared" si="7"/>
        <v>0</v>
      </c>
      <c r="F32" s="2630"/>
      <c r="G32" s="2631">
        <f t="shared" si="8"/>
        <v>0</v>
      </c>
      <c r="H32" s="2632">
        <f t="shared" si="9"/>
        <v>0</v>
      </c>
      <c r="I32" s="2969"/>
      <c r="J32" s="296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1075">
        <f t="shared" si="11"/>
        <v>0</v>
      </c>
      <c r="AW32" s="1075">
        <f t="shared" si="12"/>
        <v>0</v>
      </c>
      <c r="AX32" s="1075">
        <f t="shared" si="13"/>
        <v>0</v>
      </c>
      <c r="AY32" s="2211">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961"/>
      <c r="D33" s="2970"/>
      <c r="E33" s="2629">
        <f t="shared" si="7"/>
        <v>0</v>
      </c>
      <c r="F33" s="2630"/>
      <c r="G33" s="2631">
        <f t="shared" si="8"/>
        <v>0</v>
      </c>
      <c r="H33" s="2632">
        <f t="shared" si="9"/>
        <v>0</v>
      </c>
      <c r="I33" s="2969"/>
      <c r="J33" s="296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1075">
        <f t="shared" si="11"/>
        <v>0</v>
      </c>
      <c r="AW33" s="1075">
        <f t="shared" si="12"/>
        <v>0</v>
      </c>
      <c r="AX33" s="1075">
        <f t="shared" si="13"/>
        <v>0</v>
      </c>
      <c r="AY33" s="2211">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961"/>
      <c r="D34" s="2970"/>
      <c r="E34" s="2629">
        <f t="shared" si="7"/>
        <v>0</v>
      </c>
      <c r="F34" s="2630"/>
      <c r="G34" s="2631">
        <f t="shared" si="8"/>
        <v>0</v>
      </c>
      <c r="H34" s="2632">
        <f t="shared" si="9"/>
        <v>0</v>
      </c>
      <c r="I34" s="2969"/>
      <c r="J34" s="296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1075">
        <f t="shared" si="11"/>
        <v>0</v>
      </c>
      <c r="AW34" s="1075">
        <f t="shared" si="12"/>
        <v>0</v>
      </c>
      <c r="AX34" s="1075">
        <f t="shared" si="13"/>
        <v>0</v>
      </c>
      <c r="AY34" s="2211">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961"/>
      <c r="D35" s="2970"/>
      <c r="E35" s="2629">
        <f t="shared" si="7"/>
        <v>0</v>
      </c>
      <c r="F35" s="2630"/>
      <c r="G35" s="2631">
        <f t="shared" si="8"/>
        <v>0</v>
      </c>
      <c r="H35" s="2632">
        <f t="shared" si="9"/>
        <v>0</v>
      </c>
      <c r="I35" s="2969"/>
      <c r="J35" s="296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1075">
        <f t="shared" si="11"/>
        <v>0</v>
      </c>
      <c r="AW35" s="1075">
        <f t="shared" si="12"/>
        <v>0</v>
      </c>
      <c r="AX35" s="1075">
        <f t="shared" si="13"/>
        <v>0</v>
      </c>
      <c r="AY35" s="2211">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961"/>
      <c r="D36" s="2970"/>
      <c r="E36" s="2629">
        <f t="shared" si="7"/>
        <v>0</v>
      </c>
      <c r="F36" s="2630"/>
      <c r="G36" s="2631">
        <f t="shared" si="8"/>
        <v>25.56</v>
      </c>
      <c r="H36" s="2632">
        <f t="shared" si="9"/>
        <v>0</v>
      </c>
      <c r="I36" s="2969"/>
      <c r="J36" s="296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v>25.56</v>
      </c>
      <c r="AU36" s="2658"/>
      <c r="AV36" s="1075">
        <f t="shared" si="11"/>
        <v>0</v>
      </c>
      <c r="AW36" s="1075">
        <f t="shared" si="12"/>
        <v>0</v>
      </c>
      <c r="AX36" s="1075">
        <f t="shared" si="13"/>
        <v>0</v>
      </c>
      <c r="AY36" s="2211">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961"/>
      <c r="D37" s="2970"/>
      <c r="E37" s="2629">
        <f t="shared" si="7"/>
        <v>0</v>
      </c>
      <c r="F37" s="2630"/>
      <c r="G37" s="2631">
        <f t="shared" si="8"/>
        <v>0</v>
      </c>
      <c r="H37" s="2632">
        <f t="shared" si="9"/>
        <v>0</v>
      </c>
      <c r="I37" s="2969"/>
      <c r="J37" s="296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1075">
        <f t="shared" si="11"/>
        <v>0</v>
      </c>
      <c r="AW37" s="1075">
        <f t="shared" si="12"/>
        <v>0</v>
      </c>
      <c r="AX37" s="1075">
        <f t="shared" si="13"/>
        <v>0</v>
      </c>
      <c r="AY37" s="2211">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961"/>
      <c r="D38" s="2970"/>
      <c r="E38" s="2629">
        <f t="shared" si="7"/>
        <v>0</v>
      </c>
      <c r="F38" s="2630"/>
      <c r="G38" s="2631">
        <f t="shared" si="8"/>
        <v>0</v>
      </c>
      <c r="H38" s="2632">
        <f t="shared" si="9"/>
        <v>0</v>
      </c>
      <c r="I38" s="2969"/>
      <c r="J38" s="296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1075">
        <f t="shared" si="11"/>
        <v>0</v>
      </c>
      <c r="AW38" s="1075">
        <f t="shared" si="12"/>
        <v>0</v>
      </c>
      <c r="AX38" s="1075">
        <f t="shared" si="13"/>
        <v>0</v>
      </c>
      <c r="AY38" s="2211">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961"/>
      <c r="D39" s="2970"/>
      <c r="E39" s="2629">
        <f t="shared" si="7"/>
        <v>0</v>
      </c>
      <c r="F39" s="2630"/>
      <c r="G39" s="2631">
        <f t="shared" si="8"/>
        <v>0</v>
      </c>
      <c r="H39" s="2632">
        <f t="shared" si="9"/>
        <v>0</v>
      </c>
      <c r="I39" s="2969"/>
      <c r="J39" s="296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1075">
        <f t="shared" si="11"/>
        <v>0</v>
      </c>
      <c r="AW39" s="1075">
        <f t="shared" si="12"/>
        <v>0</v>
      </c>
      <c r="AX39" s="1075">
        <f t="shared" si="13"/>
        <v>0</v>
      </c>
      <c r="AY39" s="2211">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966"/>
      <c r="E40" s="2629">
        <f t="shared" si="7"/>
        <v>0</v>
      </c>
      <c r="F40" s="2630"/>
      <c r="G40" s="2631">
        <f t="shared" si="8"/>
        <v>0</v>
      </c>
      <c r="H40" s="2632">
        <f t="shared" si="9"/>
        <v>0</v>
      </c>
      <c r="I40" s="2969"/>
      <c r="J40" s="296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1075">
        <f t="shared" si="11"/>
        <v>0</v>
      </c>
      <c r="AW40" s="1075">
        <f t="shared" si="12"/>
        <v>0</v>
      </c>
      <c r="AX40" s="1075">
        <f t="shared" si="13"/>
        <v>0</v>
      </c>
      <c r="AY40" s="2211">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966"/>
      <c r="E41" s="2629">
        <f t="shared" si="7"/>
        <v>0</v>
      </c>
      <c r="F41" s="2630"/>
      <c r="G41" s="2631">
        <f t="shared" si="8"/>
        <v>0</v>
      </c>
      <c r="H41" s="2632">
        <f t="shared" si="9"/>
        <v>0</v>
      </c>
      <c r="I41" s="2969"/>
      <c r="J41" s="296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1075">
        <f t="shared" si="11"/>
        <v>0</v>
      </c>
      <c r="AW41" s="1075">
        <f t="shared" si="12"/>
        <v>0</v>
      </c>
      <c r="AX41" s="1075">
        <f t="shared" si="13"/>
        <v>0</v>
      </c>
      <c r="AY41" s="2211">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966"/>
      <c r="E42" s="2629">
        <f t="shared" si="7"/>
        <v>0</v>
      </c>
      <c r="F42" s="2630"/>
      <c r="G42" s="2631">
        <f t="shared" si="8"/>
        <v>0</v>
      </c>
      <c r="H42" s="2632">
        <f t="shared" si="9"/>
        <v>0</v>
      </c>
      <c r="I42" s="2969"/>
      <c r="J42" s="296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1075">
        <f t="shared" si="11"/>
        <v>0</v>
      </c>
      <c r="AW42" s="1075">
        <f t="shared" si="12"/>
        <v>0</v>
      </c>
      <c r="AX42" s="1075">
        <f t="shared" si="13"/>
        <v>0</v>
      </c>
      <c r="AY42" s="2211">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966"/>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1075">
        <f t="shared" si="11"/>
        <v>0</v>
      </c>
      <c r="AW43" s="1075">
        <f t="shared" si="12"/>
        <v>0</v>
      </c>
      <c r="AX43" s="1075">
        <f t="shared" si="13"/>
        <v>0</v>
      </c>
      <c r="AY43" s="2211">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966"/>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1075">
        <f t="shared" si="11"/>
        <v>0</v>
      </c>
      <c r="AW44" s="1075">
        <f t="shared" si="12"/>
        <v>0</v>
      </c>
      <c r="AX44" s="1075">
        <f t="shared" si="13"/>
        <v>0</v>
      </c>
      <c r="AY44" s="2211">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966"/>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1075">
        <f t="shared" si="11"/>
        <v>0</v>
      </c>
      <c r="AW45" s="1075">
        <f t="shared" si="12"/>
        <v>0</v>
      </c>
      <c r="AX45" s="1075">
        <f t="shared" si="13"/>
        <v>0</v>
      </c>
      <c r="AY45" s="2211">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966"/>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1075">
        <f t="shared" si="11"/>
        <v>0</v>
      </c>
      <c r="AW46" s="1075">
        <f t="shared" si="12"/>
        <v>0</v>
      </c>
      <c r="AX46" s="1075">
        <f t="shared" si="13"/>
        <v>0</v>
      </c>
      <c r="AY46" s="2211">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966"/>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1075">
        <f t="shared" si="11"/>
        <v>0</v>
      </c>
      <c r="AW47" s="1075">
        <f t="shared" si="12"/>
        <v>0</v>
      </c>
      <c r="AX47" s="1075">
        <f t="shared" si="13"/>
        <v>0</v>
      </c>
      <c r="AY47" s="2211">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966"/>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1075">
        <f t="shared" si="11"/>
        <v>0</v>
      </c>
      <c r="AW48" s="1075">
        <f t="shared" si="12"/>
        <v>0</v>
      </c>
      <c r="AX48" s="1075">
        <f t="shared" si="13"/>
        <v>0</v>
      </c>
      <c r="AY48" s="2211">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966"/>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1075">
        <f t="shared" si="11"/>
        <v>0</v>
      </c>
      <c r="AW49" s="1075">
        <f t="shared" si="12"/>
        <v>0</v>
      </c>
      <c r="AX49" s="1075">
        <f t="shared" si="13"/>
        <v>0</v>
      </c>
      <c r="AY49" s="2211">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966"/>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1075">
        <f t="shared" si="11"/>
        <v>0</v>
      </c>
      <c r="AW50" s="1075">
        <f t="shared" si="12"/>
        <v>0</v>
      </c>
      <c r="AX50" s="1075">
        <f t="shared" si="13"/>
        <v>0</v>
      </c>
      <c r="AY50" s="2211">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966"/>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1075">
        <f t="shared" si="11"/>
        <v>0</v>
      </c>
      <c r="AW51" s="1075">
        <f t="shared" si="12"/>
        <v>0</v>
      </c>
      <c r="AX51" s="1075">
        <f t="shared" si="13"/>
        <v>0</v>
      </c>
      <c r="AY51" s="2211">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966"/>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1075">
        <f t="shared" si="11"/>
        <v>0</v>
      </c>
      <c r="AW52" s="1075">
        <f t="shared" si="12"/>
        <v>0</v>
      </c>
      <c r="AX52" s="1075">
        <f t="shared" si="13"/>
        <v>0</v>
      </c>
      <c r="AY52" s="2211">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966"/>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1075">
        <f t="shared" si="11"/>
        <v>0</v>
      </c>
      <c r="AW53" s="1075">
        <f t="shared" si="12"/>
        <v>0</v>
      </c>
      <c r="AX53" s="1075">
        <f t="shared" si="13"/>
        <v>0</v>
      </c>
      <c r="AY53" s="2211">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966"/>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1075">
        <f t="shared" si="11"/>
        <v>0</v>
      </c>
      <c r="AW54" s="1075">
        <f t="shared" si="12"/>
        <v>0</v>
      </c>
      <c r="AX54" s="1075">
        <f t="shared" si="13"/>
        <v>0</v>
      </c>
      <c r="AY54" s="2211">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966"/>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1075">
        <f t="shared" si="11"/>
        <v>0</v>
      </c>
      <c r="AW55" s="1075">
        <f t="shared" si="12"/>
        <v>0</v>
      </c>
      <c r="AX55" s="1075">
        <f t="shared" si="13"/>
        <v>0</v>
      </c>
      <c r="AY55" s="2211">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966"/>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1075">
        <f t="shared" si="11"/>
        <v>0</v>
      </c>
      <c r="AW56" s="1075">
        <f t="shared" si="12"/>
        <v>0</v>
      </c>
      <c r="AX56" s="1075">
        <f t="shared" si="13"/>
        <v>0</v>
      </c>
      <c r="AY56" s="2211">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966"/>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1075">
        <f t="shared" si="11"/>
        <v>0</v>
      </c>
      <c r="AW57" s="1075">
        <f t="shared" si="12"/>
        <v>0</v>
      </c>
      <c r="AX57" s="1075">
        <f t="shared" si="13"/>
        <v>0</v>
      </c>
      <c r="AY57" s="2211">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966"/>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1075">
        <f t="shared" si="11"/>
        <v>0</v>
      </c>
      <c r="AW58" s="1075">
        <f t="shared" si="12"/>
        <v>0</v>
      </c>
      <c r="AX58" s="1075">
        <f t="shared" si="13"/>
        <v>0</v>
      </c>
      <c r="AY58" s="2211">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966"/>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1075">
        <f t="shared" si="11"/>
        <v>0</v>
      </c>
      <c r="AW59" s="1075">
        <f t="shared" si="12"/>
        <v>0</v>
      </c>
      <c r="AX59" s="1075">
        <f t="shared" si="13"/>
        <v>0</v>
      </c>
      <c r="AY59" s="2211">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966"/>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1075">
        <f t="shared" si="11"/>
        <v>0</v>
      </c>
      <c r="AW60" s="1075">
        <f t="shared" si="12"/>
        <v>0</v>
      </c>
      <c r="AX60" s="1075">
        <f t="shared" si="13"/>
        <v>0</v>
      </c>
      <c r="AY60" s="2211">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966"/>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1075">
        <f t="shared" si="11"/>
        <v>0</v>
      </c>
      <c r="AW61" s="1075">
        <f t="shared" si="12"/>
        <v>0</v>
      </c>
      <c r="AX61" s="1075">
        <f t="shared" si="13"/>
        <v>0</v>
      </c>
      <c r="AY61" s="2211">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966"/>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1075">
        <f t="shared" si="11"/>
        <v>0</v>
      </c>
      <c r="AW62" s="1075">
        <f t="shared" si="12"/>
        <v>0</v>
      </c>
      <c r="AX62" s="1075">
        <f t="shared" si="13"/>
        <v>0</v>
      </c>
      <c r="AY62" s="2211">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966"/>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1075">
        <f t="shared" si="11"/>
        <v>0</v>
      </c>
      <c r="AW63" s="1075">
        <f t="shared" si="12"/>
        <v>0</v>
      </c>
      <c r="AX63" s="1075">
        <f t="shared" si="13"/>
        <v>0</v>
      </c>
      <c r="AY63" s="2211">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966"/>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1075">
        <f t="shared" si="11"/>
        <v>0</v>
      </c>
      <c r="AW64" s="1075">
        <f t="shared" si="12"/>
        <v>0</v>
      </c>
      <c r="AX64" s="1075">
        <f t="shared" si="13"/>
        <v>0</v>
      </c>
      <c r="AY64" s="2211">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966"/>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1075">
        <f t="shared" si="11"/>
        <v>0</v>
      </c>
      <c r="AW65" s="1075">
        <f t="shared" si="12"/>
        <v>0</v>
      </c>
      <c r="AX65" s="1075">
        <f t="shared" si="13"/>
        <v>0</v>
      </c>
      <c r="AY65" s="2211">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966"/>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1075">
        <f t="shared" si="11"/>
        <v>0</v>
      </c>
      <c r="AW66" s="1075">
        <f t="shared" si="12"/>
        <v>0</v>
      </c>
      <c r="AX66" s="1075">
        <f t="shared" si="13"/>
        <v>0</v>
      </c>
      <c r="AY66" s="2211">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966"/>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1075">
        <f t="shared" si="11"/>
        <v>0</v>
      </c>
      <c r="AW67" s="1075">
        <f t="shared" si="12"/>
        <v>0</v>
      </c>
      <c r="AX67" s="1075">
        <f t="shared" si="13"/>
        <v>0</v>
      </c>
      <c r="AY67" s="2211">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966"/>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1075">
        <f t="shared" si="11"/>
        <v>0</v>
      </c>
      <c r="AW68" s="1075">
        <f t="shared" si="12"/>
        <v>0</v>
      </c>
      <c r="AX68" s="1075">
        <f t="shared" si="13"/>
        <v>0</v>
      </c>
      <c r="AY68" s="2211">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966"/>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1075">
        <f t="shared" si="11"/>
        <v>0</v>
      </c>
      <c r="AW69" s="1075">
        <f t="shared" si="12"/>
        <v>0</v>
      </c>
      <c r="AX69" s="1075">
        <f t="shared" si="13"/>
        <v>0</v>
      </c>
      <c r="AY69" s="2211">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966"/>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1075">
        <f t="shared" si="11"/>
        <v>0</v>
      </c>
      <c r="AW70" s="1075">
        <f t="shared" si="12"/>
        <v>0</v>
      </c>
      <c r="AX70" s="1075">
        <f t="shared" si="13"/>
        <v>0</v>
      </c>
      <c r="AY70" s="2211">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09"/>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1075">
        <f t="shared" si="11"/>
        <v>0</v>
      </c>
      <c r="AW71" s="1075">
        <f t="shared" si="12"/>
        <v>0</v>
      </c>
      <c r="AX71" s="1075">
        <f t="shared" si="13"/>
        <v>0</v>
      </c>
      <c r="AY71" s="2211">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09"/>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1075">
        <f t="shared" si="11"/>
        <v>0</v>
      </c>
      <c r="AW72" s="1075">
        <f t="shared" si="12"/>
        <v>0</v>
      </c>
      <c r="AX72" s="1075">
        <f t="shared" si="13"/>
        <v>0</v>
      </c>
      <c r="AY72" s="2211">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09"/>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1075">
        <f t="shared" si="11"/>
        <v>0</v>
      </c>
      <c r="AW73" s="1075">
        <f t="shared" si="12"/>
        <v>0</v>
      </c>
      <c r="AX73" s="1075">
        <f t="shared" si="13"/>
        <v>0</v>
      </c>
      <c r="AY73" s="2211">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09"/>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1075">
        <f t="shared" si="11"/>
        <v>0</v>
      </c>
      <c r="AW74" s="1075">
        <f t="shared" si="12"/>
        <v>0</v>
      </c>
      <c r="AX74" s="1075">
        <f t="shared" si="13"/>
        <v>0</v>
      </c>
      <c r="AY74" s="2211">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09"/>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1075">
        <f t="shared" si="11"/>
        <v>0</v>
      </c>
      <c r="AW75" s="1075">
        <f t="shared" si="12"/>
        <v>0</v>
      </c>
      <c r="AX75" s="1075">
        <f t="shared" si="13"/>
        <v>0</v>
      </c>
      <c r="AY75" s="2211">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09"/>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1075">
        <f t="shared" si="11"/>
        <v>0</v>
      </c>
      <c r="AW76" s="1075">
        <f t="shared" si="12"/>
        <v>0</v>
      </c>
      <c r="AX76" s="1075">
        <f t="shared" si="13"/>
        <v>0</v>
      </c>
      <c r="AY76" s="2211">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09"/>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1075">
        <f t="shared" si="11"/>
        <v>0</v>
      </c>
      <c r="AW77" s="1075">
        <f t="shared" si="12"/>
        <v>0</v>
      </c>
      <c r="AX77" s="1075">
        <f t="shared" si="13"/>
        <v>0</v>
      </c>
      <c r="AY77" s="2211">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09"/>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1075">
        <f t="shared" si="11"/>
        <v>0</v>
      </c>
      <c r="AW78" s="1075">
        <f t="shared" si="12"/>
        <v>0</v>
      </c>
      <c r="AX78" s="1075">
        <f t="shared" si="13"/>
        <v>0</v>
      </c>
      <c r="AY78" s="2211">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09"/>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1075">
        <f t="shared" si="11"/>
        <v>0</v>
      </c>
      <c r="AW79" s="1075">
        <f t="shared" si="12"/>
        <v>0</v>
      </c>
      <c r="AX79" s="1075">
        <f t="shared" si="13"/>
        <v>0</v>
      </c>
      <c r="AY79" s="2211">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09"/>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1075">
        <f t="shared" si="11"/>
        <v>0</v>
      </c>
      <c r="AW80" s="1075">
        <f t="shared" si="12"/>
        <v>0</v>
      </c>
      <c r="AX80" s="1075">
        <f t="shared" si="13"/>
        <v>0</v>
      </c>
      <c r="AY80" s="2211">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09"/>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1075">
        <f t="shared" si="11"/>
        <v>0</v>
      </c>
      <c r="AW81" s="1075">
        <f t="shared" si="12"/>
        <v>0</v>
      </c>
      <c r="AX81" s="1075">
        <f t="shared" si="13"/>
        <v>0</v>
      </c>
      <c r="AY81" s="2211">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09"/>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1075">
        <f t="shared" si="11"/>
        <v>0</v>
      </c>
      <c r="AW82" s="1075">
        <f t="shared" si="12"/>
        <v>0</v>
      </c>
      <c r="AX82" s="1075">
        <f t="shared" si="13"/>
        <v>0</v>
      </c>
      <c r="AY82" s="2211">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09"/>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1075">
        <f t="shared" si="11"/>
        <v>0</v>
      </c>
      <c r="AW83" s="1075">
        <f t="shared" si="12"/>
        <v>0</v>
      </c>
      <c r="AX83" s="1075">
        <f t="shared" si="13"/>
        <v>0</v>
      </c>
      <c r="AY83" s="2211">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09"/>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1075">
        <f t="shared" si="11"/>
        <v>0</v>
      </c>
      <c r="AW84" s="1075">
        <f t="shared" si="12"/>
        <v>0</v>
      </c>
      <c r="AX84" s="1075">
        <f t="shared" si="13"/>
        <v>0</v>
      </c>
      <c r="AY84" s="2211">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09"/>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1075">
        <f t="shared" si="11"/>
        <v>0</v>
      </c>
      <c r="AW85" s="1075">
        <f t="shared" si="12"/>
        <v>0</v>
      </c>
      <c r="AX85" s="1075">
        <f t="shared" si="13"/>
        <v>0</v>
      </c>
      <c r="AY85" s="2211">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09"/>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1075">
        <f t="shared" si="11"/>
        <v>0</v>
      </c>
      <c r="AW86" s="1075">
        <f t="shared" si="12"/>
        <v>0</v>
      </c>
      <c r="AX86" s="1075">
        <f t="shared" si="13"/>
        <v>0</v>
      </c>
      <c r="AY86" s="2211">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09"/>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1075">
        <f t="shared" si="11"/>
        <v>0</v>
      </c>
      <c r="AW87" s="1075">
        <f t="shared" si="12"/>
        <v>0</v>
      </c>
      <c r="AX87" s="1075">
        <f t="shared" si="13"/>
        <v>0</v>
      </c>
      <c r="AY87" s="2211">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09"/>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1075">
        <f t="shared" si="11"/>
        <v>0</v>
      </c>
      <c r="AW88" s="1075">
        <f t="shared" si="12"/>
        <v>0</v>
      </c>
      <c r="AX88" s="1075">
        <f t="shared" si="13"/>
        <v>0</v>
      </c>
      <c r="AY88" s="2211">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09"/>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1075">
        <f t="shared" si="11"/>
        <v>0</v>
      </c>
      <c r="AW89" s="1075">
        <f t="shared" si="12"/>
        <v>0</v>
      </c>
      <c r="AX89" s="1075">
        <f t="shared" si="13"/>
        <v>0</v>
      </c>
      <c r="AY89" s="2211">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09"/>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1075">
        <f t="shared" si="11"/>
        <v>0</v>
      </c>
      <c r="AW90" s="1075">
        <f t="shared" si="12"/>
        <v>0</v>
      </c>
      <c r="AX90" s="1075">
        <f t="shared" si="13"/>
        <v>0</v>
      </c>
      <c r="AY90" s="2211">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09"/>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1075">
        <f t="shared" si="11"/>
        <v>0</v>
      </c>
      <c r="AW91" s="1075">
        <f t="shared" si="12"/>
        <v>0</v>
      </c>
      <c r="AX91" s="1075">
        <f t="shared" si="13"/>
        <v>0</v>
      </c>
      <c r="AY91" s="2211">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09"/>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1075">
        <f t="shared" si="11"/>
        <v>0</v>
      </c>
      <c r="AW92" s="1075">
        <f t="shared" si="12"/>
        <v>0</v>
      </c>
      <c r="AX92" s="1075">
        <f t="shared" si="13"/>
        <v>0</v>
      </c>
      <c r="AY92" s="2211">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09"/>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1075">
        <f t="shared" si="11"/>
        <v>0</v>
      </c>
      <c r="AW93" s="1075">
        <f t="shared" si="12"/>
        <v>0</v>
      </c>
      <c r="AX93" s="1075">
        <f t="shared" si="13"/>
        <v>0</v>
      </c>
      <c r="AY93" s="2211">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09"/>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1075">
        <f t="shared" si="11"/>
        <v>0</v>
      </c>
      <c r="AW94" s="1075">
        <f t="shared" si="12"/>
        <v>0</v>
      </c>
      <c r="AX94" s="1075">
        <f t="shared" si="13"/>
        <v>0</v>
      </c>
      <c r="AY94" s="2211">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09"/>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1075">
        <f t="shared" si="11"/>
        <v>0</v>
      </c>
      <c r="AW95" s="1075">
        <f t="shared" si="12"/>
        <v>0</v>
      </c>
      <c r="AX95" s="1075">
        <f t="shared" si="13"/>
        <v>0</v>
      </c>
      <c r="AY95" s="2211">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09"/>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1075">
        <f t="shared" si="11"/>
        <v>0</v>
      </c>
      <c r="AW96" s="1075">
        <f t="shared" si="12"/>
        <v>0</v>
      </c>
      <c r="AX96" s="1075">
        <f t="shared" si="13"/>
        <v>0</v>
      </c>
      <c r="AY96" s="2211">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09"/>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1075">
        <f t="shared" si="11"/>
        <v>0</v>
      </c>
      <c r="AW97" s="1075">
        <f t="shared" si="12"/>
        <v>0</v>
      </c>
      <c r="AX97" s="1075">
        <f t="shared" si="13"/>
        <v>0</v>
      </c>
      <c r="AY97" s="2211">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09"/>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1075">
        <f t="shared" si="11"/>
        <v>0</v>
      </c>
      <c r="AW98" s="1075">
        <f t="shared" si="12"/>
        <v>0</v>
      </c>
      <c r="AX98" s="1075">
        <f t="shared" si="13"/>
        <v>0</v>
      </c>
      <c r="AY98" s="2211">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09"/>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1075">
        <f t="shared" si="11"/>
        <v>0</v>
      </c>
      <c r="AW99" s="1075">
        <f t="shared" si="12"/>
        <v>0</v>
      </c>
      <c r="AX99" s="1075">
        <f t="shared" si="13"/>
        <v>0</v>
      </c>
      <c r="AY99" s="2211">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09"/>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1075">
        <f t="shared" si="11"/>
        <v>0</v>
      </c>
      <c r="AW100" s="1075">
        <f t="shared" si="12"/>
        <v>0</v>
      </c>
      <c r="AX100" s="1075">
        <f t="shared" si="13"/>
        <v>0</v>
      </c>
      <c r="AY100" s="2211">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09"/>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1075">
        <f t="shared" si="11"/>
        <v>0</v>
      </c>
      <c r="AW101" s="1075">
        <f t="shared" si="12"/>
        <v>0</v>
      </c>
      <c r="AX101" s="1075">
        <f t="shared" si="13"/>
        <v>0</v>
      </c>
      <c r="AY101" s="2211">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09"/>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1075">
        <f t="shared" si="11"/>
        <v>0</v>
      </c>
      <c r="AW102" s="1075">
        <f t="shared" si="12"/>
        <v>0</v>
      </c>
      <c r="AX102" s="1075">
        <f t="shared" si="13"/>
        <v>0</v>
      </c>
      <c r="AY102" s="2211">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09"/>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1075">
        <f t="shared" si="11"/>
        <v>0</v>
      </c>
      <c r="AW103" s="1075">
        <f t="shared" si="12"/>
        <v>0</v>
      </c>
      <c r="AX103" s="1075">
        <f t="shared" si="13"/>
        <v>0</v>
      </c>
      <c r="AY103" s="2211">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09"/>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1075">
        <f t="shared" si="11"/>
        <v>0</v>
      </c>
      <c r="AW104" s="1075">
        <f t="shared" si="12"/>
        <v>0</v>
      </c>
      <c r="AX104" s="1075">
        <f t="shared" si="13"/>
        <v>0</v>
      </c>
      <c r="AY104" s="2211">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09"/>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1075">
        <f t="shared" si="11"/>
        <v>0</v>
      </c>
      <c r="AW105" s="1075">
        <f t="shared" si="12"/>
        <v>0</v>
      </c>
      <c r="AX105" s="1075">
        <f t="shared" si="13"/>
        <v>0</v>
      </c>
      <c r="AY105" s="2211">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09"/>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1075">
        <f t="shared" si="11"/>
        <v>0</v>
      </c>
      <c r="AW106" s="1075">
        <f t="shared" si="12"/>
        <v>0</v>
      </c>
      <c r="AX106" s="1075">
        <f t="shared" si="13"/>
        <v>0</v>
      </c>
      <c r="AY106" s="2211">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09"/>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1075">
        <f t="shared" si="11"/>
        <v>0</v>
      </c>
      <c r="AW107" s="1075">
        <f t="shared" si="12"/>
        <v>0</v>
      </c>
      <c r="AX107" s="1075">
        <f t="shared" si="13"/>
        <v>0</v>
      </c>
      <c r="AY107" s="2211">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09"/>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1075">
        <f t="shared" si="11"/>
        <v>0</v>
      </c>
      <c r="AW108" s="1075">
        <f t="shared" si="12"/>
        <v>0</v>
      </c>
      <c r="AX108" s="1075">
        <f t="shared" si="13"/>
        <v>0</v>
      </c>
      <c r="AY108" s="2211">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09"/>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1075">
        <f t="shared" si="11"/>
        <v>0</v>
      </c>
      <c r="AW109" s="1075">
        <f t="shared" si="12"/>
        <v>0</v>
      </c>
      <c r="AX109" s="1075">
        <f t="shared" si="13"/>
        <v>0</v>
      </c>
      <c r="AY109" s="2211">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09"/>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1075">
        <f t="shared" si="11"/>
        <v>0</v>
      </c>
      <c r="AW110" s="1075">
        <f t="shared" si="12"/>
        <v>0</v>
      </c>
      <c r="AX110" s="1075">
        <f t="shared" si="13"/>
        <v>0</v>
      </c>
      <c r="AY110" s="2211">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09"/>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1075">
        <f t="shared" si="11"/>
        <v>0</v>
      </c>
      <c r="AW111" s="1075">
        <f t="shared" si="12"/>
        <v>0</v>
      </c>
      <c r="AX111" s="1075">
        <f t="shared" si="13"/>
        <v>0</v>
      </c>
      <c r="AY111" s="2211">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09"/>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1075">
        <f t="shared" si="11"/>
        <v>0</v>
      </c>
      <c r="AW112" s="1075">
        <f t="shared" si="12"/>
        <v>0</v>
      </c>
      <c r="AX112" s="1075">
        <f t="shared" si="13"/>
        <v>0</v>
      </c>
      <c r="AY112" s="2211">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09"/>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1075">
        <f t="shared" ref="AV113:AV144" si="62">A113</f>
        <v>0</v>
      </c>
      <c r="AW113" s="1075">
        <f t="shared" ref="AW113:AW144" si="63">B113</f>
        <v>0</v>
      </c>
      <c r="AX113" s="1075">
        <f t="shared" ref="AX113:AX144" si="64">C113</f>
        <v>0</v>
      </c>
      <c r="AY113" s="2211">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09"/>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1075">
        <f t="shared" si="62"/>
        <v>0</v>
      </c>
      <c r="AW114" s="1075">
        <f t="shared" si="63"/>
        <v>0</v>
      </c>
      <c r="AX114" s="1075">
        <f t="shared" si="64"/>
        <v>0</v>
      </c>
      <c r="AY114" s="2211">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09"/>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1075">
        <f t="shared" si="62"/>
        <v>0</v>
      </c>
      <c r="AW115" s="1075">
        <f t="shared" si="63"/>
        <v>0</v>
      </c>
      <c r="AX115" s="1075">
        <f t="shared" si="64"/>
        <v>0</v>
      </c>
      <c r="AY115" s="2211">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09"/>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1075">
        <f t="shared" si="62"/>
        <v>0</v>
      </c>
      <c r="AW116" s="1075">
        <f t="shared" si="63"/>
        <v>0</v>
      </c>
      <c r="AX116" s="1075">
        <f t="shared" si="64"/>
        <v>0</v>
      </c>
      <c r="AY116" s="2211">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09"/>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1075">
        <f t="shared" si="62"/>
        <v>0</v>
      </c>
      <c r="AW117" s="1075">
        <f t="shared" si="63"/>
        <v>0</v>
      </c>
      <c r="AX117" s="1075">
        <f t="shared" si="64"/>
        <v>0</v>
      </c>
      <c r="AY117" s="2211">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09"/>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1075">
        <f t="shared" si="62"/>
        <v>0</v>
      </c>
      <c r="AW118" s="1075">
        <f t="shared" si="63"/>
        <v>0</v>
      </c>
      <c r="AX118" s="1075">
        <f t="shared" si="64"/>
        <v>0</v>
      </c>
      <c r="AY118" s="2211">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09"/>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1075">
        <f t="shared" si="62"/>
        <v>0</v>
      </c>
      <c r="AW119" s="1075">
        <f t="shared" si="63"/>
        <v>0</v>
      </c>
      <c r="AX119" s="1075">
        <f t="shared" si="64"/>
        <v>0</v>
      </c>
      <c r="AY119" s="2211">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09"/>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1075">
        <f t="shared" si="62"/>
        <v>0</v>
      </c>
      <c r="AW120" s="1075">
        <f t="shared" si="63"/>
        <v>0</v>
      </c>
      <c r="AX120" s="1075">
        <f t="shared" si="64"/>
        <v>0</v>
      </c>
      <c r="AY120" s="2211">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09"/>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1075">
        <f t="shared" si="62"/>
        <v>0</v>
      </c>
      <c r="AW121" s="1075">
        <f t="shared" si="63"/>
        <v>0</v>
      </c>
      <c r="AX121" s="1075">
        <f t="shared" si="64"/>
        <v>0</v>
      </c>
      <c r="AY121" s="2211">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09"/>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1075">
        <f t="shared" si="62"/>
        <v>0</v>
      </c>
      <c r="AW122" s="1075">
        <f t="shared" si="63"/>
        <v>0</v>
      </c>
      <c r="AX122" s="1075">
        <f t="shared" si="64"/>
        <v>0</v>
      </c>
      <c r="AY122" s="2211">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09"/>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1075">
        <f t="shared" si="62"/>
        <v>0</v>
      </c>
      <c r="AW123" s="1075">
        <f t="shared" si="63"/>
        <v>0</v>
      </c>
      <c r="AX123" s="1075">
        <f t="shared" si="64"/>
        <v>0</v>
      </c>
      <c r="AY123" s="2211">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09"/>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1075">
        <f t="shared" si="62"/>
        <v>0</v>
      </c>
      <c r="AW124" s="1075">
        <f t="shared" si="63"/>
        <v>0</v>
      </c>
      <c r="AX124" s="1075">
        <f t="shared" si="64"/>
        <v>0</v>
      </c>
      <c r="AY124" s="2211">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09"/>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1075">
        <f t="shared" si="62"/>
        <v>0</v>
      </c>
      <c r="AW125" s="1075">
        <f t="shared" si="63"/>
        <v>0</v>
      </c>
      <c r="AX125" s="1075">
        <f t="shared" si="64"/>
        <v>0</v>
      </c>
      <c r="AY125" s="2211">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09"/>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1075">
        <f t="shared" si="62"/>
        <v>0</v>
      </c>
      <c r="AW126" s="1075">
        <f t="shared" si="63"/>
        <v>0</v>
      </c>
      <c r="AX126" s="1075">
        <f t="shared" si="64"/>
        <v>0</v>
      </c>
      <c r="AY126" s="2211">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09"/>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1075">
        <f t="shared" si="62"/>
        <v>0</v>
      </c>
      <c r="AW127" s="1075">
        <f t="shared" si="63"/>
        <v>0</v>
      </c>
      <c r="AX127" s="1075">
        <f t="shared" si="64"/>
        <v>0</v>
      </c>
      <c r="AY127" s="2211">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09"/>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1075">
        <f t="shared" si="62"/>
        <v>0</v>
      </c>
      <c r="AW128" s="1075">
        <f t="shared" si="63"/>
        <v>0</v>
      </c>
      <c r="AX128" s="1075">
        <f t="shared" si="64"/>
        <v>0</v>
      </c>
      <c r="AY128" s="2211">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09"/>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1075">
        <f t="shared" si="62"/>
        <v>0</v>
      </c>
      <c r="AW129" s="1075">
        <f t="shared" si="63"/>
        <v>0</v>
      </c>
      <c r="AX129" s="1075">
        <f t="shared" si="64"/>
        <v>0</v>
      </c>
      <c r="AY129" s="2211">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09"/>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1075">
        <f t="shared" si="62"/>
        <v>0</v>
      </c>
      <c r="AW130" s="1075">
        <f t="shared" si="63"/>
        <v>0</v>
      </c>
      <c r="AX130" s="1075">
        <f t="shared" si="64"/>
        <v>0</v>
      </c>
      <c r="AY130" s="2211">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09"/>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1075">
        <f t="shared" si="62"/>
        <v>0</v>
      </c>
      <c r="AW131" s="1075">
        <f t="shared" si="63"/>
        <v>0</v>
      </c>
      <c r="AX131" s="1075">
        <f t="shared" si="64"/>
        <v>0</v>
      </c>
      <c r="AY131" s="2211">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09"/>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1075">
        <f t="shared" si="62"/>
        <v>0</v>
      </c>
      <c r="AW132" s="1075">
        <f t="shared" si="63"/>
        <v>0</v>
      </c>
      <c r="AX132" s="1075">
        <f t="shared" si="64"/>
        <v>0</v>
      </c>
      <c r="AY132" s="2211">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09"/>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1075">
        <f t="shared" si="62"/>
        <v>0</v>
      </c>
      <c r="AW133" s="1075">
        <f t="shared" si="63"/>
        <v>0</v>
      </c>
      <c r="AX133" s="1075">
        <f t="shared" si="64"/>
        <v>0</v>
      </c>
      <c r="AY133" s="2211">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09"/>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1075">
        <f t="shared" si="62"/>
        <v>0</v>
      </c>
      <c r="AW134" s="1075">
        <f t="shared" si="63"/>
        <v>0</v>
      </c>
      <c r="AX134" s="1075">
        <f t="shared" si="64"/>
        <v>0</v>
      </c>
      <c r="AY134" s="2211">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09"/>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1075">
        <f t="shared" si="62"/>
        <v>0</v>
      </c>
      <c r="AW135" s="1075">
        <f t="shared" si="63"/>
        <v>0</v>
      </c>
      <c r="AX135" s="1075">
        <f t="shared" si="64"/>
        <v>0</v>
      </c>
      <c r="AY135" s="2211">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09"/>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1075">
        <f t="shared" si="62"/>
        <v>0</v>
      </c>
      <c r="AW136" s="1075">
        <f t="shared" si="63"/>
        <v>0</v>
      </c>
      <c r="AX136" s="1075">
        <f t="shared" si="64"/>
        <v>0</v>
      </c>
      <c r="AY136" s="2211">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09"/>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1075">
        <f t="shared" si="62"/>
        <v>0</v>
      </c>
      <c r="AW137" s="1075">
        <f t="shared" si="63"/>
        <v>0</v>
      </c>
      <c r="AX137" s="1075">
        <f t="shared" si="64"/>
        <v>0</v>
      </c>
      <c r="AY137" s="2211">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09"/>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1075">
        <f t="shared" si="62"/>
        <v>0</v>
      </c>
      <c r="AW138" s="1075">
        <f t="shared" si="63"/>
        <v>0</v>
      </c>
      <c r="AX138" s="1075">
        <f t="shared" si="64"/>
        <v>0</v>
      </c>
      <c r="AY138" s="2211">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09"/>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1075">
        <f t="shared" si="62"/>
        <v>0</v>
      </c>
      <c r="AW139" s="1075">
        <f t="shared" si="63"/>
        <v>0</v>
      </c>
      <c r="AX139" s="1075">
        <f t="shared" si="64"/>
        <v>0</v>
      </c>
      <c r="AY139" s="2211">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09"/>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1075">
        <f t="shared" si="62"/>
        <v>0</v>
      </c>
      <c r="AW140" s="1075">
        <f t="shared" si="63"/>
        <v>0</v>
      </c>
      <c r="AX140" s="1075">
        <f t="shared" si="64"/>
        <v>0</v>
      </c>
      <c r="AY140" s="2211">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09"/>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1075">
        <f t="shared" si="62"/>
        <v>0</v>
      </c>
      <c r="AW141" s="1075">
        <f t="shared" si="63"/>
        <v>0</v>
      </c>
      <c r="AX141" s="1075">
        <f t="shared" si="64"/>
        <v>0</v>
      </c>
      <c r="AY141" s="2211">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09"/>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1075">
        <f t="shared" si="62"/>
        <v>0</v>
      </c>
      <c r="AW142" s="1075">
        <f t="shared" si="63"/>
        <v>0</v>
      </c>
      <c r="AX142" s="1075">
        <f t="shared" si="64"/>
        <v>0</v>
      </c>
      <c r="AY142" s="2211">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09"/>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1075">
        <f t="shared" si="62"/>
        <v>0</v>
      </c>
      <c r="AW143" s="1075">
        <f t="shared" si="63"/>
        <v>0</v>
      </c>
      <c r="AX143" s="1075">
        <f t="shared" si="64"/>
        <v>0</v>
      </c>
      <c r="AY143" s="2211">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09"/>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1075">
        <f t="shared" si="62"/>
        <v>0</v>
      </c>
      <c r="AW144" s="1075">
        <f t="shared" si="63"/>
        <v>0</v>
      </c>
      <c r="AX144" s="1075">
        <f t="shared" si="64"/>
        <v>0</v>
      </c>
      <c r="AY144" s="2211">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09"/>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1075">
        <f t="shared" ref="AV145:AV176" si="91">A145</f>
        <v>0</v>
      </c>
      <c r="AW145" s="1075">
        <f t="shared" ref="AW145:AW176" si="92">B145</f>
        <v>0</v>
      </c>
      <c r="AX145" s="1075">
        <f t="shared" ref="AX145:AX176" si="93">C145</f>
        <v>0</v>
      </c>
      <c r="AY145" s="2211">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09"/>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1075">
        <f t="shared" si="91"/>
        <v>0</v>
      </c>
      <c r="AW146" s="1075">
        <f t="shared" si="92"/>
        <v>0</v>
      </c>
      <c r="AX146" s="1075">
        <f t="shared" si="93"/>
        <v>0</v>
      </c>
      <c r="AY146" s="2211">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09"/>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1075">
        <f t="shared" si="91"/>
        <v>0</v>
      </c>
      <c r="AW147" s="1075">
        <f t="shared" si="92"/>
        <v>0</v>
      </c>
      <c r="AX147" s="1075">
        <f t="shared" si="93"/>
        <v>0</v>
      </c>
      <c r="AY147" s="2211">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09"/>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1075">
        <f t="shared" si="91"/>
        <v>0</v>
      </c>
      <c r="AW148" s="1075">
        <f t="shared" si="92"/>
        <v>0</v>
      </c>
      <c r="AX148" s="1075">
        <f t="shared" si="93"/>
        <v>0</v>
      </c>
      <c r="AY148" s="2211">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09"/>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1075">
        <f t="shared" si="91"/>
        <v>0</v>
      </c>
      <c r="AW149" s="1075">
        <f t="shared" si="92"/>
        <v>0</v>
      </c>
      <c r="AX149" s="1075">
        <f t="shared" si="93"/>
        <v>0</v>
      </c>
      <c r="AY149" s="2211">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09"/>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1075">
        <f t="shared" si="91"/>
        <v>0</v>
      </c>
      <c r="AW150" s="1075">
        <f t="shared" si="92"/>
        <v>0</v>
      </c>
      <c r="AX150" s="1075">
        <f t="shared" si="93"/>
        <v>0</v>
      </c>
      <c r="AY150" s="2211">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09"/>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1075">
        <f t="shared" si="91"/>
        <v>0</v>
      </c>
      <c r="AW151" s="1075">
        <f t="shared" si="92"/>
        <v>0</v>
      </c>
      <c r="AX151" s="1075">
        <f t="shared" si="93"/>
        <v>0</v>
      </c>
      <c r="AY151" s="2211">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09"/>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1075">
        <f t="shared" si="91"/>
        <v>0</v>
      </c>
      <c r="AW152" s="1075">
        <f t="shared" si="92"/>
        <v>0</v>
      </c>
      <c r="AX152" s="1075">
        <f t="shared" si="93"/>
        <v>0</v>
      </c>
      <c r="AY152" s="2211">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09"/>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1075">
        <f t="shared" si="91"/>
        <v>0</v>
      </c>
      <c r="AW153" s="1075">
        <f t="shared" si="92"/>
        <v>0</v>
      </c>
      <c r="AX153" s="1075">
        <f t="shared" si="93"/>
        <v>0</v>
      </c>
      <c r="AY153" s="2211">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09"/>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1075">
        <f t="shared" si="91"/>
        <v>0</v>
      </c>
      <c r="AW154" s="1075">
        <f t="shared" si="92"/>
        <v>0</v>
      </c>
      <c r="AX154" s="1075">
        <f t="shared" si="93"/>
        <v>0</v>
      </c>
      <c r="AY154" s="2211">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09"/>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1075">
        <f t="shared" si="91"/>
        <v>0</v>
      </c>
      <c r="AW155" s="1075">
        <f t="shared" si="92"/>
        <v>0</v>
      </c>
      <c r="AX155" s="1075">
        <f t="shared" si="93"/>
        <v>0</v>
      </c>
      <c r="AY155" s="2211">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09"/>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1075">
        <f t="shared" si="91"/>
        <v>0</v>
      </c>
      <c r="AW156" s="1075">
        <f t="shared" si="92"/>
        <v>0</v>
      </c>
      <c r="AX156" s="1075">
        <f t="shared" si="93"/>
        <v>0</v>
      </c>
      <c r="AY156" s="2211">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09"/>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1075">
        <f t="shared" si="91"/>
        <v>0</v>
      </c>
      <c r="AW157" s="1075">
        <f t="shared" si="92"/>
        <v>0</v>
      </c>
      <c r="AX157" s="1075">
        <f t="shared" si="93"/>
        <v>0</v>
      </c>
      <c r="AY157" s="2211">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09"/>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1075">
        <f t="shared" si="91"/>
        <v>0</v>
      </c>
      <c r="AW158" s="1075">
        <f t="shared" si="92"/>
        <v>0</v>
      </c>
      <c r="AX158" s="1075">
        <f t="shared" si="93"/>
        <v>0</v>
      </c>
      <c r="AY158" s="2211">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09"/>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1075">
        <f t="shared" si="91"/>
        <v>0</v>
      </c>
      <c r="AW159" s="1075">
        <f t="shared" si="92"/>
        <v>0</v>
      </c>
      <c r="AX159" s="1075">
        <f t="shared" si="93"/>
        <v>0</v>
      </c>
      <c r="AY159" s="2211">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09"/>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1075">
        <f t="shared" si="91"/>
        <v>0</v>
      </c>
      <c r="AW160" s="1075">
        <f t="shared" si="92"/>
        <v>0</v>
      </c>
      <c r="AX160" s="1075">
        <f t="shared" si="93"/>
        <v>0</v>
      </c>
      <c r="AY160" s="2211">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09"/>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1075">
        <f t="shared" si="91"/>
        <v>0</v>
      </c>
      <c r="AW161" s="1075">
        <f t="shared" si="92"/>
        <v>0</v>
      </c>
      <c r="AX161" s="1075">
        <f t="shared" si="93"/>
        <v>0</v>
      </c>
      <c r="AY161" s="2211">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09"/>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1075">
        <f t="shared" si="91"/>
        <v>0</v>
      </c>
      <c r="AW162" s="1075">
        <f t="shared" si="92"/>
        <v>0</v>
      </c>
      <c r="AX162" s="1075">
        <f t="shared" si="93"/>
        <v>0</v>
      </c>
      <c r="AY162" s="2211">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09"/>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1075">
        <f t="shared" si="91"/>
        <v>0</v>
      </c>
      <c r="AW163" s="1075">
        <f t="shared" si="92"/>
        <v>0</v>
      </c>
      <c r="AX163" s="1075">
        <f t="shared" si="93"/>
        <v>0</v>
      </c>
      <c r="AY163" s="2211">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09"/>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1075">
        <f t="shared" si="91"/>
        <v>0</v>
      </c>
      <c r="AW164" s="1075">
        <f t="shared" si="92"/>
        <v>0</v>
      </c>
      <c r="AX164" s="1075">
        <f t="shared" si="93"/>
        <v>0</v>
      </c>
      <c r="AY164" s="2211">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09"/>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1075">
        <f t="shared" si="91"/>
        <v>0</v>
      </c>
      <c r="AW165" s="1075">
        <f t="shared" si="92"/>
        <v>0</v>
      </c>
      <c r="AX165" s="1075">
        <f t="shared" si="93"/>
        <v>0</v>
      </c>
      <c r="AY165" s="2211">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09"/>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1075">
        <f t="shared" si="91"/>
        <v>0</v>
      </c>
      <c r="AW166" s="1075">
        <f t="shared" si="92"/>
        <v>0</v>
      </c>
      <c r="AX166" s="1075">
        <f t="shared" si="93"/>
        <v>0</v>
      </c>
      <c r="AY166" s="2211">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09"/>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1075">
        <f t="shared" si="91"/>
        <v>0</v>
      </c>
      <c r="AW167" s="1075">
        <f t="shared" si="92"/>
        <v>0</v>
      </c>
      <c r="AX167" s="1075">
        <f t="shared" si="93"/>
        <v>0</v>
      </c>
      <c r="AY167" s="2211">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09"/>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1075">
        <f t="shared" si="91"/>
        <v>0</v>
      </c>
      <c r="AW168" s="1075">
        <f t="shared" si="92"/>
        <v>0</v>
      </c>
      <c r="AX168" s="1075">
        <f t="shared" si="93"/>
        <v>0</v>
      </c>
      <c r="AY168" s="2211">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09"/>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1075">
        <f t="shared" si="91"/>
        <v>0</v>
      </c>
      <c r="AW169" s="1075">
        <f t="shared" si="92"/>
        <v>0</v>
      </c>
      <c r="AX169" s="1075">
        <f t="shared" si="93"/>
        <v>0</v>
      </c>
      <c r="AY169" s="2211">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09"/>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1075">
        <f t="shared" si="91"/>
        <v>0</v>
      </c>
      <c r="AW170" s="1075">
        <f t="shared" si="92"/>
        <v>0</v>
      </c>
      <c r="AX170" s="1075">
        <f t="shared" si="93"/>
        <v>0</v>
      </c>
      <c r="AY170" s="2211">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09"/>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1075">
        <f t="shared" si="91"/>
        <v>0</v>
      </c>
      <c r="AW171" s="1075">
        <f t="shared" si="92"/>
        <v>0</v>
      </c>
      <c r="AX171" s="1075">
        <f t="shared" si="93"/>
        <v>0</v>
      </c>
      <c r="AY171" s="2211">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09"/>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1075">
        <f t="shared" si="91"/>
        <v>0</v>
      </c>
      <c r="AW172" s="1075">
        <f t="shared" si="92"/>
        <v>0</v>
      </c>
      <c r="AX172" s="1075">
        <f t="shared" si="93"/>
        <v>0</v>
      </c>
      <c r="AY172" s="2211">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09"/>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1075">
        <f t="shared" si="91"/>
        <v>0</v>
      </c>
      <c r="AW173" s="1075">
        <f t="shared" si="92"/>
        <v>0</v>
      </c>
      <c r="AX173" s="1075">
        <f t="shared" si="93"/>
        <v>0</v>
      </c>
      <c r="AY173" s="2211">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09"/>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1075">
        <f t="shared" si="91"/>
        <v>0</v>
      </c>
      <c r="AW174" s="1075">
        <f t="shared" si="92"/>
        <v>0</v>
      </c>
      <c r="AX174" s="1075">
        <f t="shared" si="93"/>
        <v>0</v>
      </c>
      <c r="AY174" s="2211">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09"/>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1075">
        <f t="shared" si="91"/>
        <v>0</v>
      </c>
      <c r="AW175" s="1075">
        <f t="shared" si="92"/>
        <v>0</v>
      </c>
      <c r="AX175" s="1075">
        <f t="shared" si="93"/>
        <v>0</v>
      </c>
      <c r="AY175" s="2211">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09"/>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1075">
        <f t="shared" si="91"/>
        <v>0</v>
      </c>
      <c r="AW176" s="1075">
        <f t="shared" si="92"/>
        <v>0</v>
      </c>
      <c r="AX176" s="1075">
        <f t="shared" si="93"/>
        <v>0</v>
      </c>
      <c r="AY176" s="2211">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09"/>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1075">
        <f t="shared" ref="AV177:AV207" si="120">A177</f>
        <v>0</v>
      </c>
      <c r="AW177" s="1075">
        <f t="shared" ref="AW177:AW207" si="121">B177</f>
        <v>0</v>
      </c>
      <c r="AX177" s="1075">
        <f t="shared" ref="AX177:AX207" si="122">C177</f>
        <v>0</v>
      </c>
      <c r="AY177" s="2211">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09"/>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1075">
        <f t="shared" si="120"/>
        <v>0</v>
      </c>
      <c r="AW178" s="1075">
        <f t="shared" si="121"/>
        <v>0</v>
      </c>
      <c r="AX178" s="1075">
        <f t="shared" si="122"/>
        <v>0</v>
      </c>
      <c r="AY178" s="2211">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09"/>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1075">
        <f t="shared" si="120"/>
        <v>0</v>
      </c>
      <c r="AW179" s="1075">
        <f t="shared" si="121"/>
        <v>0</v>
      </c>
      <c r="AX179" s="1075">
        <f t="shared" si="122"/>
        <v>0</v>
      </c>
      <c r="AY179" s="2211">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09"/>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1075">
        <f t="shared" si="120"/>
        <v>0</v>
      </c>
      <c r="AW180" s="1075">
        <f t="shared" si="121"/>
        <v>0</v>
      </c>
      <c r="AX180" s="1075">
        <f t="shared" si="122"/>
        <v>0</v>
      </c>
      <c r="AY180" s="2211">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09"/>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1075">
        <f t="shared" si="120"/>
        <v>0</v>
      </c>
      <c r="AW181" s="1075">
        <f t="shared" si="121"/>
        <v>0</v>
      </c>
      <c r="AX181" s="1075">
        <f t="shared" si="122"/>
        <v>0</v>
      </c>
      <c r="AY181" s="2211">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09"/>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1075">
        <f t="shared" si="120"/>
        <v>0</v>
      </c>
      <c r="AW182" s="1075">
        <f t="shared" si="121"/>
        <v>0</v>
      </c>
      <c r="AX182" s="1075">
        <f t="shared" si="122"/>
        <v>0</v>
      </c>
      <c r="AY182" s="2211">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09"/>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1075">
        <f t="shared" si="120"/>
        <v>0</v>
      </c>
      <c r="AW183" s="1075">
        <f t="shared" si="121"/>
        <v>0</v>
      </c>
      <c r="AX183" s="1075">
        <f t="shared" si="122"/>
        <v>0</v>
      </c>
      <c r="AY183" s="2211">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09"/>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1075">
        <f t="shared" si="120"/>
        <v>0</v>
      </c>
      <c r="AW184" s="1075">
        <f t="shared" si="121"/>
        <v>0</v>
      </c>
      <c r="AX184" s="1075">
        <f t="shared" si="122"/>
        <v>0</v>
      </c>
      <c r="AY184" s="2211">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09"/>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1075">
        <f t="shared" si="120"/>
        <v>0</v>
      </c>
      <c r="AW185" s="1075">
        <f t="shared" si="121"/>
        <v>0</v>
      </c>
      <c r="AX185" s="1075">
        <f t="shared" si="122"/>
        <v>0</v>
      </c>
      <c r="AY185" s="2211">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09"/>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1075">
        <f t="shared" si="120"/>
        <v>0</v>
      </c>
      <c r="AW186" s="1075">
        <f t="shared" si="121"/>
        <v>0</v>
      </c>
      <c r="AX186" s="1075">
        <f t="shared" si="122"/>
        <v>0</v>
      </c>
      <c r="AY186" s="2211">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09"/>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1075">
        <f t="shared" si="120"/>
        <v>0</v>
      </c>
      <c r="AW187" s="1075">
        <f t="shared" si="121"/>
        <v>0</v>
      </c>
      <c r="AX187" s="1075">
        <f t="shared" si="122"/>
        <v>0</v>
      </c>
      <c r="AY187" s="2211">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09"/>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1075">
        <f t="shared" si="120"/>
        <v>0</v>
      </c>
      <c r="AW188" s="1075">
        <f t="shared" si="121"/>
        <v>0</v>
      </c>
      <c r="AX188" s="1075">
        <f t="shared" si="122"/>
        <v>0</v>
      </c>
      <c r="AY188" s="2211">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09"/>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1075">
        <f t="shared" si="120"/>
        <v>0</v>
      </c>
      <c r="AW189" s="1075">
        <f t="shared" si="121"/>
        <v>0</v>
      </c>
      <c r="AX189" s="1075">
        <f t="shared" si="122"/>
        <v>0</v>
      </c>
      <c r="AY189" s="2211">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09"/>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1075">
        <f t="shared" si="120"/>
        <v>0</v>
      </c>
      <c r="AW190" s="1075">
        <f t="shared" si="121"/>
        <v>0</v>
      </c>
      <c r="AX190" s="1075">
        <f t="shared" si="122"/>
        <v>0</v>
      </c>
      <c r="AY190" s="2211">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09"/>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1075">
        <f t="shared" si="120"/>
        <v>0</v>
      </c>
      <c r="AW191" s="1075">
        <f t="shared" si="121"/>
        <v>0</v>
      </c>
      <c r="AX191" s="1075">
        <f t="shared" si="122"/>
        <v>0</v>
      </c>
      <c r="AY191" s="2211">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09"/>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1075">
        <f t="shared" si="120"/>
        <v>0</v>
      </c>
      <c r="AW192" s="1075">
        <f t="shared" si="121"/>
        <v>0</v>
      </c>
      <c r="AX192" s="1075">
        <f t="shared" si="122"/>
        <v>0</v>
      </c>
      <c r="AY192" s="2211">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09"/>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1075">
        <f t="shared" si="120"/>
        <v>0</v>
      </c>
      <c r="AW193" s="1075">
        <f t="shared" si="121"/>
        <v>0</v>
      </c>
      <c r="AX193" s="1075">
        <f t="shared" si="122"/>
        <v>0</v>
      </c>
      <c r="AY193" s="2211">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09"/>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1075">
        <f t="shared" si="120"/>
        <v>0</v>
      </c>
      <c r="AW194" s="1075">
        <f t="shared" si="121"/>
        <v>0</v>
      </c>
      <c r="AX194" s="1075">
        <f t="shared" si="122"/>
        <v>0</v>
      </c>
      <c r="AY194" s="2211">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09"/>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1075">
        <f t="shared" si="120"/>
        <v>0</v>
      </c>
      <c r="AW195" s="1075">
        <f t="shared" si="121"/>
        <v>0</v>
      </c>
      <c r="AX195" s="1075">
        <f t="shared" si="122"/>
        <v>0</v>
      </c>
      <c r="AY195" s="2211">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09"/>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1075">
        <f t="shared" si="120"/>
        <v>0</v>
      </c>
      <c r="AW196" s="1075">
        <f t="shared" si="121"/>
        <v>0</v>
      </c>
      <c r="AX196" s="1075">
        <f t="shared" si="122"/>
        <v>0</v>
      </c>
      <c r="AY196" s="2211">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09"/>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1075">
        <f t="shared" si="120"/>
        <v>0</v>
      </c>
      <c r="AW197" s="1075">
        <f t="shared" si="121"/>
        <v>0</v>
      </c>
      <c r="AX197" s="1075">
        <f t="shared" si="122"/>
        <v>0</v>
      </c>
      <c r="AY197" s="2211">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09"/>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1075">
        <f t="shared" si="120"/>
        <v>0</v>
      </c>
      <c r="AW198" s="1075">
        <f t="shared" si="121"/>
        <v>0</v>
      </c>
      <c r="AX198" s="1075">
        <f t="shared" si="122"/>
        <v>0</v>
      </c>
      <c r="AY198" s="2211">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09"/>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1075">
        <f t="shared" si="120"/>
        <v>0</v>
      </c>
      <c r="AW199" s="1075">
        <f t="shared" si="121"/>
        <v>0</v>
      </c>
      <c r="AX199" s="1075">
        <f t="shared" si="122"/>
        <v>0</v>
      </c>
      <c r="AY199" s="2211">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09"/>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1075">
        <f t="shared" si="120"/>
        <v>0</v>
      </c>
      <c r="AW200" s="1075">
        <f t="shared" si="121"/>
        <v>0</v>
      </c>
      <c r="AX200" s="1075">
        <f t="shared" si="122"/>
        <v>0</v>
      </c>
      <c r="AY200" s="2211">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09"/>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1075">
        <f t="shared" si="120"/>
        <v>0</v>
      </c>
      <c r="AW201" s="1075">
        <f t="shared" si="121"/>
        <v>0</v>
      </c>
      <c r="AX201" s="1075">
        <f t="shared" si="122"/>
        <v>0</v>
      </c>
      <c r="AY201" s="2211">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09"/>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1075">
        <f t="shared" si="120"/>
        <v>0</v>
      </c>
      <c r="AW202" s="1075">
        <f t="shared" si="121"/>
        <v>0</v>
      </c>
      <c r="AX202" s="1075">
        <f t="shared" si="122"/>
        <v>0</v>
      </c>
      <c r="AY202" s="2211">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09"/>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1075">
        <f t="shared" si="120"/>
        <v>0</v>
      </c>
      <c r="AW203" s="1075">
        <f t="shared" si="121"/>
        <v>0</v>
      </c>
      <c r="AX203" s="1075">
        <f t="shared" si="122"/>
        <v>0</v>
      </c>
      <c r="AY203" s="2211">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09"/>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1075">
        <f t="shared" si="120"/>
        <v>0</v>
      </c>
      <c r="AW204" s="1075">
        <f t="shared" si="121"/>
        <v>0</v>
      </c>
      <c r="AX204" s="1075">
        <f t="shared" si="122"/>
        <v>0</v>
      </c>
      <c r="AY204" s="2211">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09"/>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1075">
        <f t="shared" si="120"/>
        <v>0</v>
      </c>
      <c r="AW205" s="1075">
        <f t="shared" si="121"/>
        <v>0</v>
      </c>
      <c r="AX205" s="1075">
        <f t="shared" si="122"/>
        <v>0</v>
      </c>
      <c r="AY205" s="2211">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09"/>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1075">
        <f t="shared" si="120"/>
        <v>0</v>
      </c>
      <c r="AW206" s="1075">
        <f t="shared" si="121"/>
        <v>0</v>
      </c>
      <c r="AX206" s="1075">
        <f t="shared" si="122"/>
        <v>0</v>
      </c>
      <c r="AY206" s="2211">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09"/>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1075">
        <f t="shared" si="120"/>
        <v>0</v>
      </c>
      <c r="AW207" s="1075">
        <f t="shared" si="121"/>
        <v>0</v>
      </c>
      <c r="AX207" s="1075">
        <f t="shared" si="122"/>
        <v>0</v>
      </c>
      <c r="AY207" s="2211">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09"/>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1075">
        <f t="shared" ref="AV208:AV302" si="127">A208</f>
        <v>0</v>
      </c>
      <c r="AW208" s="1075">
        <f t="shared" ref="AW208:AW302" si="128">B208</f>
        <v>0</v>
      </c>
      <c r="AX208" s="1075">
        <f t="shared" ref="AX208:AX302" si="129">C208</f>
        <v>0</v>
      </c>
      <c r="AY208" s="2211">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09"/>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1075">
        <f t="shared" si="127"/>
        <v>0</v>
      </c>
      <c r="AW209" s="1075">
        <f t="shared" si="128"/>
        <v>0</v>
      </c>
      <c r="AX209" s="1075">
        <f t="shared" si="129"/>
        <v>0</v>
      </c>
      <c r="AY209" s="2211">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09"/>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1075">
        <f t="shared" si="127"/>
        <v>0</v>
      </c>
      <c r="AW210" s="1075">
        <f t="shared" si="128"/>
        <v>0</v>
      </c>
      <c r="AX210" s="1075">
        <f t="shared" si="129"/>
        <v>0</v>
      </c>
      <c r="AY210" s="2211">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09"/>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1075">
        <f t="shared" si="127"/>
        <v>0</v>
      </c>
      <c r="AW211" s="1075">
        <f t="shared" si="128"/>
        <v>0</v>
      </c>
      <c r="AX211" s="1075">
        <f t="shared" si="129"/>
        <v>0</v>
      </c>
      <c r="AY211" s="2211">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09"/>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1075">
        <f t="shared" si="127"/>
        <v>0</v>
      </c>
      <c r="AW212" s="1075">
        <f t="shared" si="128"/>
        <v>0</v>
      </c>
      <c r="AX212" s="1075">
        <f t="shared" si="129"/>
        <v>0</v>
      </c>
      <c r="AY212" s="2211">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09"/>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1075">
        <f t="shared" si="127"/>
        <v>0</v>
      </c>
      <c r="AW213" s="1075">
        <f t="shared" si="128"/>
        <v>0</v>
      </c>
      <c r="AX213" s="1075">
        <f t="shared" si="129"/>
        <v>0</v>
      </c>
      <c r="AY213" s="2211">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09"/>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1075">
        <f t="shared" si="127"/>
        <v>0</v>
      </c>
      <c r="AW214" s="1075">
        <f t="shared" si="128"/>
        <v>0</v>
      </c>
      <c r="AX214" s="1075">
        <f t="shared" si="129"/>
        <v>0</v>
      </c>
      <c r="AY214" s="2211">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09"/>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1075">
        <f t="shared" si="127"/>
        <v>0</v>
      </c>
      <c r="AW215" s="1075">
        <f t="shared" si="128"/>
        <v>0</v>
      </c>
      <c r="AX215" s="1075">
        <f t="shared" si="129"/>
        <v>0</v>
      </c>
      <c r="AY215" s="2211">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09"/>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1075">
        <f t="shared" si="127"/>
        <v>0</v>
      </c>
      <c r="AW216" s="1075">
        <f t="shared" si="128"/>
        <v>0</v>
      </c>
      <c r="AX216" s="1075">
        <f t="shared" si="129"/>
        <v>0</v>
      </c>
      <c r="AY216" s="2211">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09"/>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1075">
        <f t="shared" si="127"/>
        <v>0</v>
      </c>
      <c r="AW217" s="1075">
        <f t="shared" si="128"/>
        <v>0</v>
      </c>
      <c r="AX217" s="1075">
        <f t="shared" si="129"/>
        <v>0</v>
      </c>
      <c r="AY217" s="2211">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09"/>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1075">
        <f t="shared" si="127"/>
        <v>0</v>
      </c>
      <c r="AW218" s="1075">
        <f t="shared" si="128"/>
        <v>0</v>
      </c>
      <c r="AX218" s="1075">
        <f t="shared" si="129"/>
        <v>0</v>
      </c>
      <c r="AY218" s="2211">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09"/>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1075">
        <f t="shared" si="127"/>
        <v>0</v>
      </c>
      <c r="AW219" s="1075">
        <f t="shared" si="128"/>
        <v>0</v>
      </c>
      <c r="AX219" s="1075">
        <f t="shared" si="129"/>
        <v>0</v>
      </c>
      <c r="AY219" s="2211">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09"/>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1075">
        <f t="shared" si="127"/>
        <v>0</v>
      </c>
      <c r="AW220" s="1075">
        <f t="shared" si="128"/>
        <v>0</v>
      </c>
      <c r="AX220" s="1075">
        <f t="shared" si="129"/>
        <v>0</v>
      </c>
      <c r="AY220" s="2211">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09"/>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1075">
        <f t="shared" si="127"/>
        <v>0</v>
      </c>
      <c r="AW221" s="1075">
        <f t="shared" si="128"/>
        <v>0</v>
      </c>
      <c r="AX221" s="1075">
        <f t="shared" si="129"/>
        <v>0</v>
      </c>
      <c r="AY221" s="2211">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09"/>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1075">
        <f t="shared" si="127"/>
        <v>0</v>
      </c>
      <c r="AW222" s="1075">
        <f t="shared" si="128"/>
        <v>0</v>
      </c>
      <c r="AX222" s="1075">
        <f t="shared" si="129"/>
        <v>0</v>
      </c>
      <c r="AY222" s="2211">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09"/>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1075">
        <f t="shared" si="127"/>
        <v>0</v>
      </c>
      <c r="AW223" s="1075">
        <f t="shared" si="128"/>
        <v>0</v>
      </c>
      <c r="AX223" s="1075">
        <f t="shared" si="129"/>
        <v>0</v>
      </c>
      <c r="AY223" s="2211">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09"/>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1075">
        <f t="shared" si="127"/>
        <v>0</v>
      </c>
      <c r="AW224" s="1075">
        <f t="shared" si="128"/>
        <v>0</v>
      </c>
      <c r="AX224" s="1075">
        <f t="shared" si="129"/>
        <v>0</v>
      </c>
      <c r="AY224" s="2211">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09"/>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1075">
        <f t="shared" si="127"/>
        <v>0</v>
      </c>
      <c r="AW225" s="1075">
        <f t="shared" si="128"/>
        <v>0</v>
      </c>
      <c r="AX225" s="1075">
        <f t="shared" si="129"/>
        <v>0</v>
      </c>
      <c r="AY225" s="2211">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09"/>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1075">
        <f t="shared" si="127"/>
        <v>0</v>
      </c>
      <c r="AW226" s="1075">
        <f t="shared" si="128"/>
        <v>0</v>
      </c>
      <c r="AX226" s="1075">
        <f t="shared" si="129"/>
        <v>0</v>
      </c>
      <c r="AY226" s="2211">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09"/>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1075">
        <f t="shared" si="127"/>
        <v>0</v>
      </c>
      <c r="AW227" s="1075">
        <f t="shared" si="128"/>
        <v>0</v>
      </c>
      <c r="AX227" s="1075">
        <f t="shared" si="129"/>
        <v>0</v>
      </c>
      <c r="AY227" s="2211">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09"/>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1075">
        <f t="shared" si="127"/>
        <v>0</v>
      </c>
      <c r="AW228" s="1075">
        <f t="shared" si="128"/>
        <v>0</v>
      </c>
      <c r="AX228" s="1075">
        <f t="shared" si="129"/>
        <v>0</v>
      </c>
      <c r="AY228" s="2211">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09"/>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1075">
        <f t="shared" si="127"/>
        <v>0</v>
      </c>
      <c r="AW229" s="1075">
        <f t="shared" si="128"/>
        <v>0</v>
      </c>
      <c r="AX229" s="1075">
        <f t="shared" si="129"/>
        <v>0</v>
      </c>
      <c r="AY229" s="2211">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09"/>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1075">
        <f t="shared" si="127"/>
        <v>0</v>
      </c>
      <c r="AW230" s="1075">
        <f t="shared" si="128"/>
        <v>0</v>
      </c>
      <c r="AX230" s="1075">
        <f t="shared" si="129"/>
        <v>0</v>
      </c>
      <c r="AY230" s="2211">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09"/>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1075">
        <f t="shared" si="127"/>
        <v>0</v>
      </c>
      <c r="AW231" s="1075">
        <f t="shared" si="128"/>
        <v>0</v>
      </c>
      <c r="AX231" s="1075">
        <f t="shared" si="129"/>
        <v>0</v>
      </c>
      <c r="AY231" s="2211">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09"/>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1075">
        <f t="shared" si="127"/>
        <v>0</v>
      </c>
      <c r="AW232" s="1075">
        <f t="shared" si="128"/>
        <v>0</v>
      </c>
      <c r="AX232" s="1075">
        <f t="shared" si="129"/>
        <v>0</v>
      </c>
      <c r="AY232" s="2211">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09"/>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1075">
        <f t="shared" si="127"/>
        <v>0</v>
      </c>
      <c r="AW233" s="1075">
        <f t="shared" si="128"/>
        <v>0</v>
      </c>
      <c r="AX233" s="1075">
        <f t="shared" si="129"/>
        <v>0</v>
      </c>
      <c r="AY233" s="2211">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09"/>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1075">
        <f t="shared" si="127"/>
        <v>0</v>
      </c>
      <c r="AW234" s="1075">
        <f t="shared" si="128"/>
        <v>0</v>
      </c>
      <c r="AX234" s="1075">
        <f t="shared" si="129"/>
        <v>0</v>
      </c>
      <c r="AY234" s="2211">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09"/>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1075">
        <f t="shared" si="127"/>
        <v>0</v>
      </c>
      <c r="AW235" s="1075">
        <f t="shared" si="128"/>
        <v>0</v>
      </c>
      <c r="AX235" s="1075">
        <f t="shared" si="129"/>
        <v>0</v>
      </c>
      <c r="AY235" s="2211">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09"/>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1075">
        <f t="shared" si="127"/>
        <v>0</v>
      </c>
      <c r="AW236" s="1075">
        <f t="shared" si="128"/>
        <v>0</v>
      </c>
      <c r="AX236" s="1075">
        <f t="shared" si="129"/>
        <v>0</v>
      </c>
      <c r="AY236" s="2211">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09"/>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1075">
        <f t="shared" si="127"/>
        <v>0</v>
      </c>
      <c r="AW237" s="1075">
        <f t="shared" si="128"/>
        <v>0</v>
      </c>
      <c r="AX237" s="1075">
        <f t="shared" si="129"/>
        <v>0</v>
      </c>
      <c r="AY237" s="2211">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09"/>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1075">
        <f t="shared" si="127"/>
        <v>0</v>
      </c>
      <c r="AW238" s="1075">
        <f t="shared" si="128"/>
        <v>0</v>
      </c>
      <c r="AX238" s="1075">
        <f t="shared" si="129"/>
        <v>0</v>
      </c>
      <c r="AY238" s="2211">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09"/>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1075">
        <f t="shared" si="127"/>
        <v>0</v>
      </c>
      <c r="AW239" s="1075">
        <f t="shared" si="128"/>
        <v>0</v>
      </c>
      <c r="AX239" s="1075">
        <f t="shared" si="129"/>
        <v>0</v>
      </c>
      <c r="AY239" s="2211">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09"/>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1075">
        <f t="shared" si="127"/>
        <v>0</v>
      </c>
      <c r="AW240" s="1075">
        <f t="shared" si="128"/>
        <v>0</v>
      </c>
      <c r="AX240" s="1075">
        <f t="shared" si="129"/>
        <v>0</v>
      </c>
      <c r="AY240" s="2211">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09"/>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1075">
        <f t="shared" si="127"/>
        <v>0</v>
      </c>
      <c r="AW241" s="1075">
        <f t="shared" si="128"/>
        <v>0</v>
      </c>
      <c r="AX241" s="1075">
        <f t="shared" si="129"/>
        <v>0</v>
      </c>
      <c r="AY241" s="2211">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09"/>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1075">
        <f t="shared" si="127"/>
        <v>0</v>
      </c>
      <c r="AW242" s="1075">
        <f t="shared" si="128"/>
        <v>0</v>
      </c>
      <c r="AX242" s="1075">
        <f t="shared" si="129"/>
        <v>0</v>
      </c>
      <c r="AY242" s="2211">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09"/>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1075">
        <f t="shared" si="127"/>
        <v>0</v>
      </c>
      <c r="AW243" s="1075">
        <f t="shared" si="128"/>
        <v>0</v>
      </c>
      <c r="AX243" s="1075">
        <f t="shared" si="129"/>
        <v>0</v>
      </c>
      <c r="AY243" s="2211">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09"/>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1075">
        <f t="shared" si="127"/>
        <v>0</v>
      </c>
      <c r="AW244" s="1075">
        <f t="shared" si="128"/>
        <v>0</v>
      </c>
      <c r="AX244" s="1075">
        <f t="shared" si="129"/>
        <v>0</v>
      </c>
      <c r="AY244" s="2211">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09"/>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1075">
        <f t="shared" si="127"/>
        <v>0</v>
      </c>
      <c r="AW245" s="1075">
        <f t="shared" si="128"/>
        <v>0</v>
      </c>
      <c r="AX245" s="1075">
        <f t="shared" si="129"/>
        <v>0</v>
      </c>
      <c r="AY245" s="2211">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09"/>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1075">
        <f t="shared" si="127"/>
        <v>0</v>
      </c>
      <c r="AW246" s="1075">
        <f t="shared" si="128"/>
        <v>0</v>
      </c>
      <c r="AX246" s="1075">
        <f t="shared" si="129"/>
        <v>0</v>
      </c>
      <c r="AY246" s="2211">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09"/>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1075">
        <f t="shared" si="127"/>
        <v>0</v>
      </c>
      <c r="AW247" s="1075">
        <f t="shared" si="128"/>
        <v>0</v>
      </c>
      <c r="AX247" s="1075">
        <f t="shared" si="129"/>
        <v>0</v>
      </c>
      <c r="AY247" s="2211">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09"/>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1075">
        <f t="shared" si="127"/>
        <v>0</v>
      </c>
      <c r="AW248" s="1075">
        <f t="shared" si="128"/>
        <v>0</v>
      </c>
      <c r="AX248" s="1075">
        <f t="shared" si="129"/>
        <v>0</v>
      </c>
      <c r="AY248" s="2211">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09"/>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1075">
        <f t="shared" si="127"/>
        <v>0</v>
      </c>
      <c r="AW249" s="1075">
        <f t="shared" si="128"/>
        <v>0</v>
      </c>
      <c r="AX249" s="1075">
        <f t="shared" si="129"/>
        <v>0</v>
      </c>
      <c r="AY249" s="2211">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09"/>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1075">
        <f t="shared" si="127"/>
        <v>0</v>
      </c>
      <c r="AW250" s="1075">
        <f t="shared" si="128"/>
        <v>0</v>
      </c>
      <c r="AX250" s="1075">
        <f t="shared" si="129"/>
        <v>0</v>
      </c>
      <c r="AY250" s="2211">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09"/>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1075">
        <f t="shared" si="127"/>
        <v>0</v>
      </c>
      <c r="AW251" s="1075">
        <f t="shared" si="128"/>
        <v>0</v>
      </c>
      <c r="AX251" s="1075">
        <f t="shared" si="129"/>
        <v>0</v>
      </c>
      <c r="AY251" s="2211">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09"/>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1075">
        <f t="shared" si="127"/>
        <v>0</v>
      </c>
      <c r="AW252" s="1075">
        <f t="shared" si="128"/>
        <v>0</v>
      </c>
      <c r="AX252" s="1075">
        <f t="shared" si="129"/>
        <v>0</v>
      </c>
      <c r="AY252" s="2211">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09"/>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1075">
        <f t="shared" si="127"/>
        <v>0</v>
      </c>
      <c r="AW253" s="1075">
        <f t="shared" si="128"/>
        <v>0</v>
      </c>
      <c r="AX253" s="1075">
        <f t="shared" si="129"/>
        <v>0</v>
      </c>
      <c r="AY253" s="2211">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09"/>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1075">
        <f t="shared" si="127"/>
        <v>0</v>
      </c>
      <c r="AW254" s="1075">
        <f t="shared" si="128"/>
        <v>0</v>
      </c>
      <c r="AX254" s="1075">
        <f t="shared" si="129"/>
        <v>0</v>
      </c>
      <c r="AY254" s="2211">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09"/>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1075">
        <f t="shared" si="127"/>
        <v>0</v>
      </c>
      <c r="AW255" s="1075">
        <f t="shared" si="128"/>
        <v>0</v>
      </c>
      <c r="AX255" s="1075">
        <f t="shared" si="129"/>
        <v>0</v>
      </c>
      <c r="AY255" s="2211">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09"/>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1075">
        <f t="shared" si="127"/>
        <v>0</v>
      </c>
      <c r="AW256" s="1075">
        <f t="shared" si="128"/>
        <v>0</v>
      </c>
      <c r="AX256" s="1075">
        <f t="shared" si="129"/>
        <v>0</v>
      </c>
      <c r="AY256" s="2211">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09"/>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1075">
        <f t="shared" si="127"/>
        <v>0</v>
      </c>
      <c r="AW257" s="1075">
        <f t="shared" si="128"/>
        <v>0</v>
      </c>
      <c r="AX257" s="1075">
        <f t="shared" si="129"/>
        <v>0</v>
      </c>
      <c r="AY257" s="2211">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09"/>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1075">
        <f t="shared" si="127"/>
        <v>0</v>
      </c>
      <c r="AW258" s="1075">
        <f t="shared" si="128"/>
        <v>0</v>
      </c>
      <c r="AX258" s="1075">
        <f t="shared" si="129"/>
        <v>0</v>
      </c>
      <c r="AY258" s="2211">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09"/>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1075">
        <f t="shared" si="127"/>
        <v>0</v>
      </c>
      <c r="AW259" s="1075">
        <f t="shared" si="128"/>
        <v>0</v>
      </c>
      <c r="AX259" s="1075">
        <f t="shared" si="129"/>
        <v>0</v>
      </c>
      <c r="AY259" s="2211">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09"/>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1075">
        <f t="shared" si="127"/>
        <v>0</v>
      </c>
      <c r="AW260" s="1075">
        <f t="shared" si="128"/>
        <v>0</v>
      </c>
      <c r="AX260" s="1075">
        <f t="shared" si="129"/>
        <v>0</v>
      </c>
      <c r="AY260" s="2211">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09"/>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1075">
        <f t="shared" si="127"/>
        <v>0</v>
      </c>
      <c r="AW261" s="1075">
        <f t="shared" si="128"/>
        <v>0</v>
      </c>
      <c r="AX261" s="1075">
        <f t="shared" si="129"/>
        <v>0</v>
      </c>
      <c r="AY261" s="2211">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09"/>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1075">
        <f t="shared" si="127"/>
        <v>0</v>
      </c>
      <c r="AW262" s="1075">
        <f t="shared" si="128"/>
        <v>0</v>
      </c>
      <c r="AX262" s="1075">
        <f t="shared" si="129"/>
        <v>0</v>
      </c>
      <c r="AY262" s="2211">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09"/>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1075">
        <f t="shared" si="127"/>
        <v>0</v>
      </c>
      <c r="AW263" s="1075">
        <f t="shared" si="128"/>
        <v>0</v>
      </c>
      <c r="AX263" s="1075">
        <f t="shared" si="129"/>
        <v>0</v>
      </c>
      <c r="AY263" s="2211">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09"/>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1075">
        <f t="shared" si="127"/>
        <v>0</v>
      </c>
      <c r="AW264" s="1075">
        <f t="shared" si="128"/>
        <v>0</v>
      </c>
      <c r="AX264" s="1075">
        <f t="shared" si="129"/>
        <v>0</v>
      </c>
      <c r="AY264" s="2211">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09"/>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1075">
        <f t="shared" si="127"/>
        <v>0</v>
      </c>
      <c r="AW265" s="1075">
        <f t="shared" si="128"/>
        <v>0</v>
      </c>
      <c r="AX265" s="1075">
        <f t="shared" si="129"/>
        <v>0</v>
      </c>
      <c r="AY265" s="2211">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09"/>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1075">
        <f t="shared" si="127"/>
        <v>0</v>
      </c>
      <c r="AW266" s="1075">
        <f t="shared" si="128"/>
        <v>0</v>
      </c>
      <c r="AX266" s="1075">
        <f t="shared" si="129"/>
        <v>0</v>
      </c>
      <c r="AY266" s="2211">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09"/>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1075">
        <f t="shared" si="127"/>
        <v>0</v>
      </c>
      <c r="AW267" s="1075">
        <f t="shared" si="128"/>
        <v>0</v>
      </c>
      <c r="AX267" s="1075">
        <f t="shared" si="129"/>
        <v>0</v>
      </c>
      <c r="AY267" s="2211">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09"/>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1075">
        <f t="shared" si="127"/>
        <v>0</v>
      </c>
      <c r="AW268" s="1075">
        <f t="shared" si="128"/>
        <v>0</v>
      </c>
      <c r="AX268" s="1075">
        <f t="shared" si="129"/>
        <v>0</v>
      </c>
      <c r="AY268" s="2211">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09"/>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1075">
        <f t="shared" si="127"/>
        <v>0</v>
      </c>
      <c r="AW269" s="1075">
        <f t="shared" si="128"/>
        <v>0</v>
      </c>
      <c r="AX269" s="1075">
        <f t="shared" si="129"/>
        <v>0</v>
      </c>
      <c r="AY269" s="2211">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09"/>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1075">
        <f t="shared" si="127"/>
        <v>0</v>
      </c>
      <c r="AW270" s="1075">
        <f t="shared" si="128"/>
        <v>0</v>
      </c>
      <c r="AX270" s="1075">
        <f t="shared" si="129"/>
        <v>0</v>
      </c>
      <c r="AY270" s="2211">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09"/>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1075">
        <f t="shared" si="127"/>
        <v>0</v>
      </c>
      <c r="AW271" s="1075">
        <f t="shared" si="128"/>
        <v>0</v>
      </c>
      <c r="AX271" s="1075">
        <f t="shared" si="129"/>
        <v>0</v>
      </c>
      <c r="AY271" s="2211">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09"/>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1075">
        <f t="shared" si="127"/>
        <v>0</v>
      </c>
      <c r="AW272" s="1075">
        <f t="shared" si="128"/>
        <v>0</v>
      </c>
      <c r="AX272" s="1075">
        <f t="shared" si="129"/>
        <v>0</v>
      </c>
      <c r="AY272" s="2211">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09"/>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1075">
        <f t="shared" si="127"/>
        <v>0</v>
      </c>
      <c r="AW273" s="1075">
        <f t="shared" si="128"/>
        <v>0</v>
      </c>
      <c r="AX273" s="1075">
        <f t="shared" si="129"/>
        <v>0</v>
      </c>
      <c r="AY273" s="2211">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09"/>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1075">
        <f t="shared" si="127"/>
        <v>0</v>
      </c>
      <c r="AW274" s="1075">
        <f t="shared" si="128"/>
        <v>0</v>
      </c>
      <c r="AX274" s="1075">
        <f t="shared" si="129"/>
        <v>0</v>
      </c>
      <c r="AY274" s="2211">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09"/>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1075">
        <f t="shared" si="127"/>
        <v>0</v>
      </c>
      <c r="AW275" s="1075">
        <f t="shared" si="128"/>
        <v>0</v>
      </c>
      <c r="AX275" s="1075">
        <f t="shared" si="129"/>
        <v>0</v>
      </c>
      <c r="AY275" s="2211">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09"/>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1075">
        <f t="shared" si="127"/>
        <v>0</v>
      </c>
      <c r="AW276" s="1075">
        <f t="shared" si="128"/>
        <v>0</v>
      </c>
      <c r="AX276" s="1075">
        <f t="shared" si="129"/>
        <v>0</v>
      </c>
      <c r="AY276" s="2211">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09"/>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1075">
        <f t="shared" si="127"/>
        <v>0</v>
      </c>
      <c r="AW277" s="1075">
        <f t="shared" si="128"/>
        <v>0</v>
      </c>
      <c r="AX277" s="1075">
        <f t="shared" si="129"/>
        <v>0</v>
      </c>
      <c r="AY277" s="2211">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09"/>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1075">
        <f t="shared" si="127"/>
        <v>0</v>
      </c>
      <c r="AW278" s="1075">
        <f t="shared" si="128"/>
        <v>0</v>
      </c>
      <c r="AX278" s="1075">
        <f t="shared" si="129"/>
        <v>0</v>
      </c>
      <c r="AY278" s="2211">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09"/>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1075">
        <f t="shared" si="127"/>
        <v>0</v>
      </c>
      <c r="AW279" s="1075">
        <f t="shared" si="128"/>
        <v>0</v>
      </c>
      <c r="AX279" s="1075">
        <f t="shared" si="129"/>
        <v>0</v>
      </c>
      <c r="AY279" s="2211">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09"/>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1075">
        <f t="shared" si="127"/>
        <v>0</v>
      </c>
      <c r="AW280" s="1075">
        <f t="shared" si="128"/>
        <v>0</v>
      </c>
      <c r="AX280" s="1075">
        <f t="shared" si="129"/>
        <v>0</v>
      </c>
      <c r="AY280" s="2211">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09"/>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1075">
        <f t="shared" si="127"/>
        <v>0</v>
      </c>
      <c r="AW281" s="1075">
        <f t="shared" si="128"/>
        <v>0</v>
      </c>
      <c r="AX281" s="1075">
        <f t="shared" si="129"/>
        <v>0</v>
      </c>
      <c r="AY281" s="2211">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09"/>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1075">
        <f t="shared" si="127"/>
        <v>0</v>
      </c>
      <c r="AW282" s="1075">
        <f t="shared" si="128"/>
        <v>0</v>
      </c>
      <c r="AX282" s="1075">
        <f t="shared" si="129"/>
        <v>0</v>
      </c>
      <c r="AY282" s="2211">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09"/>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1075">
        <f t="shared" si="127"/>
        <v>0</v>
      </c>
      <c r="AW283" s="1075">
        <f t="shared" si="128"/>
        <v>0</v>
      </c>
      <c r="AX283" s="1075">
        <f t="shared" si="129"/>
        <v>0</v>
      </c>
      <c r="AY283" s="2211">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09"/>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1075">
        <f t="shared" si="127"/>
        <v>0</v>
      </c>
      <c r="AW284" s="1075">
        <f t="shared" si="128"/>
        <v>0</v>
      </c>
      <c r="AX284" s="1075">
        <f t="shared" si="129"/>
        <v>0</v>
      </c>
      <c r="AY284" s="2211">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09"/>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1075">
        <f t="shared" si="127"/>
        <v>0</v>
      </c>
      <c r="AW285" s="1075">
        <f t="shared" si="128"/>
        <v>0</v>
      </c>
      <c r="AX285" s="1075">
        <f t="shared" si="129"/>
        <v>0</v>
      </c>
      <c r="AY285" s="2211">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09"/>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1075">
        <f t="shared" si="127"/>
        <v>0</v>
      </c>
      <c r="AW286" s="1075">
        <f t="shared" si="128"/>
        <v>0</v>
      </c>
      <c r="AX286" s="1075">
        <f t="shared" si="129"/>
        <v>0</v>
      </c>
      <c r="AY286" s="2211">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09"/>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1075">
        <f t="shared" si="127"/>
        <v>0</v>
      </c>
      <c r="AW287" s="1075">
        <f t="shared" si="128"/>
        <v>0</v>
      </c>
      <c r="AX287" s="1075">
        <f t="shared" si="129"/>
        <v>0</v>
      </c>
      <c r="AY287" s="2211">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09"/>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1075">
        <f t="shared" si="127"/>
        <v>0</v>
      </c>
      <c r="AW288" s="1075">
        <f t="shared" si="128"/>
        <v>0</v>
      </c>
      <c r="AX288" s="1075">
        <f t="shared" si="129"/>
        <v>0</v>
      </c>
      <c r="AY288" s="2211">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09"/>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1075">
        <f t="shared" si="127"/>
        <v>0</v>
      </c>
      <c r="AW289" s="1075">
        <f t="shared" si="128"/>
        <v>0</v>
      </c>
      <c r="AX289" s="1075">
        <f t="shared" si="129"/>
        <v>0</v>
      </c>
      <c r="AY289" s="2211">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09"/>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1075">
        <f t="shared" si="127"/>
        <v>0</v>
      </c>
      <c r="AW290" s="1075">
        <f t="shared" si="128"/>
        <v>0</v>
      </c>
      <c r="AX290" s="1075">
        <f t="shared" si="129"/>
        <v>0</v>
      </c>
      <c r="AY290" s="2211">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09"/>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1075">
        <f t="shared" si="127"/>
        <v>0</v>
      </c>
      <c r="AW291" s="1075">
        <f t="shared" si="128"/>
        <v>0</v>
      </c>
      <c r="AX291" s="1075">
        <f t="shared" si="129"/>
        <v>0</v>
      </c>
      <c r="AY291" s="2211">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09"/>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1075">
        <f t="shared" si="127"/>
        <v>0</v>
      </c>
      <c r="AW292" s="1075">
        <f t="shared" si="128"/>
        <v>0</v>
      </c>
      <c r="AX292" s="1075">
        <f t="shared" si="129"/>
        <v>0</v>
      </c>
      <c r="AY292" s="2211">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09"/>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1075">
        <f t="shared" si="127"/>
        <v>0</v>
      </c>
      <c r="AW293" s="1075">
        <f t="shared" si="128"/>
        <v>0</v>
      </c>
      <c r="AX293" s="1075">
        <f t="shared" si="129"/>
        <v>0</v>
      </c>
      <c r="AY293" s="2211">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09"/>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1075">
        <f t="shared" si="127"/>
        <v>0</v>
      </c>
      <c r="AW294" s="1075">
        <f t="shared" si="128"/>
        <v>0</v>
      </c>
      <c r="AX294" s="1075">
        <f t="shared" si="129"/>
        <v>0</v>
      </c>
      <c r="AY294" s="2211">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09"/>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1075">
        <f t="shared" si="127"/>
        <v>0</v>
      </c>
      <c r="AW295" s="1075">
        <f t="shared" si="128"/>
        <v>0</v>
      </c>
      <c r="AX295" s="1075">
        <f t="shared" si="129"/>
        <v>0</v>
      </c>
      <c r="AY295" s="2211">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09"/>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1075">
        <f t="shared" si="127"/>
        <v>0</v>
      </c>
      <c r="AW296" s="1075">
        <f t="shared" si="128"/>
        <v>0</v>
      </c>
      <c r="AX296" s="1075">
        <f t="shared" si="129"/>
        <v>0</v>
      </c>
      <c r="AY296" s="2211">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09"/>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1075">
        <f t="shared" si="127"/>
        <v>0</v>
      </c>
      <c r="AW297" s="1075">
        <f t="shared" si="128"/>
        <v>0</v>
      </c>
      <c r="AX297" s="1075">
        <f t="shared" si="129"/>
        <v>0</v>
      </c>
      <c r="AY297" s="2211">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09"/>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1075">
        <f t="shared" si="127"/>
        <v>0</v>
      </c>
      <c r="AW298" s="1075">
        <f t="shared" si="128"/>
        <v>0</v>
      </c>
      <c r="AX298" s="1075">
        <f t="shared" si="129"/>
        <v>0</v>
      </c>
      <c r="AY298" s="2211">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09"/>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1075">
        <f t="shared" si="127"/>
        <v>0</v>
      </c>
      <c r="AW299" s="1075">
        <f t="shared" si="128"/>
        <v>0</v>
      </c>
      <c r="AX299" s="1075">
        <f t="shared" si="129"/>
        <v>0</v>
      </c>
      <c r="AY299" s="2211">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09"/>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1075">
        <f t="shared" si="127"/>
        <v>0</v>
      </c>
      <c r="AW300" s="1075">
        <f t="shared" si="128"/>
        <v>0</v>
      </c>
      <c r="AX300" s="1075">
        <f t="shared" si="129"/>
        <v>0</v>
      </c>
      <c r="AY300" s="2211">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09"/>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1075">
        <f t="shared" si="127"/>
        <v>0</v>
      </c>
      <c r="AW301" s="1075">
        <f t="shared" si="128"/>
        <v>0</v>
      </c>
      <c r="AX301" s="1075">
        <f t="shared" si="129"/>
        <v>0</v>
      </c>
      <c r="AY301" s="2211">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09"/>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1075">
        <f t="shared" si="127"/>
        <v>0</v>
      </c>
      <c r="AW302" s="1075">
        <f t="shared" si="128"/>
        <v>0</v>
      </c>
      <c r="AX302" s="1075">
        <f t="shared" si="129"/>
        <v>0</v>
      </c>
      <c r="AY302" s="2211">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09"/>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1075">
        <f t="shared" ref="AV303:AV334" si="178">A303</f>
        <v>0</v>
      </c>
      <c r="AW303" s="1075">
        <f t="shared" ref="AW303:AW334" si="179">B303</f>
        <v>0</v>
      </c>
      <c r="AX303" s="1075">
        <f t="shared" ref="AX303:AX334" si="180">C303</f>
        <v>0</v>
      </c>
      <c r="AY303" s="2211">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09"/>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1075">
        <f t="shared" si="178"/>
        <v>0</v>
      </c>
      <c r="AW304" s="1075">
        <f t="shared" si="179"/>
        <v>0</v>
      </c>
      <c r="AX304" s="1075">
        <f t="shared" si="180"/>
        <v>0</v>
      </c>
      <c r="AY304" s="2211">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09"/>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1075">
        <f t="shared" si="178"/>
        <v>0</v>
      </c>
      <c r="AW305" s="1075">
        <f t="shared" si="179"/>
        <v>0</v>
      </c>
      <c r="AX305" s="1075">
        <f t="shared" si="180"/>
        <v>0</v>
      </c>
      <c r="AY305" s="2211">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09"/>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1075">
        <f t="shared" si="178"/>
        <v>0</v>
      </c>
      <c r="AW306" s="1075">
        <f t="shared" si="179"/>
        <v>0</v>
      </c>
      <c r="AX306" s="1075">
        <f t="shared" si="180"/>
        <v>0</v>
      </c>
      <c r="AY306" s="2211">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09"/>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1075">
        <f t="shared" si="178"/>
        <v>0</v>
      </c>
      <c r="AW307" s="1075">
        <f t="shared" si="179"/>
        <v>0</v>
      </c>
      <c r="AX307" s="1075">
        <f t="shared" si="180"/>
        <v>0</v>
      </c>
      <c r="AY307" s="2211">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09"/>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1075">
        <f t="shared" si="178"/>
        <v>0</v>
      </c>
      <c r="AW308" s="1075">
        <f t="shared" si="179"/>
        <v>0</v>
      </c>
      <c r="AX308" s="1075">
        <f t="shared" si="180"/>
        <v>0</v>
      </c>
      <c r="AY308" s="2211">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09"/>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1075">
        <f t="shared" si="178"/>
        <v>0</v>
      </c>
      <c r="AW309" s="1075">
        <f t="shared" si="179"/>
        <v>0</v>
      </c>
      <c r="AX309" s="1075">
        <f t="shared" si="180"/>
        <v>0</v>
      </c>
      <c r="AY309" s="2211">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09"/>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1075">
        <f t="shared" si="178"/>
        <v>0</v>
      </c>
      <c r="AW310" s="1075">
        <f t="shared" si="179"/>
        <v>0</v>
      </c>
      <c r="AX310" s="1075">
        <f t="shared" si="180"/>
        <v>0</v>
      </c>
      <c r="AY310" s="2211">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09"/>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1075">
        <f t="shared" si="178"/>
        <v>0</v>
      </c>
      <c r="AW311" s="1075">
        <f t="shared" si="179"/>
        <v>0</v>
      </c>
      <c r="AX311" s="1075">
        <f t="shared" si="180"/>
        <v>0</v>
      </c>
      <c r="AY311" s="2211">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09"/>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1075">
        <f t="shared" si="178"/>
        <v>0</v>
      </c>
      <c r="AW312" s="1075">
        <f t="shared" si="179"/>
        <v>0</v>
      </c>
      <c r="AX312" s="1075">
        <f t="shared" si="180"/>
        <v>0</v>
      </c>
      <c r="AY312" s="2211">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09"/>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1075">
        <f t="shared" si="178"/>
        <v>0</v>
      </c>
      <c r="AW313" s="1075">
        <f t="shared" si="179"/>
        <v>0</v>
      </c>
      <c r="AX313" s="1075">
        <f t="shared" si="180"/>
        <v>0</v>
      </c>
      <c r="AY313" s="2211">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09"/>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1075">
        <f t="shared" si="178"/>
        <v>0</v>
      </c>
      <c r="AW314" s="1075">
        <f t="shared" si="179"/>
        <v>0</v>
      </c>
      <c r="AX314" s="1075">
        <f t="shared" si="180"/>
        <v>0</v>
      </c>
      <c r="AY314" s="2211">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09"/>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1075">
        <f t="shared" si="178"/>
        <v>0</v>
      </c>
      <c r="AW315" s="1075">
        <f t="shared" si="179"/>
        <v>0</v>
      </c>
      <c r="AX315" s="1075">
        <f t="shared" si="180"/>
        <v>0</v>
      </c>
      <c r="AY315" s="2211">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09"/>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1075">
        <f t="shared" si="178"/>
        <v>0</v>
      </c>
      <c r="AW316" s="1075">
        <f t="shared" si="179"/>
        <v>0</v>
      </c>
      <c r="AX316" s="1075">
        <f t="shared" si="180"/>
        <v>0</v>
      </c>
      <c r="AY316" s="2211">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09"/>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1075">
        <f t="shared" si="178"/>
        <v>0</v>
      </c>
      <c r="AW317" s="1075">
        <f t="shared" si="179"/>
        <v>0</v>
      </c>
      <c r="AX317" s="1075">
        <f t="shared" si="180"/>
        <v>0</v>
      </c>
      <c r="AY317" s="2211">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09"/>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1075">
        <f t="shared" si="178"/>
        <v>0</v>
      </c>
      <c r="AW318" s="1075">
        <f t="shared" si="179"/>
        <v>0</v>
      </c>
      <c r="AX318" s="1075">
        <f t="shared" si="180"/>
        <v>0</v>
      </c>
      <c r="AY318" s="2211">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09"/>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1075">
        <f t="shared" si="178"/>
        <v>0</v>
      </c>
      <c r="AW319" s="1075">
        <f t="shared" si="179"/>
        <v>0</v>
      </c>
      <c r="AX319" s="1075">
        <f t="shared" si="180"/>
        <v>0</v>
      </c>
      <c r="AY319" s="2211">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09"/>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1075">
        <f t="shared" si="178"/>
        <v>0</v>
      </c>
      <c r="AW320" s="1075">
        <f t="shared" si="179"/>
        <v>0</v>
      </c>
      <c r="AX320" s="1075">
        <f t="shared" si="180"/>
        <v>0</v>
      </c>
      <c r="AY320" s="2211">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09"/>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1075">
        <f t="shared" si="178"/>
        <v>0</v>
      </c>
      <c r="AW321" s="1075">
        <f t="shared" si="179"/>
        <v>0</v>
      </c>
      <c r="AX321" s="1075">
        <f t="shared" si="180"/>
        <v>0</v>
      </c>
      <c r="AY321" s="2211">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09"/>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1075">
        <f t="shared" si="178"/>
        <v>0</v>
      </c>
      <c r="AW322" s="1075">
        <f t="shared" si="179"/>
        <v>0</v>
      </c>
      <c r="AX322" s="1075">
        <f t="shared" si="180"/>
        <v>0</v>
      </c>
      <c r="AY322" s="2211">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09"/>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1075">
        <f t="shared" si="178"/>
        <v>0</v>
      </c>
      <c r="AW323" s="1075">
        <f t="shared" si="179"/>
        <v>0</v>
      </c>
      <c r="AX323" s="1075">
        <f t="shared" si="180"/>
        <v>0</v>
      </c>
      <c r="AY323" s="2211">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09"/>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1075">
        <f t="shared" si="178"/>
        <v>0</v>
      </c>
      <c r="AW324" s="1075">
        <f t="shared" si="179"/>
        <v>0</v>
      </c>
      <c r="AX324" s="1075">
        <f t="shared" si="180"/>
        <v>0</v>
      </c>
      <c r="AY324" s="2211">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09"/>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1075">
        <f t="shared" si="178"/>
        <v>0</v>
      </c>
      <c r="AW325" s="1075">
        <f t="shared" si="179"/>
        <v>0</v>
      </c>
      <c r="AX325" s="1075">
        <f t="shared" si="180"/>
        <v>0</v>
      </c>
      <c r="AY325" s="2211">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09"/>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1075">
        <f t="shared" si="178"/>
        <v>0</v>
      </c>
      <c r="AW326" s="1075">
        <f t="shared" si="179"/>
        <v>0</v>
      </c>
      <c r="AX326" s="1075">
        <f t="shared" si="180"/>
        <v>0</v>
      </c>
      <c r="AY326" s="2211">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09"/>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1075">
        <f t="shared" si="178"/>
        <v>0</v>
      </c>
      <c r="AW327" s="1075">
        <f t="shared" si="179"/>
        <v>0</v>
      </c>
      <c r="AX327" s="1075">
        <f t="shared" si="180"/>
        <v>0</v>
      </c>
      <c r="AY327" s="2211">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09"/>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1075">
        <f t="shared" si="178"/>
        <v>0</v>
      </c>
      <c r="AW328" s="1075">
        <f t="shared" si="179"/>
        <v>0</v>
      </c>
      <c r="AX328" s="1075">
        <f t="shared" si="180"/>
        <v>0</v>
      </c>
      <c r="AY328" s="2211">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09"/>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1075">
        <f t="shared" si="178"/>
        <v>0</v>
      </c>
      <c r="AW329" s="1075">
        <f t="shared" si="179"/>
        <v>0</v>
      </c>
      <c r="AX329" s="1075">
        <f t="shared" si="180"/>
        <v>0</v>
      </c>
      <c r="AY329" s="2211">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09"/>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1075">
        <f t="shared" si="178"/>
        <v>0</v>
      </c>
      <c r="AW330" s="1075">
        <f t="shared" si="179"/>
        <v>0</v>
      </c>
      <c r="AX330" s="1075">
        <f t="shared" si="180"/>
        <v>0</v>
      </c>
      <c r="AY330" s="2211">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09"/>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1075">
        <f t="shared" si="178"/>
        <v>0</v>
      </c>
      <c r="AW331" s="1075">
        <f t="shared" si="179"/>
        <v>0</v>
      </c>
      <c r="AX331" s="1075">
        <f t="shared" si="180"/>
        <v>0</v>
      </c>
      <c r="AY331" s="2211">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09"/>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1075">
        <f t="shared" si="178"/>
        <v>0</v>
      </c>
      <c r="AW332" s="1075">
        <f t="shared" si="179"/>
        <v>0</v>
      </c>
      <c r="AX332" s="1075">
        <f t="shared" si="180"/>
        <v>0</v>
      </c>
      <c r="AY332" s="2211">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09"/>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1075">
        <f t="shared" si="178"/>
        <v>0</v>
      </c>
      <c r="AW333" s="1075">
        <f t="shared" si="179"/>
        <v>0</v>
      </c>
      <c r="AX333" s="1075">
        <f t="shared" si="180"/>
        <v>0</v>
      </c>
      <c r="AY333" s="2211">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09"/>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1075">
        <f t="shared" si="178"/>
        <v>0</v>
      </c>
      <c r="AW334" s="1075">
        <f t="shared" si="179"/>
        <v>0</v>
      </c>
      <c r="AX334" s="1075">
        <f t="shared" si="180"/>
        <v>0</v>
      </c>
      <c r="AY334" s="2211">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09"/>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1075">
        <f t="shared" ref="AV335:AV366" si="207">A335</f>
        <v>0</v>
      </c>
      <c r="AW335" s="1075">
        <f t="shared" ref="AW335:AW366" si="208">B335</f>
        <v>0</v>
      </c>
      <c r="AX335" s="1075">
        <f t="shared" ref="AX335:AX366" si="209">C335</f>
        <v>0</v>
      </c>
      <c r="AY335" s="2211">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09"/>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1075">
        <f t="shared" si="207"/>
        <v>0</v>
      </c>
      <c r="AW336" s="1075">
        <f t="shared" si="208"/>
        <v>0</v>
      </c>
      <c r="AX336" s="1075">
        <f t="shared" si="209"/>
        <v>0</v>
      </c>
      <c r="AY336" s="2211">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09"/>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1075">
        <f t="shared" si="207"/>
        <v>0</v>
      </c>
      <c r="AW337" s="1075">
        <f t="shared" si="208"/>
        <v>0</v>
      </c>
      <c r="AX337" s="1075">
        <f t="shared" si="209"/>
        <v>0</v>
      </c>
      <c r="AY337" s="2211">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09"/>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1075">
        <f t="shared" si="207"/>
        <v>0</v>
      </c>
      <c r="AW338" s="1075">
        <f t="shared" si="208"/>
        <v>0</v>
      </c>
      <c r="AX338" s="1075">
        <f t="shared" si="209"/>
        <v>0</v>
      </c>
      <c r="AY338" s="2211">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09"/>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1075">
        <f t="shared" si="207"/>
        <v>0</v>
      </c>
      <c r="AW339" s="1075">
        <f t="shared" si="208"/>
        <v>0</v>
      </c>
      <c r="AX339" s="1075">
        <f t="shared" si="209"/>
        <v>0</v>
      </c>
      <c r="AY339" s="2211">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09"/>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1075">
        <f t="shared" si="207"/>
        <v>0</v>
      </c>
      <c r="AW340" s="1075">
        <f t="shared" si="208"/>
        <v>0</v>
      </c>
      <c r="AX340" s="1075">
        <f t="shared" si="209"/>
        <v>0</v>
      </c>
      <c r="AY340" s="2211">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09"/>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1075">
        <f t="shared" si="207"/>
        <v>0</v>
      </c>
      <c r="AW341" s="1075">
        <f t="shared" si="208"/>
        <v>0</v>
      </c>
      <c r="AX341" s="1075">
        <f t="shared" si="209"/>
        <v>0</v>
      </c>
      <c r="AY341" s="2211">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09"/>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1075">
        <f t="shared" si="207"/>
        <v>0</v>
      </c>
      <c r="AW342" s="1075">
        <f t="shared" si="208"/>
        <v>0</v>
      </c>
      <c r="AX342" s="1075">
        <f t="shared" si="209"/>
        <v>0</v>
      </c>
      <c r="AY342" s="2211">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09"/>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1075">
        <f t="shared" si="207"/>
        <v>0</v>
      </c>
      <c r="AW343" s="1075">
        <f t="shared" si="208"/>
        <v>0</v>
      </c>
      <c r="AX343" s="1075">
        <f t="shared" si="209"/>
        <v>0</v>
      </c>
      <c r="AY343" s="2211">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09"/>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1075">
        <f t="shared" si="207"/>
        <v>0</v>
      </c>
      <c r="AW344" s="1075">
        <f t="shared" si="208"/>
        <v>0</v>
      </c>
      <c r="AX344" s="1075">
        <f t="shared" si="209"/>
        <v>0</v>
      </c>
      <c r="AY344" s="2211">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09"/>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1075">
        <f t="shared" si="207"/>
        <v>0</v>
      </c>
      <c r="AW345" s="1075">
        <f t="shared" si="208"/>
        <v>0</v>
      </c>
      <c r="AX345" s="1075">
        <f t="shared" si="209"/>
        <v>0</v>
      </c>
      <c r="AY345" s="2211">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09"/>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1075">
        <f t="shared" si="207"/>
        <v>0</v>
      </c>
      <c r="AW346" s="1075">
        <f t="shared" si="208"/>
        <v>0</v>
      </c>
      <c r="AX346" s="1075">
        <f t="shared" si="209"/>
        <v>0</v>
      </c>
      <c r="AY346" s="2211">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09"/>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1075">
        <f t="shared" si="207"/>
        <v>0</v>
      </c>
      <c r="AW347" s="1075">
        <f t="shared" si="208"/>
        <v>0</v>
      </c>
      <c r="AX347" s="1075">
        <f t="shared" si="209"/>
        <v>0</v>
      </c>
      <c r="AY347" s="2211">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09"/>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1075">
        <f t="shared" si="207"/>
        <v>0</v>
      </c>
      <c r="AW348" s="1075">
        <f t="shared" si="208"/>
        <v>0</v>
      </c>
      <c r="AX348" s="1075">
        <f t="shared" si="209"/>
        <v>0</v>
      </c>
      <c r="AY348" s="2211">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09"/>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1075">
        <f t="shared" si="207"/>
        <v>0</v>
      </c>
      <c r="AW349" s="1075">
        <f t="shared" si="208"/>
        <v>0</v>
      </c>
      <c r="AX349" s="1075">
        <f t="shared" si="209"/>
        <v>0</v>
      </c>
      <c r="AY349" s="2211">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09"/>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1075">
        <f t="shared" si="207"/>
        <v>0</v>
      </c>
      <c r="AW350" s="1075">
        <f t="shared" si="208"/>
        <v>0</v>
      </c>
      <c r="AX350" s="1075">
        <f t="shared" si="209"/>
        <v>0</v>
      </c>
      <c r="AY350" s="2211">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09"/>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1075">
        <f t="shared" si="207"/>
        <v>0</v>
      </c>
      <c r="AW351" s="1075">
        <f t="shared" si="208"/>
        <v>0</v>
      </c>
      <c r="AX351" s="1075">
        <f t="shared" si="209"/>
        <v>0</v>
      </c>
      <c r="AY351" s="2211">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09"/>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1075">
        <f t="shared" si="207"/>
        <v>0</v>
      </c>
      <c r="AW352" s="1075">
        <f t="shared" si="208"/>
        <v>0</v>
      </c>
      <c r="AX352" s="1075">
        <f t="shared" si="209"/>
        <v>0</v>
      </c>
      <c r="AY352" s="2211">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09"/>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1075">
        <f t="shared" si="207"/>
        <v>0</v>
      </c>
      <c r="AW353" s="1075">
        <f t="shared" si="208"/>
        <v>0</v>
      </c>
      <c r="AX353" s="1075">
        <f t="shared" si="209"/>
        <v>0</v>
      </c>
      <c r="AY353" s="2211">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09"/>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1075">
        <f t="shared" si="207"/>
        <v>0</v>
      </c>
      <c r="AW354" s="1075">
        <f t="shared" si="208"/>
        <v>0</v>
      </c>
      <c r="AX354" s="1075">
        <f t="shared" si="209"/>
        <v>0</v>
      </c>
      <c r="AY354" s="2211">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09"/>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1075">
        <f t="shared" si="207"/>
        <v>0</v>
      </c>
      <c r="AW355" s="1075">
        <f t="shared" si="208"/>
        <v>0</v>
      </c>
      <c r="AX355" s="1075">
        <f t="shared" si="209"/>
        <v>0</v>
      </c>
      <c r="AY355" s="2211">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09"/>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1075">
        <f t="shared" si="207"/>
        <v>0</v>
      </c>
      <c r="AW356" s="1075">
        <f t="shared" si="208"/>
        <v>0</v>
      </c>
      <c r="AX356" s="1075">
        <f t="shared" si="209"/>
        <v>0</v>
      </c>
      <c r="AY356" s="2211">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09"/>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1075">
        <f t="shared" si="207"/>
        <v>0</v>
      </c>
      <c r="AW357" s="1075">
        <f t="shared" si="208"/>
        <v>0</v>
      </c>
      <c r="AX357" s="1075">
        <f t="shared" si="209"/>
        <v>0</v>
      </c>
      <c r="AY357" s="2211">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09"/>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1075">
        <f t="shared" si="207"/>
        <v>0</v>
      </c>
      <c r="AW358" s="1075">
        <f t="shared" si="208"/>
        <v>0</v>
      </c>
      <c r="AX358" s="1075">
        <f t="shared" si="209"/>
        <v>0</v>
      </c>
      <c r="AY358" s="2211">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09"/>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1075">
        <f t="shared" si="207"/>
        <v>0</v>
      </c>
      <c r="AW359" s="1075">
        <f t="shared" si="208"/>
        <v>0</v>
      </c>
      <c r="AX359" s="1075">
        <f t="shared" si="209"/>
        <v>0</v>
      </c>
      <c r="AY359" s="2211">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09"/>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1075">
        <f t="shared" si="207"/>
        <v>0</v>
      </c>
      <c r="AW360" s="1075">
        <f t="shared" si="208"/>
        <v>0</v>
      </c>
      <c r="AX360" s="1075">
        <f t="shared" si="209"/>
        <v>0</v>
      </c>
      <c r="AY360" s="2211">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09"/>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1075">
        <f t="shared" si="207"/>
        <v>0</v>
      </c>
      <c r="AW361" s="1075">
        <f t="shared" si="208"/>
        <v>0</v>
      </c>
      <c r="AX361" s="1075">
        <f t="shared" si="209"/>
        <v>0</v>
      </c>
      <c r="AY361" s="2211">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09"/>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1075">
        <f t="shared" si="207"/>
        <v>0</v>
      </c>
      <c r="AW362" s="1075">
        <f t="shared" si="208"/>
        <v>0</v>
      </c>
      <c r="AX362" s="1075">
        <f t="shared" si="209"/>
        <v>0</v>
      </c>
      <c r="AY362" s="2211">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09"/>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1075">
        <f t="shared" si="207"/>
        <v>0</v>
      </c>
      <c r="AW363" s="1075">
        <f t="shared" si="208"/>
        <v>0</v>
      </c>
      <c r="AX363" s="1075">
        <f t="shared" si="209"/>
        <v>0</v>
      </c>
      <c r="AY363" s="2211">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09"/>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1075">
        <f t="shared" si="207"/>
        <v>0</v>
      </c>
      <c r="AW364" s="1075">
        <f t="shared" si="208"/>
        <v>0</v>
      </c>
      <c r="AX364" s="1075">
        <f t="shared" si="209"/>
        <v>0</v>
      </c>
      <c r="AY364" s="2211">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09"/>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1075">
        <f t="shared" si="207"/>
        <v>0</v>
      </c>
      <c r="AW365" s="1075">
        <f t="shared" si="208"/>
        <v>0</v>
      </c>
      <c r="AX365" s="1075">
        <f t="shared" si="209"/>
        <v>0</v>
      </c>
      <c r="AY365" s="2211">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09"/>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1075">
        <f t="shared" si="207"/>
        <v>0</v>
      </c>
      <c r="AW366" s="1075">
        <f t="shared" si="208"/>
        <v>0</v>
      </c>
      <c r="AX366" s="1075">
        <f t="shared" si="209"/>
        <v>0</v>
      </c>
      <c r="AY366" s="2211">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09"/>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1075">
        <f t="shared" ref="AV367:AV397" si="236">A367</f>
        <v>0</v>
      </c>
      <c r="AW367" s="1075">
        <f t="shared" ref="AW367:AW397" si="237">B367</f>
        <v>0</v>
      </c>
      <c r="AX367" s="1075">
        <f t="shared" ref="AX367:AX397" si="238">C367</f>
        <v>0</v>
      </c>
      <c r="AY367" s="2211">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09"/>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1075">
        <f t="shared" si="236"/>
        <v>0</v>
      </c>
      <c r="AW368" s="1075">
        <f t="shared" si="237"/>
        <v>0</v>
      </c>
      <c r="AX368" s="1075">
        <f t="shared" si="238"/>
        <v>0</v>
      </c>
      <c r="AY368" s="2211">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09"/>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1075">
        <f t="shared" si="236"/>
        <v>0</v>
      </c>
      <c r="AW369" s="1075">
        <f t="shared" si="237"/>
        <v>0</v>
      </c>
      <c r="AX369" s="1075">
        <f t="shared" si="238"/>
        <v>0</v>
      </c>
      <c r="AY369" s="2211">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09"/>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1075">
        <f t="shared" si="236"/>
        <v>0</v>
      </c>
      <c r="AW370" s="1075">
        <f t="shared" si="237"/>
        <v>0</v>
      </c>
      <c r="AX370" s="1075">
        <f t="shared" si="238"/>
        <v>0</v>
      </c>
      <c r="AY370" s="2211">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09"/>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1075">
        <f t="shared" si="236"/>
        <v>0</v>
      </c>
      <c r="AW371" s="1075">
        <f t="shared" si="237"/>
        <v>0</v>
      </c>
      <c r="AX371" s="1075">
        <f t="shared" si="238"/>
        <v>0</v>
      </c>
      <c r="AY371" s="2211">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09"/>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1075">
        <f t="shared" si="236"/>
        <v>0</v>
      </c>
      <c r="AW372" s="1075">
        <f t="shared" si="237"/>
        <v>0</v>
      </c>
      <c r="AX372" s="1075">
        <f t="shared" si="238"/>
        <v>0</v>
      </c>
      <c r="AY372" s="2211">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09"/>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1075">
        <f t="shared" si="236"/>
        <v>0</v>
      </c>
      <c r="AW373" s="1075">
        <f t="shared" si="237"/>
        <v>0</v>
      </c>
      <c r="AX373" s="1075">
        <f t="shared" si="238"/>
        <v>0</v>
      </c>
      <c r="AY373" s="2211">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09"/>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1075">
        <f t="shared" si="236"/>
        <v>0</v>
      </c>
      <c r="AW374" s="1075">
        <f t="shared" si="237"/>
        <v>0</v>
      </c>
      <c r="AX374" s="1075">
        <f t="shared" si="238"/>
        <v>0</v>
      </c>
      <c r="AY374" s="2211">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09"/>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1075">
        <f t="shared" si="236"/>
        <v>0</v>
      </c>
      <c r="AW375" s="1075">
        <f t="shared" si="237"/>
        <v>0</v>
      </c>
      <c r="AX375" s="1075">
        <f t="shared" si="238"/>
        <v>0</v>
      </c>
      <c r="AY375" s="2211">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09"/>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1075">
        <f t="shared" si="236"/>
        <v>0</v>
      </c>
      <c r="AW376" s="1075">
        <f t="shared" si="237"/>
        <v>0</v>
      </c>
      <c r="AX376" s="1075">
        <f t="shared" si="238"/>
        <v>0</v>
      </c>
      <c r="AY376" s="2211">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09"/>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1075">
        <f t="shared" si="236"/>
        <v>0</v>
      </c>
      <c r="AW377" s="1075">
        <f t="shared" si="237"/>
        <v>0</v>
      </c>
      <c r="AX377" s="1075">
        <f t="shared" si="238"/>
        <v>0</v>
      </c>
      <c r="AY377" s="2211">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09"/>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1075">
        <f t="shared" si="236"/>
        <v>0</v>
      </c>
      <c r="AW378" s="1075">
        <f t="shared" si="237"/>
        <v>0</v>
      </c>
      <c r="AX378" s="1075">
        <f t="shared" si="238"/>
        <v>0</v>
      </c>
      <c r="AY378" s="2211">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09"/>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1075">
        <f t="shared" si="236"/>
        <v>0</v>
      </c>
      <c r="AW379" s="1075">
        <f t="shared" si="237"/>
        <v>0</v>
      </c>
      <c r="AX379" s="1075">
        <f t="shared" si="238"/>
        <v>0</v>
      </c>
      <c r="AY379" s="2211">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09"/>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1075">
        <f t="shared" si="236"/>
        <v>0</v>
      </c>
      <c r="AW380" s="1075">
        <f t="shared" si="237"/>
        <v>0</v>
      </c>
      <c r="AX380" s="1075">
        <f t="shared" si="238"/>
        <v>0</v>
      </c>
      <c r="AY380" s="2211">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09"/>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1075">
        <f t="shared" si="236"/>
        <v>0</v>
      </c>
      <c r="AW381" s="1075">
        <f t="shared" si="237"/>
        <v>0</v>
      </c>
      <c r="AX381" s="1075">
        <f t="shared" si="238"/>
        <v>0</v>
      </c>
      <c r="AY381" s="2211">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09"/>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1075">
        <f t="shared" si="236"/>
        <v>0</v>
      </c>
      <c r="AW382" s="1075">
        <f t="shared" si="237"/>
        <v>0</v>
      </c>
      <c r="AX382" s="1075">
        <f t="shared" si="238"/>
        <v>0</v>
      </c>
      <c r="AY382" s="2211">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09"/>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1075">
        <f t="shared" si="236"/>
        <v>0</v>
      </c>
      <c r="AW383" s="1075">
        <f t="shared" si="237"/>
        <v>0</v>
      </c>
      <c r="AX383" s="1075">
        <f t="shared" si="238"/>
        <v>0</v>
      </c>
      <c r="AY383" s="2211">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09"/>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1075">
        <f t="shared" si="236"/>
        <v>0</v>
      </c>
      <c r="AW384" s="1075">
        <f t="shared" si="237"/>
        <v>0</v>
      </c>
      <c r="AX384" s="1075">
        <f t="shared" si="238"/>
        <v>0</v>
      </c>
      <c r="AY384" s="2211">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09"/>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1075">
        <f t="shared" si="236"/>
        <v>0</v>
      </c>
      <c r="AW385" s="1075">
        <f t="shared" si="237"/>
        <v>0</v>
      </c>
      <c r="AX385" s="1075">
        <f t="shared" si="238"/>
        <v>0</v>
      </c>
      <c r="AY385" s="2211">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09"/>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1075">
        <f t="shared" si="236"/>
        <v>0</v>
      </c>
      <c r="AW386" s="1075">
        <f t="shared" si="237"/>
        <v>0</v>
      </c>
      <c r="AX386" s="1075">
        <f t="shared" si="238"/>
        <v>0</v>
      </c>
      <c r="AY386" s="2211">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09"/>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1075">
        <f t="shared" si="236"/>
        <v>0</v>
      </c>
      <c r="AW387" s="1075">
        <f t="shared" si="237"/>
        <v>0</v>
      </c>
      <c r="AX387" s="1075">
        <f t="shared" si="238"/>
        <v>0</v>
      </c>
      <c r="AY387" s="2211">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09"/>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1075">
        <f t="shared" si="236"/>
        <v>0</v>
      </c>
      <c r="AW388" s="1075">
        <f t="shared" si="237"/>
        <v>0</v>
      </c>
      <c r="AX388" s="1075">
        <f t="shared" si="238"/>
        <v>0</v>
      </c>
      <c r="AY388" s="2211">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09"/>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1075">
        <f t="shared" si="236"/>
        <v>0</v>
      </c>
      <c r="AW389" s="1075">
        <f t="shared" si="237"/>
        <v>0</v>
      </c>
      <c r="AX389" s="1075">
        <f t="shared" si="238"/>
        <v>0</v>
      </c>
      <c r="AY389" s="2211">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09"/>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1075">
        <f t="shared" si="236"/>
        <v>0</v>
      </c>
      <c r="AW390" s="1075">
        <f t="shared" si="237"/>
        <v>0</v>
      </c>
      <c r="AX390" s="1075">
        <f t="shared" si="238"/>
        <v>0</v>
      </c>
      <c r="AY390" s="2211">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09"/>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1075">
        <f t="shared" si="236"/>
        <v>0</v>
      </c>
      <c r="AW391" s="1075">
        <f t="shared" si="237"/>
        <v>0</v>
      </c>
      <c r="AX391" s="1075">
        <f t="shared" si="238"/>
        <v>0</v>
      </c>
      <c r="AY391" s="2211">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09"/>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1075">
        <f t="shared" si="236"/>
        <v>0</v>
      </c>
      <c r="AW392" s="1075">
        <f t="shared" si="237"/>
        <v>0</v>
      </c>
      <c r="AX392" s="1075">
        <f t="shared" si="238"/>
        <v>0</v>
      </c>
      <c r="AY392" s="2211">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09"/>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1075">
        <f t="shared" si="236"/>
        <v>0</v>
      </c>
      <c r="AW393" s="1075">
        <f t="shared" si="237"/>
        <v>0</v>
      </c>
      <c r="AX393" s="1075">
        <f t="shared" si="238"/>
        <v>0</v>
      </c>
      <c r="AY393" s="2211">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09"/>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1075">
        <f t="shared" si="236"/>
        <v>0</v>
      </c>
      <c r="AW394" s="1075">
        <f t="shared" si="237"/>
        <v>0</v>
      </c>
      <c r="AX394" s="1075">
        <f t="shared" si="238"/>
        <v>0</v>
      </c>
      <c r="AY394" s="2211">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09"/>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1075">
        <f t="shared" si="236"/>
        <v>0</v>
      </c>
      <c r="AW395" s="1075">
        <f t="shared" si="237"/>
        <v>0</v>
      </c>
      <c r="AX395" s="1075">
        <f t="shared" si="238"/>
        <v>0</v>
      </c>
      <c r="AY395" s="2211">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09"/>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1075">
        <f t="shared" si="236"/>
        <v>0</v>
      </c>
      <c r="AW396" s="1075">
        <f t="shared" si="237"/>
        <v>0</v>
      </c>
      <c r="AX396" s="1075">
        <f t="shared" si="238"/>
        <v>0</v>
      </c>
      <c r="AY396" s="2211">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09"/>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1075">
        <f t="shared" si="236"/>
        <v>0</v>
      </c>
      <c r="AW397" s="1075">
        <f t="shared" si="237"/>
        <v>0</v>
      </c>
      <c r="AX397" s="1075">
        <f t="shared" si="238"/>
        <v>0</v>
      </c>
      <c r="AY397" s="2211">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09"/>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1075">
        <f t="shared" ref="AV398:AV492" si="243">A398</f>
        <v>0</v>
      </c>
      <c r="AW398" s="1075">
        <f t="shared" ref="AW398:AW492" si="244">B398</f>
        <v>0</v>
      </c>
      <c r="AX398" s="1075">
        <f t="shared" ref="AX398:AX492" si="245">C398</f>
        <v>0</v>
      </c>
      <c r="AY398" s="2211">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09"/>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1075">
        <f t="shared" si="243"/>
        <v>0</v>
      </c>
      <c r="AW399" s="1075">
        <f t="shared" si="244"/>
        <v>0</v>
      </c>
      <c r="AX399" s="1075">
        <f t="shared" si="245"/>
        <v>0</v>
      </c>
      <c r="AY399" s="2211">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09"/>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1075">
        <f t="shared" si="243"/>
        <v>0</v>
      </c>
      <c r="AW400" s="1075">
        <f t="shared" si="244"/>
        <v>0</v>
      </c>
      <c r="AX400" s="1075">
        <f t="shared" si="245"/>
        <v>0</v>
      </c>
      <c r="AY400" s="2211">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09"/>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1075">
        <f t="shared" si="243"/>
        <v>0</v>
      </c>
      <c r="AW401" s="1075">
        <f t="shared" si="244"/>
        <v>0</v>
      </c>
      <c r="AX401" s="1075">
        <f t="shared" si="245"/>
        <v>0</v>
      </c>
      <c r="AY401" s="2211">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09"/>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1075">
        <f t="shared" si="243"/>
        <v>0</v>
      </c>
      <c r="AW402" s="1075">
        <f t="shared" si="244"/>
        <v>0</v>
      </c>
      <c r="AX402" s="1075">
        <f t="shared" si="245"/>
        <v>0</v>
      </c>
      <c r="AY402" s="2211">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09"/>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1075">
        <f t="shared" si="243"/>
        <v>0</v>
      </c>
      <c r="AW403" s="1075">
        <f t="shared" si="244"/>
        <v>0</v>
      </c>
      <c r="AX403" s="1075">
        <f t="shared" si="245"/>
        <v>0</v>
      </c>
      <c r="AY403" s="2211">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09"/>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1075">
        <f t="shared" si="243"/>
        <v>0</v>
      </c>
      <c r="AW404" s="1075">
        <f t="shared" si="244"/>
        <v>0</v>
      </c>
      <c r="AX404" s="1075">
        <f t="shared" si="245"/>
        <v>0</v>
      </c>
      <c r="AY404" s="2211">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09"/>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1075">
        <f t="shared" si="243"/>
        <v>0</v>
      </c>
      <c r="AW405" s="1075">
        <f t="shared" si="244"/>
        <v>0</v>
      </c>
      <c r="AX405" s="1075">
        <f t="shared" si="245"/>
        <v>0</v>
      </c>
      <c r="AY405" s="2211">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09"/>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1075">
        <f t="shared" si="243"/>
        <v>0</v>
      </c>
      <c r="AW406" s="1075">
        <f t="shared" si="244"/>
        <v>0</v>
      </c>
      <c r="AX406" s="1075">
        <f t="shared" si="245"/>
        <v>0</v>
      </c>
      <c r="AY406" s="2211">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09"/>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1075">
        <f t="shared" si="243"/>
        <v>0</v>
      </c>
      <c r="AW407" s="1075">
        <f t="shared" si="244"/>
        <v>0</v>
      </c>
      <c r="AX407" s="1075">
        <f t="shared" si="245"/>
        <v>0</v>
      </c>
      <c r="AY407" s="2211">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09"/>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1075">
        <f t="shared" si="243"/>
        <v>0</v>
      </c>
      <c r="AW408" s="1075">
        <f t="shared" si="244"/>
        <v>0</v>
      </c>
      <c r="AX408" s="1075">
        <f t="shared" si="245"/>
        <v>0</v>
      </c>
      <c r="AY408" s="2211">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09"/>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1075">
        <f t="shared" si="243"/>
        <v>0</v>
      </c>
      <c r="AW409" s="1075">
        <f t="shared" si="244"/>
        <v>0</v>
      </c>
      <c r="AX409" s="1075">
        <f t="shared" si="245"/>
        <v>0</v>
      </c>
      <c r="AY409" s="2211">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09"/>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1075">
        <f t="shared" si="243"/>
        <v>0</v>
      </c>
      <c r="AW410" s="1075">
        <f t="shared" si="244"/>
        <v>0</v>
      </c>
      <c r="AX410" s="1075">
        <f t="shared" si="245"/>
        <v>0</v>
      </c>
      <c r="AY410" s="2211">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09"/>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1075">
        <f t="shared" si="243"/>
        <v>0</v>
      </c>
      <c r="AW411" s="1075">
        <f t="shared" si="244"/>
        <v>0</v>
      </c>
      <c r="AX411" s="1075">
        <f t="shared" si="245"/>
        <v>0</v>
      </c>
      <c r="AY411" s="2211">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09"/>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1075">
        <f t="shared" si="243"/>
        <v>0</v>
      </c>
      <c r="AW412" s="1075">
        <f t="shared" si="244"/>
        <v>0</v>
      </c>
      <c r="AX412" s="1075">
        <f t="shared" si="245"/>
        <v>0</v>
      </c>
      <c r="AY412" s="2211">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09"/>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1075">
        <f t="shared" si="243"/>
        <v>0</v>
      </c>
      <c r="AW413" s="1075">
        <f t="shared" si="244"/>
        <v>0</v>
      </c>
      <c r="AX413" s="1075">
        <f t="shared" si="245"/>
        <v>0</v>
      </c>
      <c r="AY413" s="2211">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09"/>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1075">
        <f t="shared" si="243"/>
        <v>0</v>
      </c>
      <c r="AW414" s="1075">
        <f t="shared" si="244"/>
        <v>0</v>
      </c>
      <c r="AX414" s="1075">
        <f t="shared" si="245"/>
        <v>0</v>
      </c>
      <c r="AY414" s="2211">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09"/>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1075">
        <f t="shared" si="243"/>
        <v>0</v>
      </c>
      <c r="AW415" s="1075">
        <f t="shared" si="244"/>
        <v>0</v>
      </c>
      <c r="AX415" s="1075">
        <f t="shared" si="245"/>
        <v>0</v>
      </c>
      <c r="AY415" s="2211">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09"/>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1075">
        <f t="shared" si="243"/>
        <v>0</v>
      </c>
      <c r="AW416" s="1075">
        <f t="shared" si="244"/>
        <v>0</v>
      </c>
      <c r="AX416" s="1075">
        <f t="shared" si="245"/>
        <v>0</v>
      </c>
      <c r="AY416" s="2211">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09"/>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1075">
        <f t="shared" si="243"/>
        <v>0</v>
      </c>
      <c r="AW417" s="1075">
        <f t="shared" si="244"/>
        <v>0</v>
      </c>
      <c r="AX417" s="1075">
        <f t="shared" si="245"/>
        <v>0</v>
      </c>
      <c r="AY417" s="2211">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09"/>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1075">
        <f t="shared" si="243"/>
        <v>0</v>
      </c>
      <c r="AW418" s="1075">
        <f t="shared" si="244"/>
        <v>0</v>
      </c>
      <c r="AX418" s="1075">
        <f t="shared" si="245"/>
        <v>0</v>
      </c>
      <c r="AY418" s="2211">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09"/>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1075">
        <f t="shared" si="243"/>
        <v>0</v>
      </c>
      <c r="AW419" s="1075">
        <f t="shared" si="244"/>
        <v>0</v>
      </c>
      <c r="AX419" s="1075">
        <f t="shared" si="245"/>
        <v>0</v>
      </c>
      <c r="AY419" s="2211">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09"/>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1075">
        <f t="shared" si="243"/>
        <v>0</v>
      </c>
      <c r="AW420" s="1075">
        <f t="shared" si="244"/>
        <v>0</v>
      </c>
      <c r="AX420" s="1075">
        <f t="shared" si="245"/>
        <v>0</v>
      </c>
      <c r="AY420" s="2211">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09"/>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1075">
        <f t="shared" si="243"/>
        <v>0</v>
      </c>
      <c r="AW421" s="1075">
        <f t="shared" si="244"/>
        <v>0</v>
      </c>
      <c r="AX421" s="1075">
        <f t="shared" si="245"/>
        <v>0</v>
      </c>
      <c r="AY421" s="2211">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09"/>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1075">
        <f t="shared" si="243"/>
        <v>0</v>
      </c>
      <c r="AW422" s="1075">
        <f t="shared" si="244"/>
        <v>0</v>
      </c>
      <c r="AX422" s="1075">
        <f t="shared" si="245"/>
        <v>0</v>
      </c>
      <c r="AY422" s="2211">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09"/>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1075">
        <f t="shared" si="243"/>
        <v>0</v>
      </c>
      <c r="AW423" s="1075">
        <f t="shared" si="244"/>
        <v>0</v>
      </c>
      <c r="AX423" s="1075">
        <f t="shared" si="245"/>
        <v>0</v>
      </c>
      <c r="AY423" s="2211">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09"/>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1075">
        <f t="shared" si="243"/>
        <v>0</v>
      </c>
      <c r="AW424" s="1075">
        <f t="shared" si="244"/>
        <v>0</v>
      </c>
      <c r="AX424" s="1075">
        <f t="shared" si="245"/>
        <v>0</v>
      </c>
      <c r="AY424" s="2211">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09"/>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1075">
        <f t="shared" si="243"/>
        <v>0</v>
      </c>
      <c r="AW425" s="1075">
        <f t="shared" si="244"/>
        <v>0</v>
      </c>
      <c r="AX425" s="1075">
        <f t="shared" si="245"/>
        <v>0</v>
      </c>
      <c r="AY425" s="2211">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09"/>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1075">
        <f t="shared" si="243"/>
        <v>0</v>
      </c>
      <c r="AW426" s="1075">
        <f t="shared" si="244"/>
        <v>0</v>
      </c>
      <c r="AX426" s="1075">
        <f t="shared" si="245"/>
        <v>0</v>
      </c>
      <c r="AY426" s="2211">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09"/>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1075">
        <f t="shared" si="243"/>
        <v>0</v>
      </c>
      <c r="AW427" s="1075">
        <f t="shared" si="244"/>
        <v>0</v>
      </c>
      <c r="AX427" s="1075">
        <f t="shared" si="245"/>
        <v>0</v>
      </c>
      <c r="AY427" s="2211">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09"/>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1075">
        <f t="shared" si="243"/>
        <v>0</v>
      </c>
      <c r="AW428" s="1075">
        <f t="shared" si="244"/>
        <v>0</v>
      </c>
      <c r="AX428" s="1075">
        <f t="shared" si="245"/>
        <v>0</v>
      </c>
      <c r="AY428" s="2211">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09"/>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1075">
        <f t="shared" si="243"/>
        <v>0</v>
      </c>
      <c r="AW429" s="1075">
        <f t="shared" si="244"/>
        <v>0</v>
      </c>
      <c r="AX429" s="1075">
        <f t="shared" si="245"/>
        <v>0</v>
      </c>
      <c r="AY429" s="2211">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09"/>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1075">
        <f t="shared" si="243"/>
        <v>0</v>
      </c>
      <c r="AW430" s="1075">
        <f t="shared" si="244"/>
        <v>0</v>
      </c>
      <c r="AX430" s="1075">
        <f t="shared" si="245"/>
        <v>0</v>
      </c>
      <c r="AY430" s="2211">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09"/>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1075">
        <f t="shared" si="243"/>
        <v>0</v>
      </c>
      <c r="AW431" s="1075">
        <f t="shared" si="244"/>
        <v>0</v>
      </c>
      <c r="AX431" s="1075">
        <f t="shared" si="245"/>
        <v>0</v>
      </c>
      <c r="AY431" s="2211">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09"/>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1075">
        <f t="shared" si="243"/>
        <v>0</v>
      </c>
      <c r="AW432" s="1075">
        <f t="shared" si="244"/>
        <v>0</v>
      </c>
      <c r="AX432" s="1075">
        <f t="shared" si="245"/>
        <v>0</v>
      </c>
      <c r="AY432" s="2211">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09"/>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1075">
        <f t="shared" si="243"/>
        <v>0</v>
      </c>
      <c r="AW433" s="1075">
        <f t="shared" si="244"/>
        <v>0</v>
      </c>
      <c r="AX433" s="1075">
        <f t="shared" si="245"/>
        <v>0</v>
      </c>
      <c r="AY433" s="2211">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09"/>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1075">
        <f t="shared" si="243"/>
        <v>0</v>
      </c>
      <c r="AW434" s="1075">
        <f t="shared" si="244"/>
        <v>0</v>
      </c>
      <c r="AX434" s="1075">
        <f t="shared" si="245"/>
        <v>0</v>
      </c>
      <c r="AY434" s="2211">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09"/>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1075">
        <f t="shared" si="243"/>
        <v>0</v>
      </c>
      <c r="AW435" s="1075">
        <f t="shared" si="244"/>
        <v>0</v>
      </c>
      <c r="AX435" s="1075">
        <f t="shared" si="245"/>
        <v>0</v>
      </c>
      <c r="AY435" s="2211">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09"/>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1075">
        <f t="shared" si="243"/>
        <v>0</v>
      </c>
      <c r="AW436" s="1075">
        <f t="shared" si="244"/>
        <v>0</v>
      </c>
      <c r="AX436" s="1075">
        <f t="shared" si="245"/>
        <v>0</v>
      </c>
      <c r="AY436" s="2211">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09"/>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1075">
        <f t="shared" si="243"/>
        <v>0</v>
      </c>
      <c r="AW437" s="1075">
        <f t="shared" si="244"/>
        <v>0</v>
      </c>
      <c r="AX437" s="1075">
        <f t="shared" si="245"/>
        <v>0</v>
      </c>
      <c r="AY437" s="2211">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09"/>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1075">
        <f t="shared" si="243"/>
        <v>0</v>
      </c>
      <c r="AW438" s="1075">
        <f t="shared" si="244"/>
        <v>0</v>
      </c>
      <c r="AX438" s="1075">
        <f t="shared" si="245"/>
        <v>0</v>
      </c>
      <c r="AY438" s="2211">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09"/>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1075">
        <f t="shared" si="243"/>
        <v>0</v>
      </c>
      <c r="AW439" s="1075">
        <f t="shared" si="244"/>
        <v>0</v>
      </c>
      <c r="AX439" s="1075">
        <f t="shared" si="245"/>
        <v>0</v>
      </c>
      <c r="AY439" s="2211">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09"/>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1075">
        <f t="shared" si="243"/>
        <v>0</v>
      </c>
      <c r="AW440" s="1075">
        <f t="shared" si="244"/>
        <v>0</v>
      </c>
      <c r="AX440" s="1075">
        <f t="shared" si="245"/>
        <v>0</v>
      </c>
      <c r="AY440" s="2211">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09"/>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1075">
        <f t="shared" si="243"/>
        <v>0</v>
      </c>
      <c r="AW441" s="1075">
        <f t="shared" si="244"/>
        <v>0</v>
      </c>
      <c r="AX441" s="1075">
        <f t="shared" si="245"/>
        <v>0</v>
      </c>
      <c r="AY441" s="2211">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09"/>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1075">
        <f t="shared" si="243"/>
        <v>0</v>
      </c>
      <c r="AW442" s="1075">
        <f t="shared" si="244"/>
        <v>0</v>
      </c>
      <c r="AX442" s="1075">
        <f t="shared" si="245"/>
        <v>0</v>
      </c>
      <c r="AY442" s="2211">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09"/>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1075">
        <f t="shared" si="243"/>
        <v>0</v>
      </c>
      <c r="AW443" s="1075">
        <f t="shared" si="244"/>
        <v>0</v>
      </c>
      <c r="AX443" s="1075">
        <f t="shared" si="245"/>
        <v>0</v>
      </c>
      <c r="AY443" s="2211">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09"/>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1075">
        <f t="shared" si="243"/>
        <v>0</v>
      </c>
      <c r="AW444" s="1075">
        <f t="shared" si="244"/>
        <v>0</v>
      </c>
      <c r="AX444" s="1075">
        <f t="shared" si="245"/>
        <v>0</v>
      </c>
      <c r="AY444" s="2211">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09"/>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1075">
        <f t="shared" si="243"/>
        <v>0</v>
      </c>
      <c r="AW445" s="1075">
        <f t="shared" si="244"/>
        <v>0</v>
      </c>
      <c r="AX445" s="1075">
        <f t="shared" si="245"/>
        <v>0</v>
      </c>
      <c r="AY445" s="2211">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09"/>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1075">
        <f t="shared" si="243"/>
        <v>0</v>
      </c>
      <c r="AW446" s="1075">
        <f t="shared" si="244"/>
        <v>0</v>
      </c>
      <c r="AX446" s="1075">
        <f t="shared" si="245"/>
        <v>0</v>
      </c>
      <c r="AY446" s="2211">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09"/>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1075">
        <f t="shared" si="243"/>
        <v>0</v>
      </c>
      <c r="AW447" s="1075">
        <f t="shared" si="244"/>
        <v>0</v>
      </c>
      <c r="AX447" s="1075">
        <f t="shared" si="245"/>
        <v>0</v>
      </c>
      <c r="AY447" s="2211">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09"/>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1075">
        <f t="shared" si="243"/>
        <v>0</v>
      </c>
      <c r="AW448" s="1075">
        <f t="shared" si="244"/>
        <v>0</v>
      </c>
      <c r="AX448" s="1075">
        <f t="shared" si="245"/>
        <v>0</v>
      </c>
      <c r="AY448" s="2211">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09"/>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1075">
        <f t="shared" si="243"/>
        <v>0</v>
      </c>
      <c r="AW449" s="1075">
        <f t="shared" si="244"/>
        <v>0</v>
      </c>
      <c r="AX449" s="1075">
        <f t="shared" si="245"/>
        <v>0</v>
      </c>
      <c r="AY449" s="2211">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09"/>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1075">
        <f t="shared" si="243"/>
        <v>0</v>
      </c>
      <c r="AW450" s="1075">
        <f t="shared" si="244"/>
        <v>0</v>
      </c>
      <c r="AX450" s="1075">
        <f t="shared" si="245"/>
        <v>0</v>
      </c>
      <c r="AY450" s="2211">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09"/>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1075">
        <f t="shared" si="243"/>
        <v>0</v>
      </c>
      <c r="AW451" s="1075">
        <f t="shared" si="244"/>
        <v>0</v>
      </c>
      <c r="AX451" s="1075">
        <f t="shared" si="245"/>
        <v>0</v>
      </c>
      <c r="AY451" s="2211">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09"/>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1075">
        <f t="shared" si="243"/>
        <v>0</v>
      </c>
      <c r="AW452" s="1075">
        <f t="shared" si="244"/>
        <v>0</v>
      </c>
      <c r="AX452" s="1075">
        <f t="shared" si="245"/>
        <v>0</v>
      </c>
      <c r="AY452" s="2211">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09"/>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1075">
        <f t="shared" si="243"/>
        <v>0</v>
      </c>
      <c r="AW453" s="1075">
        <f t="shared" si="244"/>
        <v>0</v>
      </c>
      <c r="AX453" s="1075">
        <f t="shared" si="245"/>
        <v>0</v>
      </c>
      <c r="AY453" s="2211">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09"/>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1075">
        <f t="shared" si="243"/>
        <v>0</v>
      </c>
      <c r="AW454" s="1075">
        <f t="shared" si="244"/>
        <v>0</v>
      </c>
      <c r="AX454" s="1075">
        <f t="shared" si="245"/>
        <v>0</v>
      </c>
      <c r="AY454" s="2211">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09"/>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1075">
        <f t="shared" si="243"/>
        <v>0</v>
      </c>
      <c r="AW455" s="1075">
        <f t="shared" si="244"/>
        <v>0</v>
      </c>
      <c r="AX455" s="1075">
        <f t="shared" si="245"/>
        <v>0</v>
      </c>
      <c r="AY455" s="2211">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09"/>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1075">
        <f t="shared" si="243"/>
        <v>0</v>
      </c>
      <c r="AW456" s="1075">
        <f t="shared" si="244"/>
        <v>0</v>
      </c>
      <c r="AX456" s="1075">
        <f t="shared" si="245"/>
        <v>0</v>
      </c>
      <c r="AY456" s="2211">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09"/>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1075">
        <f t="shared" si="243"/>
        <v>0</v>
      </c>
      <c r="AW457" s="1075">
        <f t="shared" si="244"/>
        <v>0</v>
      </c>
      <c r="AX457" s="1075">
        <f t="shared" si="245"/>
        <v>0</v>
      </c>
      <c r="AY457" s="2211">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09"/>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1075">
        <f t="shared" si="243"/>
        <v>0</v>
      </c>
      <c r="AW458" s="1075">
        <f t="shared" si="244"/>
        <v>0</v>
      </c>
      <c r="AX458" s="1075">
        <f t="shared" si="245"/>
        <v>0</v>
      </c>
      <c r="AY458" s="2211">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09"/>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1075">
        <f t="shared" si="243"/>
        <v>0</v>
      </c>
      <c r="AW459" s="1075">
        <f t="shared" si="244"/>
        <v>0</v>
      </c>
      <c r="AX459" s="1075">
        <f t="shared" si="245"/>
        <v>0</v>
      </c>
      <c r="AY459" s="2211">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09"/>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1075">
        <f t="shared" si="243"/>
        <v>0</v>
      </c>
      <c r="AW460" s="1075">
        <f t="shared" si="244"/>
        <v>0</v>
      </c>
      <c r="AX460" s="1075">
        <f t="shared" si="245"/>
        <v>0</v>
      </c>
      <c r="AY460" s="2211">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09"/>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1075">
        <f t="shared" si="243"/>
        <v>0</v>
      </c>
      <c r="AW461" s="1075">
        <f t="shared" si="244"/>
        <v>0</v>
      </c>
      <c r="AX461" s="1075">
        <f t="shared" si="245"/>
        <v>0</v>
      </c>
      <c r="AY461" s="2211">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09"/>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1075">
        <f t="shared" si="243"/>
        <v>0</v>
      </c>
      <c r="AW462" s="1075">
        <f t="shared" si="244"/>
        <v>0</v>
      </c>
      <c r="AX462" s="1075">
        <f t="shared" si="245"/>
        <v>0</v>
      </c>
      <c r="AY462" s="2211">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09"/>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1075">
        <f t="shared" si="243"/>
        <v>0</v>
      </c>
      <c r="AW463" s="1075">
        <f t="shared" si="244"/>
        <v>0</v>
      </c>
      <c r="AX463" s="1075">
        <f t="shared" si="245"/>
        <v>0</v>
      </c>
      <c r="AY463" s="2211">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09"/>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1075">
        <f t="shared" si="243"/>
        <v>0</v>
      </c>
      <c r="AW464" s="1075">
        <f t="shared" si="244"/>
        <v>0</v>
      </c>
      <c r="AX464" s="1075">
        <f t="shared" si="245"/>
        <v>0</v>
      </c>
      <c r="AY464" s="2211">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09"/>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1075">
        <f t="shared" si="243"/>
        <v>0</v>
      </c>
      <c r="AW465" s="1075">
        <f t="shared" si="244"/>
        <v>0</v>
      </c>
      <c r="AX465" s="1075">
        <f t="shared" si="245"/>
        <v>0</v>
      </c>
      <c r="AY465" s="2211">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09"/>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1075">
        <f t="shared" si="243"/>
        <v>0</v>
      </c>
      <c r="AW466" s="1075">
        <f t="shared" si="244"/>
        <v>0</v>
      </c>
      <c r="AX466" s="1075">
        <f t="shared" si="245"/>
        <v>0</v>
      </c>
      <c r="AY466" s="2211">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09"/>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1075">
        <f t="shared" si="243"/>
        <v>0</v>
      </c>
      <c r="AW467" s="1075">
        <f t="shared" si="244"/>
        <v>0</v>
      </c>
      <c r="AX467" s="1075">
        <f t="shared" si="245"/>
        <v>0</v>
      </c>
      <c r="AY467" s="2211">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09"/>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1075">
        <f t="shared" si="243"/>
        <v>0</v>
      </c>
      <c r="AW468" s="1075">
        <f t="shared" si="244"/>
        <v>0</v>
      </c>
      <c r="AX468" s="1075">
        <f t="shared" si="245"/>
        <v>0</v>
      </c>
      <c r="AY468" s="2211">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09"/>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1075">
        <f t="shared" si="243"/>
        <v>0</v>
      </c>
      <c r="AW469" s="1075">
        <f t="shared" si="244"/>
        <v>0</v>
      </c>
      <c r="AX469" s="1075">
        <f t="shared" si="245"/>
        <v>0</v>
      </c>
      <c r="AY469" s="2211">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09"/>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1075">
        <f t="shared" si="243"/>
        <v>0</v>
      </c>
      <c r="AW470" s="1075">
        <f t="shared" si="244"/>
        <v>0</v>
      </c>
      <c r="AX470" s="1075">
        <f t="shared" si="245"/>
        <v>0</v>
      </c>
      <c r="AY470" s="2211">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09"/>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1075">
        <f t="shared" si="243"/>
        <v>0</v>
      </c>
      <c r="AW471" s="1075">
        <f t="shared" si="244"/>
        <v>0</v>
      </c>
      <c r="AX471" s="1075">
        <f t="shared" si="245"/>
        <v>0</v>
      </c>
      <c r="AY471" s="2211">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09"/>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1075">
        <f t="shared" si="243"/>
        <v>0</v>
      </c>
      <c r="AW472" s="1075">
        <f t="shared" si="244"/>
        <v>0</v>
      </c>
      <c r="AX472" s="1075">
        <f t="shared" si="245"/>
        <v>0</v>
      </c>
      <c r="AY472" s="2211">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09"/>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1075">
        <f t="shared" si="243"/>
        <v>0</v>
      </c>
      <c r="AW473" s="1075">
        <f t="shared" si="244"/>
        <v>0</v>
      </c>
      <c r="AX473" s="1075">
        <f t="shared" si="245"/>
        <v>0</v>
      </c>
      <c r="AY473" s="2211">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09"/>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1075">
        <f t="shared" si="243"/>
        <v>0</v>
      </c>
      <c r="AW474" s="1075">
        <f t="shared" si="244"/>
        <v>0</v>
      </c>
      <c r="AX474" s="1075">
        <f t="shared" si="245"/>
        <v>0</v>
      </c>
      <c r="AY474" s="2211">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09"/>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1075">
        <f t="shared" si="243"/>
        <v>0</v>
      </c>
      <c r="AW475" s="1075">
        <f t="shared" si="244"/>
        <v>0</v>
      </c>
      <c r="AX475" s="1075">
        <f t="shared" si="245"/>
        <v>0</v>
      </c>
      <c r="AY475" s="2211">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09"/>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1075">
        <f t="shared" si="243"/>
        <v>0</v>
      </c>
      <c r="AW476" s="1075">
        <f t="shared" si="244"/>
        <v>0</v>
      </c>
      <c r="AX476" s="1075">
        <f t="shared" si="245"/>
        <v>0</v>
      </c>
      <c r="AY476" s="2211">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09"/>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1075">
        <f t="shared" si="243"/>
        <v>0</v>
      </c>
      <c r="AW477" s="1075">
        <f t="shared" si="244"/>
        <v>0</v>
      </c>
      <c r="AX477" s="1075">
        <f t="shared" si="245"/>
        <v>0</v>
      </c>
      <c r="AY477" s="2211">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09"/>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1075">
        <f t="shared" si="243"/>
        <v>0</v>
      </c>
      <c r="AW478" s="1075">
        <f t="shared" si="244"/>
        <v>0</v>
      </c>
      <c r="AX478" s="1075">
        <f t="shared" si="245"/>
        <v>0</v>
      </c>
      <c r="AY478" s="2211">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09"/>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1075">
        <f t="shared" si="243"/>
        <v>0</v>
      </c>
      <c r="AW479" s="1075">
        <f t="shared" si="244"/>
        <v>0</v>
      </c>
      <c r="AX479" s="1075">
        <f t="shared" si="245"/>
        <v>0</v>
      </c>
      <c r="AY479" s="2211">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09"/>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1075">
        <f t="shared" si="243"/>
        <v>0</v>
      </c>
      <c r="AW480" s="1075">
        <f t="shared" si="244"/>
        <v>0</v>
      </c>
      <c r="AX480" s="1075">
        <f t="shared" si="245"/>
        <v>0</v>
      </c>
      <c r="AY480" s="2211">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09"/>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1075">
        <f t="shared" si="243"/>
        <v>0</v>
      </c>
      <c r="AW481" s="1075">
        <f t="shared" si="244"/>
        <v>0</v>
      </c>
      <c r="AX481" s="1075">
        <f t="shared" si="245"/>
        <v>0</v>
      </c>
      <c r="AY481" s="2211">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09"/>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1075">
        <f t="shared" si="243"/>
        <v>0</v>
      </c>
      <c r="AW482" s="1075">
        <f t="shared" si="244"/>
        <v>0</v>
      </c>
      <c r="AX482" s="1075">
        <f t="shared" si="245"/>
        <v>0</v>
      </c>
      <c r="AY482" s="2211">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09"/>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1075">
        <f t="shared" si="243"/>
        <v>0</v>
      </c>
      <c r="AW483" s="1075">
        <f t="shared" si="244"/>
        <v>0</v>
      </c>
      <c r="AX483" s="1075">
        <f t="shared" si="245"/>
        <v>0</v>
      </c>
      <c r="AY483" s="2211">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09"/>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1075">
        <f t="shared" si="243"/>
        <v>0</v>
      </c>
      <c r="AW484" s="1075">
        <f t="shared" si="244"/>
        <v>0</v>
      </c>
      <c r="AX484" s="1075">
        <f t="shared" si="245"/>
        <v>0</v>
      </c>
      <c r="AY484" s="2211">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09"/>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1075">
        <f t="shared" si="243"/>
        <v>0</v>
      </c>
      <c r="AW485" s="1075">
        <f t="shared" si="244"/>
        <v>0</v>
      </c>
      <c r="AX485" s="1075">
        <f t="shared" si="245"/>
        <v>0</v>
      </c>
      <c r="AY485" s="2211">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09"/>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1075">
        <f t="shared" si="243"/>
        <v>0</v>
      </c>
      <c r="AW486" s="1075">
        <f t="shared" si="244"/>
        <v>0</v>
      </c>
      <c r="AX486" s="1075">
        <f t="shared" si="245"/>
        <v>0</v>
      </c>
      <c r="AY486" s="2211">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09"/>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1075">
        <f t="shared" si="243"/>
        <v>0</v>
      </c>
      <c r="AW487" s="1075">
        <f t="shared" si="244"/>
        <v>0</v>
      </c>
      <c r="AX487" s="1075">
        <f t="shared" si="245"/>
        <v>0</v>
      </c>
      <c r="AY487" s="2211">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09"/>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1075">
        <f t="shared" si="243"/>
        <v>0</v>
      </c>
      <c r="AW488" s="1075">
        <f t="shared" si="244"/>
        <v>0</v>
      </c>
      <c r="AX488" s="1075">
        <f t="shared" si="245"/>
        <v>0</v>
      </c>
      <c r="AY488" s="2211">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09"/>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1075">
        <f t="shared" si="243"/>
        <v>0</v>
      </c>
      <c r="AW489" s="1075">
        <f t="shared" si="244"/>
        <v>0</v>
      </c>
      <c r="AX489" s="1075">
        <f t="shared" si="245"/>
        <v>0</v>
      </c>
      <c r="AY489" s="2211">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09"/>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1075">
        <f t="shared" si="243"/>
        <v>0</v>
      </c>
      <c r="AW490" s="1075">
        <f t="shared" si="244"/>
        <v>0</v>
      </c>
      <c r="AX490" s="1075">
        <f t="shared" si="245"/>
        <v>0</v>
      </c>
      <c r="AY490" s="2211">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09"/>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1075">
        <f t="shared" si="243"/>
        <v>0</v>
      </c>
      <c r="AW491" s="1075">
        <f t="shared" si="244"/>
        <v>0</v>
      </c>
      <c r="AX491" s="1075">
        <f t="shared" si="245"/>
        <v>0</v>
      </c>
      <c r="AY491" s="2211">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09"/>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1075">
        <f t="shared" si="243"/>
        <v>0</v>
      </c>
      <c r="AW492" s="1075">
        <f t="shared" si="244"/>
        <v>0</v>
      </c>
      <c r="AX492" s="1075">
        <f t="shared" si="245"/>
        <v>0</v>
      </c>
      <c r="AY492" s="2211">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09"/>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1075">
        <f t="shared" ref="AV493:AV520" si="294">A493</f>
        <v>0</v>
      </c>
      <c r="AW493" s="1075">
        <f t="shared" ref="AW493:AW520" si="295">B493</f>
        <v>0</v>
      </c>
      <c r="AX493" s="1075">
        <f t="shared" ref="AX493:AX520" si="296">C493</f>
        <v>0</v>
      </c>
      <c r="AY493" s="2211">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09"/>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1075">
        <f t="shared" si="294"/>
        <v>0</v>
      </c>
      <c r="AW494" s="1075">
        <f t="shared" si="295"/>
        <v>0</v>
      </c>
      <c r="AX494" s="1075">
        <f t="shared" si="296"/>
        <v>0</v>
      </c>
      <c r="AY494" s="2211">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09"/>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1075">
        <f t="shared" si="294"/>
        <v>0</v>
      </c>
      <c r="AW495" s="1075">
        <f t="shared" si="295"/>
        <v>0</v>
      </c>
      <c r="AX495" s="1075">
        <f t="shared" si="296"/>
        <v>0</v>
      </c>
      <c r="AY495" s="2211">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09"/>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1075">
        <f t="shared" si="294"/>
        <v>0</v>
      </c>
      <c r="AW496" s="1075">
        <f t="shared" si="295"/>
        <v>0</v>
      </c>
      <c r="AX496" s="1075">
        <f t="shared" si="296"/>
        <v>0</v>
      </c>
      <c r="AY496" s="2211">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09"/>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1075">
        <f t="shared" si="294"/>
        <v>0</v>
      </c>
      <c r="AW497" s="1075">
        <f t="shared" si="295"/>
        <v>0</v>
      </c>
      <c r="AX497" s="1075">
        <f t="shared" si="296"/>
        <v>0</v>
      </c>
      <c r="AY497" s="2211">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09"/>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1075">
        <f t="shared" si="294"/>
        <v>0</v>
      </c>
      <c r="AW498" s="1075">
        <f t="shared" si="295"/>
        <v>0</v>
      </c>
      <c r="AX498" s="1075">
        <f t="shared" si="296"/>
        <v>0</v>
      </c>
      <c r="AY498" s="2211">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09"/>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1075">
        <f t="shared" si="294"/>
        <v>0</v>
      </c>
      <c r="AW499" s="1075">
        <f t="shared" si="295"/>
        <v>0</v>
      </c>
      <c r="AX499" s="1075">
        <f t="shared" si="296"/>
        <v>0</v>
      </c>
      <c r="AY499" s="2211">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09"/>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1075">
        <f t="shared" si="294"/>
        <v>0</v>
      </c>
      <c r="AW500" s="1075">
        <f t="shared" si="295"/>
        <v>0</v>
      </c>
      <c r="AX500" s="1075">
        <f t="shared" si="296"/>
        <v>0</v>
      </c>
      <c r="AY500" s="2211">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09"/>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1075">
        <f t="shared" si="294"/>
        <v>0</v>
      </c>
      <c r="AW501" s="1075">
        <f t="shared" si="295"/>
        <v>0</v>
      </c>
      <c r="AX501" s="1075">
        <f t="shared" si="296"/>
        <v>0</v>
      </c>
      <c r="AY501" s="2211">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09"/>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1075">
        <f t="shared" si="294"/>
        <v>0</v>
      </c>
      <c r="AW502" s="1075">
        <f t="shared" si="295"/>
        <v>0</v>
      </c>
      <c r="AX502" s="1075">
        <f t="shared" si="296"/>
        <v>0</v>
      </c>
      <c r="AY502" s="2211">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09"/>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1075">
        <f t="shared" si="294"/>
        <v>0</v>
      </c>
      <c r="AW503" s="1075">
        <f t="shared" si="295"/>
        <v>0</v>
      </c>
      <c r="AX503" s="1075">
        <f t="shared" si="296"/>
        <v>0</v>
      </c>
      <c r="AY503" s="2211">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09"/>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1075">
        <f t="shared" si="294"/>
        <v>0</v>
      </c>
      <c r="AW504" s="1075">
        <f t="shared" si="295"/>
        <v>0</v>
      </c>
      <c r="AX504" s="1075">
        <f t="shared" si="296"/>
        <v>0</v>
      </c>
      <c r="AY504" s="2211">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09"/>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1075">
        <f t="shared" si="294"/>
        <v>0</v>
      </c>
      <c r="AW505" s="1075">
        <f t="shared" si="295"/>
        <v>0</v>
      </c>
      <c r="AX505" s="1075">
        <f t="shared" si="296"/>
        <v>0</v>
      </c>
      <c r="AY505" s="2211">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09"/>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1075">
        <f t="shared" si="294"/>
        <v>0</v>
      </c>
      <c r="AW506" s="1075">
        <f t="shared" si="295"/>
        <v>0</v>
      </c>
      <c r="AX506" s="1075">
        <f t="shared" si="296"/>
        <v>0</v>
      </c>
      <c r="AY506" s="2211">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09"/>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1075">
        <f t="shared" si="294"/>
        <v>0</v>
      </c>
      <c r="AW507" s="1075">
        <f t="shared" si="295"/>
        <v>0</v>
      </c>
      <c r="AX507" s="1075">
        <f t="shared" si="296"/>
        <v>0</v>
      </c>
      <c r="AY507" s="2211">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09"/>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1075">
        <f t="shared" si="294"/>
        <v>0</v>
      </c>
      <c r="AW508" s="1075">
        <f t="shared" si="295"/>
        <v>0</v>
      </c>
      <c r="AX508" s="1075">
        <f t="shared" si="296"/>
        <v>0</v>
      </c>
      <c r="AY508" s="2211">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09"/>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1075">
        <f t="shared" si="294"/>
        <v>0</v>
      </c>
      <c r="AW509" s="1075">
        <f t="shared" si="295"/>
        <v>0</v>
      </c>
      <c r="AX509" s="1075">
        <f t="shared" si="296"/>
        <v>0</v>
      </c>
      <c r="AY509" s="2211">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09"/>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1075">
        <f t="shared" si="294"/>
        <v>0</v>
      </c>
      <c r="AW510" s="1075">
        <f t="shared" si="295"/>
        <v>0</v>
      </c>
      <c r="AX510" s="1075">
        <f t="shared" si="296"/>
        <v>0</v>
      </c>
      <c r="AY510" s="2211">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09"/>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1075">
        <f t="shared" si="294"/>
        <v>0</v>
      </c>
      <c r="AW511" s="1075">
        <f t="shared" si="295"/>
        <v>0</v>
      </c>
      <c r="AX511" s="1075">
        <f t="shared" si="296"/>
        <v>0</v>
      </c>
      <c r="AY511" s="2211">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09"/>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1075">
        <f t="shared" si="294"/>
        <v>0</v>
      </c>
      <c r="AW512" s="1075">
        <f t="shared" si="295"/>
        <v>0</v>
      </c>
      <c r="AX512" s="1075">
        <f t="shared" si="296"/>
        <v>0</v>
      </c>
      <c r="AY512" s="2211">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09"/>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1075">
        <f t="shared" si="294"/>
        <v>0</v>
      </c>
      <c r="AW513" s="1075">
        <f t="shared" si="295"/>
        <v>0</v>
      </c>
      <c r="AX513" s="1075">
        <f t="shared" si="296"/>
        <v>0</v>
      </c>
      <c r="AY513" s="2211">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09"/>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1075">
        <f t="shared" si="294"/>
        <v>0</v>
      </c>
      <c r="AW514" s="1075">
        <f t="shared" si="295"/>
        <v>0</v>
      </c>
      <c r="AX514" s="1075">
        <f t="shared" si="296"/>
        <v>0</v>
      </c>
      <c r="AY514" s="2211">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09"/>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1075">
        <f t="shared" si="294"/>
        <v>0</v>
      </c>
      <c r="AW515" s="1075">
        <f t="shared" si="295"/>
        <v>0</v>
      </c>
      <c r="AX515" s="1075">
        <f t="shared" si="296"/>
        <v>0</v>
      </c>
      <c r="AY515" s="2211">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09"/>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1075">
        <f t="shared" si="294"/>
        <v>0</v>
      </c>
      <c r="AW516" s="1075">
        <f t="shared" si="295"/>
        <v>0</v>
      </c>
      <c r="AX516" s="1075">
        <f t="shared" si="296"/>
        <v>0</v>
      </c>
      <c r="AY516" s="2211">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09"/>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1075">
        <f t="shared" si="294"/>
        <v>0</v>
      </c>
      <c r="AW517" s="1075">
        <f t="shared" si="295"/>
        <v>0</v>
      </c>
      <c r="AX517" s="1075">
        <f t="shared" si="296"/>
        <v>0</v>
      </c>
      <c r="AY517" s="2211">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09"/>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1075">
        <f t="shared" si="294"/>
        <v>0</v>
      </c>
      <c r="AW518" s="1075">
        <f t="shared" si="295"/>
        <v>0</v>
      </c>
      <c r="AX518" s="1075">
        <f t="shared" si="296"/>
        <v>0</v>
      </c>
      <c r="AY518" s="2211">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09"/>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1075">
        <f t="shared" si="294"/>
        <v>0</v>
      </c>
      <c r="AW519" s="1075">
        <f t="shared" si="295"/>
        <v>0</v>
      </c>
      <c r="AX519" s="1075">
        <f t="shared" si="296"/>
        <v>0</v>
      </c>
      <c r="AY519" s="2211">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09"/>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1075">
        <f t="shared" si="294"/>
        <v>0</v>
      </c>
      <c r="AW520" s="1075">
        <f t="shared" si="295"/>
        <v>0</v>
      </c>
      <c r="AX520" s="1075">
        <f t="shared" si="296"/>
        <v>0</v>
      </c>
      <c r="AY520" s="2211">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09"/>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1075">
        <f t="shared" ref="AV521:AV552" si="298">A521</f>
        <v>0</v>
      </c>
      <c r="AW521" s="1075">
        <f t="shared" ref="AW521:AW552" si="299">B521</f>
        <v>0</v>
      </c>
      <c r="AX521" s="1075">
        <f t="shared" ref="AX521:AX552" si="300">C521</f>
        <v>0</v>
      </c>
      <c r="AY521" s="2211">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09"/>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1075">
        <f t="shared" si="298"/>
        <v>0</v>
      </c>
      <c r="AW522" s="1075">
        <f t="shared" si="299"/>
        <v>0</v>
      </c>
      <c r="AX522" s="1075">
        <f t="shared" si="300"/>
        <v>0</v>
      </c>
      <c r="AY522" s="2211">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09"/>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1075">
        <f t="shared" si="298"/>
        <v>0</v>
      </c>
      <c r="AW523" s="1075">
        <f t="shared" si="299"/>
        <v>0</v>
      </c>
      <c r="AX523" s="1075">
        <f t="shared" si="300"/>
        <v>0</v>
      </c>
      <c r="AY523" s="2211">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09"/>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1075">
        <f t="shared" si="298"/>
        <v>0</v>
      </c>
      <c r="AW524" s="1075">
        <f t="shared" si="299"/>
        <v>0</v>
      </c>
      <c r="AX524" s="1075">
        <f t="shared" si="300"/>
        <v>0</v>
      </c>
      <c r="AY524" s="2211">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09"/>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1075">
        <f t="shared" si="298"/>
        <v>0</v>
      </c>
      <c r="AW525" s="1075">
        <f t="shared" si="299"/>
        <v>0</v>
      </c>
      <c r="AX525" s="1075">
        <f t="shared" si="300"/>
        <v>0</v>
      </c>
      <c r="AY525" s="2211">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09"/>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1075">
        <f t="shared" si="298"/>
        <v>0</v>
      </c>
      <c r="AW526" s="1075">
        <f t="shared" si="299"/>
        <v>0</v>
      </c>
      <c r="AX526" s="1075">
        <f t="shared" si="300"/>
        <v>0</v>
      </c>
      <c r="AY526" s="2211">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09"/>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1075">
        <f t="shared" si="298"/>
        <v>0</v>
      </c>
      <c r="AW527" s="1075">
        <f t="shared" si="299"/>
        <v>0</v>
      </c>
      <c r="AX527" s="1075">
        <f t="shared" si="300"/>
        <v>0</v>
      </c>
      <c r="AY527" s="2211">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09"/>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1075">
        <f t="shared" si="298"/>
        <v>0</v>
      </c>
      <c r="AW528" s="1075">
        <f t="shared" si="299"/>
        <v>0</v>
      </c>
      <c r="AX528" s="1075">
        <f t="shared" si="300"/>
        <v>0</v>
      </c>
      <c r="AY528" s="2211">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09"/>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1075">
        <f t="shared" si="298"/>
        <v>0</v>
      </c>
      <c r="AW529" s="1075">
        <f t="shared" si="299"/>
        <v>0</v>
      </c>
      <c r="AX529" s="1075">
        <f t="shared" si="300"/>
        <v>0</v>
      </c>
      <c r="AY529" s="2211">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09"/>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1075">
        <f t="shared" si="298"/>
        <v>0</v>
      </c>
      <c r="AW530" s="1075">
        <f t="shared" si="299"/>
        <v>0</v>
      </c>
      <c r="AX530" s="1075">
        <f t="shared" si="300"/>
        <v>0</v>
      </c>
      <c r="AY530" s="2211">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09"/>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1075">
        <f t="shared" si="298"/>
        <v>0</v>
      </c>
      <c r="AW531" s="1075">
        <f t="shared" si="299"/>
        <v>0</v>
      </c>
      <c r="AX531" s="1075">
        <f t="shared" si="300"/>
        <v>0</v>
      </c>
      <c r="AY531" s="2211">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09"/>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1075">
        <f t="shared" si="298"/>
        <v>0</v>
      </c>
      <c r="AW532" s="1075">
        <f t="shared" si="299"/>
        <v>0</v>
      </c>
      <c r="AX532" s="1075">
        <f t="shared" si="300"/>
        <v>0</v>
      </c>
      <c r="AY532" s="2211">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09"/>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1075">
        <f t="shared" si="298"/>
        <v>0</v>
      </c>
      <c r="AW533" s="1075">
        <f t="shared" si="299"/>
        <v>0</v>
      </c>
      <c r="AX533" s="1075">
        <f t="shared" si="300"/>
        <v>0</v>
      </c>
      <c r="AY533" s="2211">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09"/>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1075">
        <f t="shared" si="298"/>
        <v>0</v>
      </c>
      <c r="AW534" s="1075">
        <f t="shared" si="299"/>
        <v>0</v>
      </c>
      <c r="AX534" s="1075">
        <f t="shared" si="300"/>
        <v>0</v>
      </c>
      <c r="AY534" s="2211">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09"/>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1075">
        <f t="shared" si="298"/>
        <v>0</v>
      </c>
      <c r="AW535" s="1075">
        <f t="shared" si="299"/>
        <v>0</v>
      </c>
      <c r="AX535" s="1075">
        <f t="shared" si="300"/>
        <v>0</v>
      </c>
      <c r="AY535" s="2211">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09"/>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1075">
        <f t="shared" si="298"/>
        <v>0</v>
      </c>
      <c r="AW536" s="1075">
        <f t="shared" si="299"/>
        <v>0</v>
      </c>
      <c r="AX536" s="1075">
        <f t="shared" si="300"/>
        <v>0</v>
      </c>
      <c r="AY536" s="2211">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09"/>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1075">
        <f t="shared" si="298"/>
        <v>0</v>
      </c>
      <c r="AW537" s="1075">
        <f t="shared" si="299"/>
        <v>0</v>
      </c>
      <c r="AX537" s="1075">
        <f t="shared" si="300"/>
        <v>0</v>
      </c>
      <c r="AY537" s="2211">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09"/>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1075">
        <f t="shared" si="298"/>
        <v>0</v>
      </c>
      <c r="AW538" s="1075">
        <f t="shared" si="299"/>
        <v>0</v>
      </c>
      <c r="AX538" s="1075">
        <f t="shared" si="300"/>
        <v>0</v>
      </c>
      <c r="AY538" s="2211">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09"/>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1075">
        <f t="shared" si="298"/>
        <v>0</v>
      </c>
      <c r="AW539" s="1075">
        <f t="shared" si="299"/>
        <v>0</v>
      </c>
      <c r="AX539" s="1075">
        <f t="shared" si="300"/>
        <v>0</v>
      </c>
      <c r="AY539" s="2211">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09"/>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1075">
        <f t="shared" si="298"/>
        <v>0</v>
      </c>
      <c r="AW540" s="1075">
        <f t="shared" si="299"/>
        <v>0</v>
      </c>
      <c r="AX540" s="1075">
        <f t="shared" si="300"/>
        <v>0</v>
      </c>
      <c r="AY540" s="2211">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09"/>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1075">
        <f t="shared" si="298"/>
        <v>0</v>
      </c>
      <c r="AW541" s="1075">
        <f t="shared" si="299"/>
        <v>0</v>
      </c>
      <c r="AX541" s="1075">
        <f t="shared" si="300"/>
        <v>0</v>
      </c>
      <c r="AY541" s="2211">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09"/>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1075">
        <f t="shared" si="298"/>
        <v>0</v>
      </c>
      <c r="AW542" s="1075">
        <f t="shared" si="299"/>
        <v>0</v>
      </c>
      <c r="AX542" s="1075">
        <f t="shared" si="300"/>
        <v>0</v>
      </c>
      <c r="AY542" s="2211">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09"/>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1075">
        <f t="shared" si="298"/>
        <v>0</v>
      </c>
      <c r="AW543" s="1075">
        <f t="shared" si="299"/>
        <v>0</v>
      </c>
      <c r="AX543" s="1075">
        <f t="shared" si="300"/>
        <v>0</v>
      </c>
      <c r="AY543" s="2211">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09"/>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1075">
        <f t="shared" si="298"/>
        <v>0</v>
      </c>
      <c r="AW544" s="1075">
        <f t="shared" si="299"/>
        <v>0</v>
      </c>
      <c r="AX544" s="1075">
        <f t="shared" si="300"/>
        <v>0</v>
      </c>
      <c r="AY544" s="2211">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09"/>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1075">
        <f t="shared" si="298"/>
        <v>0</v>
      </c>
      <c r="AW545" s="1075">
        <f t="shared" si="299"/>
        <v>0</v>
      </c>
      <c r="AX545" s="1075">
        <f t="shared" si="300"/>
        <v>0</v>
      </c>
      <c r="AY545" s="2211">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09"/>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1075">
        <f t="shared" si="298"/>
        <v>0</v>
      </c>
      <c r="AW546" s="1075">
        <f t="shared" si="299"/>
        <v>0</v>
      </c>
      <c r="AX546" s="1075">
        <f t="shared" si="300"/>
        <v>0</v>
      </c>
      <c r="AY546" s="2211">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09"/>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1075">
        <f t="shared" si="298"/>
        <v>0</v>
      </c>
      <c r="AW547" s="1075">
        <f t="shared" si="299"/>
        <v>0</v>
      </c>
      <c r="AX547" s="1075">
        <f t="shared" si="300"/>
        <v>0</v>
      </c>
      <c r="AY547" s="2211">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09"/>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1075">
        <f t="shared" si="298"/>
        <v>0</v>
      </c>
      <c r="AW548" s="1075">
        <f t="shared" si="299"/>
        <v>0</v>
      </c>
      <c r="AX548" s="1075">
        <f t="shared" si="300"/>
        <v>0</v>
      </c>
      <c r="AY548" s="2211">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09"/>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1075">
        <f t="shared" si="298"/>
        <v>0</v>
      </c>
      <c r="AW549" s="1075">
        <f t="shared" si="299"/>
        <v>0</v>
      </c>
      <c r="AX549" s="1075">
        <f t="shared" si="300"/>
        <v>0</v>
      </c>
      <c r="AY549" s="2211">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09"/>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1075">
        <f t="shared" si="298"/>
        <v>0</v>
      </c>
      <c r="AW550" s="1075">
        <f t="shared" si="299"/>
        <v>0</v>
      </c>
      <c r="AX550" s="1075">
        <f t="shared" si="300"/>
        <v>0</v>
      </c>
      <c r="AY550" s="2211">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09"/>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1075">
        <f t="shared" si="298"/>
        <v>0</v>
      </c>
      <c r="AW551" s="1075">
        <f t="shared" si="299"/>
        <v>0</v>
      </c>
      <c r="AX551" s="1075">
        <f t="shared" si="300"/>
        <v>0</v>
      </c>
      <c r="AY551" s="2211">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09"/>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1075">
        <f t="shared" si="298"/>
        <v>0</v>
      </c>
      <c r="AW552" s="1075">
        <f t="shared" si="299"/>
        <v>0</v>
      </c>
      <c r="AX552" s="1075">
        <f t="shared" si="300"/>
        <v>0</v>
      </c>
      <c r="AY552" s="2211">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09"/>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1075">
        <f t="shared" ref="AV553:AV587" si="330">A553</f>
        <v>0</v>
      </c>
      <c r="AW553" s="1075">
        <f t="shared" ref="AW553:AW587" si="331">B553</f>
        <v>0</v>
      </c>
      <c r="AX553" s="1075">
        <f t="shared" ref="AX553:AX587" si="332">C553</f>
        <v>0</v>
      </c>
      <c r="AY553" s="2211">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09"/>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1075">
        <f t="shared" si="330"/>
        <v>0</v>
      </c>
      <c r="AW554" s="1075">
        <f t="shared" si="331"/>
        <v>0</v>
      </c>
      <c r="AX554" s="1075">
        <f t="shared" si="332"/>
        <v>0</v>
      </c>
      <c r="AY554" s="2211">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09"/>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1075">
        <f t="shared" si="330"/>
        <v>0</v>
      </c>
      <c r="AW555" s="1075">
        <f t="shared" si="331"/>
        <v>0</v>
      </c>
      <c r="AX555" s="1075">
        <f t="shared" si="332"/>
        <v>0</v>
      </c>
      <c r="AY555" s="2211">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09"/>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1075">
        <f t="shared" si="330"/>
        <v>0</v>
      </c>
      <c r="AW556" s="1075">
        <f t="shared" si="331"/>
        <v>0</v>
      </c>
      <c r="AX556" s="1075">
        <f t="shared" si="332"/>
        <v>0</v>
      </c>
      <c r="AY556" s="2211">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09"/>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1075">
        <f t="shared" si="330"/>
        <v>0</v>
      </c>
      <c r="AW557" s="1075">
        <f t="shared" si="331"/>
        <v>0</v>
      </c>
      <c r="AX557" s="1075">
        <f t="shared" si="332"/>
        <v>0</v>
      </c>
      <c r="AY557" s="2211">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09"/>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1075">
        <f t="shared" si="330"/>
        <v>0</v>
      </c>
      <c r="AW558" s="1075">
        <f t="shared" si="331"/>
        <v>0</v>
      </c>
      <c r="AX558" s="1075">
        <f t="shared" si="332"/>
        <v>0</v>
      </c>
      <c r="AY558" s="2211">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09"/>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1075">
        <f t="shared" si="330"/>
        <v>0</v>
      </c>
      <c r="AW559" s="1075">
        <f t="shared" si="331"/>
        <v>0</v>
      </c>
      <c r="AX559" s="1075">
        <f t="shared" si="332"/>
        <v>0</v>
      </c>
      <c r="AY559" s="2211">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09"/>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1075">
        <f t="shared" si="330"/>
        <v>0</v>
      </c>
      <c r="AW560" s="1075">
        <f t="shared" si="331"/>
        <v>0</v>
      </c>
      <c r="AX560" s="1075">
        <f t="shared" si="332"/>
        <v>0</v>
      </c>
      <c r="AY560" s="2211">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09"/>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1075">
        <f t="shared" si="330"/>
        <v>0</v>
      </c>
      <c r="AW561" s="1075">
        <f t="shared" si="331"/>
        <v>0</v>
      </c>
      <c r="AX561" s="1075">
        <f t="shared" si="332"/>
        <v>0</v>
      </c>
      <c r="AY561" s="2211">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09"/>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1075">
        <f t="shared" si="330"/>
        <v>0</v>
      </c>
      <c r="AW562" s="1075">
        <f t="shared" si="331"/>
        <v>0</v>
      </c>
      <c r="AX562" s="1075">
        <f t="shared" si="332"/>
        <v>0</v>
      </c>
      <c r="AY562" s="2211">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09"/>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1075">
        <f t="shared" si="330"/>
        <v>0</v>
      </c>
      <c r="AW563" s="1075">
        <f t="shared" si="331"/>
        <v>0</v>
      </c>
      <c r="AX563" s="1075">
        <f t="shared" si="332"/>
        <v>0</v>
      </c>
      <c r="AY563" s="2211">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09"/>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1075">
        <f t="shared" si="330"/>
        <v>0</v>
      </c>
      <c r="AW564" s="1075">
        <f t="shared" si="331"/>
        <v>0</v>
      </c>
      <c r="AX564" s="1075">
        <f t="shared" si="332"/>
        <v>0</v>
      </c>
      <c r="AY564" s="2211">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09"/>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1075">
        <f t="shared" si="330"/>
        <v>0</v>
      </c>
      <c r="AW565" s="1075">
        <f t="shared" si="331"/>
        <v>0</v>
      </c>
      <c r="AX565" s="1075">
        <f t="shared" si="332"/>
        <v>0</v>
      </c>
      <c r="AY565" s="2211">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09"/>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1075">
        <f t="shared" si="330"/>
        <v>0</v>
      </c>
      <c r="AW566" s="1075">
        <f t="shared" si="331"/>
        <v>0</v>
      </c>
      <c r="AX566" s="1075">
        <f t="shared" si="332"/>
        <v>0</v>
      </c>
      <c r="AY566" s="2211">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09"/>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1075">
        <f t="shared" si="330"/>
        <v>0</v>
      </c>
      <c r="AW567" s="1075">
        <f t="shared" si="331"/>
        <v>0</v>
      </c>
      <c r="AX567" s="1075">
        <f t="shared" si="332"/>
        <v>0</v>
      </c>
      <c r="AY567" s="2211">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09"/>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1075">
        <f t="shared" si="330"/>
        <v>0</v>
      </c>
      <c r="AW568" s="1075">
        <f t="shared" si="331"/>
        <v>0</v>
      </c>
      <c r="AX568" s="1075">
        <f t="shared" si="332"/>
        <v>0</v>
      </c>
      <c r="AY568" s="2211">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09"/>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1075">
        <f t="shared" si="330"/>
        <v>0</v>
      </c>
      <c r="AW569" s="1075">
        <f t="shared" si="331"/>
        <v>0</v>
      </c>
      <c r="AX569" s="1075">
        <f t="shared" si="332"/>
        <v>0</v>
      </c>
      <c r="AY569" s="2211">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09"/>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1075">
        <f t="shared" si="330"/>
        <v>0</v>
      </c>
      <c r="AW570" s="1075">
        <f t="shared" si="331"/>
        <v>0</v>
      </c>
      <c r="AX570" s="1075">
        <f t="shared" si="332"/>
        <v>0</v>
      </c>
      <c r="AY570" s="2211">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09"/>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1075">
        <f t="shared" si="330"/>
        <v>0</v>
      </c>
      <c r="AW571" s="1075">
        <f t="shared" si="331"/>
        <v>0</v>
      </c>
      <c r="AX571" s="1075">
        <f t="shared" si="332"/>
        <v>0</v>
      </c>
      <c r="AY571" s="2211">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09"/>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1075">
        <f t="shared" si="330"/>
        <v>0</v>
      </c>
      <c r="AW572" s="1075">
        <f t="shared" si="331"/>
        <v>0</v>
      </c>
      <c r="AX572" s="1075">
        <f t="shared" si="332"/>
        <v>0</v>
      </c>
      <c r="AY572" s="2211">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09"/>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1075">
        <f t="shared" si="330"/>
        <v>0</v>
      </c>
      <c r="AW573" s="1075">
        <f t="shared" si="331"/>
        <v>0</v>
      </c>
      <c r="AX573" s="1075">
        <f t="shared" si="332"/>
        <v>0</v>
      </c>
      <c r="AY573" s="2211">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09"/>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1075">
        <f t="shared" si="330"/>
        <v>0</v>
      </c>
      <c r="AW574" s="1075">
        <f t="shared" si="331"/>
        <v>0</v>
      </c>
      <c r="AX574" s="1075">
        <f t="shared" si="332"/>
        <v>0</v>
      </c>
      <c r="AY574" s="2211">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09"/>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1075">
        <f t="shared" si="330"/>
        <v>0</v>
      </c>
      <c r="AW575" s="1075">
        <f t="shared" si="331"/>
        <v>0</v>
      </c>
      <c r="AX575" s="1075">
        <f t="shared" si="332"/>
        <v>0</v>
      </c>
      <c r="AY575" s="2211">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09"/>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1075">
        <f t="shared" si="330"/>
        <v>0</v>
      </c>
      <c r="AW576" s="1075">
        <f t="shared" si="331"/>
        <v>0</v>
      </c>
      <c r="AX576" s="1075">
        <f t="shared" si="332"/>
        <v>0</v>
      </c>
      <c r="AY576" s="2211">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09"/>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1075">
        <f t="shared" si="330"/>
        <v>0</v>
      </c>
      <c r="AW577" s="1075">
        <f t="shared" si="331"/>
        <v>0</v>
      </c>
      <c r="AX577" s="1075">
        <f t="shared" si="332"/>
        <v>0</v>
      </c>
      <c r="AY577" s="2211">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09"/>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1075">
        <f t="shared" si="330"/>
        <v>0</v>
      </c>
      <c r="AW578" s="1075">
        <f t="shared" si="331"/>
        <v>0</v>
      </c>
      <c r="AX578" s="1075">
        <f t="shared" si="332"/>
        <v>0</v>
      </c>
      <c r="AY578" s="2211">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09"/>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1075">
        <f t="shared" si="330"/>
        <v>0</v>
      </c>
      <c r="AW579" s="1075">
        <f t="shared" si="331"/>
        <v>0</v>
      </c>
      <c r="AX579" s="1075">
        <f t="shared" si="332"/>
        <v>0</v>
      </c>
      <c r="AY579" s="2211">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09"/>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1075">
        <f t="shared" si="330"/>
        <v>0</v>
      </c>
      <c r="AW580" s="1075">
        <f t="shared" si="331"/>
        <v>0</v>
      </c>
      <c r="AX580" s="1075">
        <f t="shared" si="332"/>
        <v>0</v>
      </c>
      <c r="AY580" s="2211">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09"/>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1075">
        <f t="shared" si="330"/>
        <v>0</v>
      </c>
      <c r="AW581" s="1075">
        <f t="shared" si="331"/>
        <v>0</v>
      </c>
      <c r="AX581" s="1075">
        <f t="shared" si="332"/>
        <v>0</v>
      </c>
      <c r="AY581" s="2211">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09"/>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1075">
        <f t="shared" si="330"/>
        <v>0</v>
      </c>
      <c r="AW582" s="1075">
        <f t="shared" si="331"/>
        <v>0</v>
      </c>
      <c r="AX582" s="1075">
        <f t="shared" si="332"/>
        <v>0</v>
      </c>
      <c r="AY582" s="2211">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09"/>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1075">
        <f t="shared" si="330"/>
        <v>0</v>
      </c>
      <c r="AW583" s="1075">
        <f t="shared" si="331"/>
        <v>0</v>
      </c>
      <c r="AX583" s="1075">
        <f t="shared" si="332"/>
        <v>0</v>
      </c>
      <c r="AY583" s="2211">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09"/>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1075">
        <f t="shared" si="330"/>
        <v>0</v>
      </c>
      <c r="AW584" s="1075">
        <f t="shared" si="331"/>
        <v>0</v>
      </c>
      <c r="AX584" s="1075">
        <f t="shared" si="332"/>
        <v>0</v>
      </c>
      <c r="AY584" s="2211">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09"/>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1075">
        <f t="shared" si="330"/>
        <v>0</v>
      </c>
      <c r="AW585" s="1075">
        <f t="shared" si="331"/>
        <v>0</v>
      </c>
      <c r="AX585" s="1075">
        <f t="shared" si="332"/>
        <v>0</v>
      </c>
      <c r="AY585" s="2211">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09"/>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1075">
        <f t="shared" si="330"/>
        <v>0</v>
      </c>
      <c r="AW586" s="1075">
        <f t="shared" si="331"/>
        <v>0</v>
      </c>
      <c r="AX586" s="1075">
        <f t="shared" si="332"/>
        <v>0</v>
      </c>
      <c r="AY586" s="2211">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09"/>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1075">
        <f t="shared" si="330"/>
        <v>0</v>
      </c>
      <c r="AW587" s="1075">
        <f t="shared" si="331"/>
        <v>0</v>
      </c>
      <c r="AX587" s="1075">
        <f t="shared" si="332"/>
        <v>0</v>
      </c>
      <c r="AY587" s="2211">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6"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7" customFormat="1">
      <c r="C589" s="2682"/>
      <c r="D589" s="2682"/>
    </row>
    <row r="590" spans="1:72" s="2597" customFormat="1">
      <c r="C590" s="2682"/>
      <c r="D590" s="2682"/>
    </row>
    <row r="593" spans="2:2">
      <c r="B593" s="2682"/>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56" t="s">
        <v>473</v>
      </c>
      <c r="B1" s="3056" t="s">
        <v>474</v>
      </c>
      <c r="C1" s="3056" t="s">
        <v>475</v>
      </c>
      <c r="D1" s="3055" t="s">
        <v>476</v>
      </c>
      <c r="E1" s="3055" t="s">
        <v>477</v>
      </c>
      <c r="F1" s="3055"/>
      <c r="G1" s="3055"/>
      <c r="H1" s="3055"/>
      <c r="I1" s="3055"/>
      <c r="J1" s="3055"/>
      <c r="K1" s="3055"/>
      <c r="L1" s="3055"/>
      <c r="M1" s="3055"/>
    </row>
    <row r="2" spans="1:13" ht="27" customHeight="1">
      <c r="A2" s="3056"/>
      <c r="B2" s="3056"/>
      <c r="C2" s="3056"/>
      <c r="D2" s="3055"/>
      <c r="E2" s="3055" t="s">
        <v>478</v>
      </c>
      <c r="F2" s="3055" t="s">
        <v>479</v>
      </c>
      <c r="G2" s="3055"/>
      <c r="H2" s="3055"/>
      <c r="I2" s="3055"/>
      <c r="J2" s="3055" t="s">
        <v>480</v>
      </c>
      <c r="K2" s="3055"/>
      <c r="L2" s="3055"/>
      <c r="M2" s="3055"/>
    </row>
    <row r="3" spans="1:13" ht="28.5">
      <c r="A3" s="3056"/>
      <c r="B3" s="3056"/>
      <c r="C3" s="3056"/>
      <c r="D3" s="3055"/>
      <c r="E3" s="3055"/>
      <c r="F3" s="2592" t="s">
        <v>481</v>
      </c>
      <c r="G3" s="2592" t="s">
        <v>482</v>
      </c>
      <c r="H3" s="2592" t="s">
        <v>483</v>
      </c>
      <c r="I3" s="2592" t="s">
        <v>484</v>
      </c>
      <c r="J3" s="2592" t="s">
        <v>481</v>
      </c>
      <c r="K3" s="2592" t="s">
        <v>485</v>
      </c>
      <c r="L3" s="2592" t="s">
        <v>486</v>
      </c>
      <c r="M3" s="2592" t="s">
        <v>487</v>
      </c>
    </row>
    <row r="4" spans="1:13" ht="42.75">
      <c r="A4" s="2592" t="s">
        <v>488</v>
      </c>
      <c r="B4" s="2592" t="s">
        <v>489</v>
      </c>
      <c r="C4" s="2592" t="s">
        <v>490</v>
      </c>
      <c r="D4" s="2591">
        <v>3807.94</v>
      </c>
      <c r="E4" s="2591">
        <v>20666.91</v>
      </c>
      <c r="F4" s="2591">
        <v>19673</v>
      </c>
      <c r="G4" s="2591">
        <v>0</v>
      </c>
      <c r="H4" s="2591">
        <v>19673</v>
      </c>
      <c r="I4" s="2591">
        <v>0</v>
      </c>
      <c r="J4" s="2591">
        <v>993.91</v>
      </c>
      <c r="K4" s="2591">
        <v>0</v>
      </c>
      <c r="L4" s="2591">
        <v>0</v>
      </c>
      <c r="M4" s="2591">
        <v>993.91</v>
      </c>
    </row>
    <row r="5" spans="1:13" ht="42.75">
      <c r="A5" s="2592" t="s">
        <v>488</v>
      </c>
      <c r="B5" s="2592" t="s">
        <v>491</v>
      </c>
      <c r="C5" s="2592" t="s">
        <v>492</v>
      </c>
      <c r="D5" s="2591">
        <v>3667.86</v>
      </c>
      <c r="E5" s="2591">
        <v>19906.61</v>
      </c>
      <c r="F5" s="2591">
        <v>18792.87</v>
      </c>
      <c r="G5" s="2591">
        <v>18792.87</v>
      </c>
      <c r="H5" s="2591">
        <v>0</v>
      </c>
      <c r="I5" s="2591">
        <v>0</v>
      </c>
      <c r="J5" s="2591">
        <v>1113.74</v>
      </c>
      <c r="K5" s="2591">
        <v>55.59</v>
      </c>
      <c r="L5" s="2591">
        <v>0</v>
      </c>
      <c r="M5" s="2591">
        <v>1058.1500000000001</v>
      </c>
    </row>
    <row r="6" spans="1:13" ht="42.75">
      <c r="A6" s="2592" t="s">
        <v>488</v>
      </c>
      <c r="B6" s="2592" t="s">
        <v>491</v>
      </c>
      <c r="C6" s="2592" t="s">
        <v>493</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488</v>
      </c>
      <c r="B7" s="2592" t="s">
        <v>491</v>
      </c>
      <c r="C7" s="2592" t="s">
        <v>494</v>
      </c>
      <c r="D7" s="2591">
        <v>8.18</v>
      </c>
      <c r="E7" s="2591">
        <v>44.41</v>
      </c>
      <c r="F7" s="2591">
        <v>0</v>
      </c>
      <c r="G7" s="2591">
        <v>0</v>
      </c>
      <c r="H7" s="2591">
        <v>0</v>
      </c>
      <c r="I7" s="2591">
        <v>0</v>
      </c>
      <c r="J7" s="2591">
        <v>44.41</v>
      </c>
      <c r="K7" s="2591">
        <v>44.41</v>
      </c>
      <c r="L7" s="2591">
        <v>0</v>
      </c>
      <c r="M7" s="2591">
        <v>0</v>
      </c>
    </row>
    <row r="8" spans="1:13" ht="42.75">
      <c r="A8" s="2592" t="s">
        <v>488</v>
      </c>
      <c r="B8" s="2592" t="s">
        <v>491</v>
      </c>
      <c r="C8" s="2592" t="s">
        <v>484</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55" t="s">
        <v>495</v>
      </c>
      <c r="B9" s="3055"/>
      <c r="C9" s="3055"/>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40" sqref="C40"/>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68" t="s">
        <v>496</v>
      </c>
      <c r="B1" s="2040"/>
      <c r="C1" s="2040"/>
      <c r="D1" s="2040"/>
      <c r="E1" s="2040"/>
      <c r="F1" s="2040"/>
      <c r="G1" s="2040"/>
      <c r="H1" s="2040"/>
      <c r="I1" s="2040"/>
      <c r="J1" s="2040"/>
      <c r="K1" s="2040"/>
      <c r="L1" s="2040"/>
      <c r="M1" s="2040"/>
      <c r="N1" s="2040"/>
      <c r="O1" s="2040"/>
      <c r="P1" s="2040"/>
    </row>
    <row r="2" spans="1:16" ht="15">
      <c r="A2" s="3066" t="s">
        <v>497</v>
      </c>
      <c r="B2" s="3066"/>
      <c r="C2" s="3066"/>
      <c r="D2" s="1873" t="s">
        <v>498</v>
      </c>
      <c r="E2" s="2512" t="s">
        <v>499</v>
      </c>
      <c r="F2" s="2040"/>
      <c r="G2" s="2513"/>
      <c r="H2" s="2514"/>
      <c r="I2" s="2219" t="s">
        <v>500</v>
      </c>
      <c r="J2" s="2040"/>
      <c r="K2" s="2040"/>
      <c r="L2" s="2040"/>
      <c r="M2" s="2040"/>
      <c r="N2" s="1360"/>
      <c r="O2" s="2040"/>
      <c r="P2" s="2040"/>
    </row>
    <row r="3" spans="1:16" ht="15">
      <c r="A3" s="3067" t="s">
        <v>501</v>
      </c>
      <c r="B3" s="3067"/>
      <c r="C3" s="3067"/>
      <c r="D3" s="2515">
        <f>'数据-基础表'!AY6</f>
        <v>50693.68</v>
      </c>
      <c r="E3" s="2515">
        <f>'数据-基础表'!AZ5</f>
        <v>34364.589999999997</v>
      </c>
      <c r="F3" s="2040"/>
      <c r="G3" s="2516"/>
      <c r="H3" s="1993" t="s">
        <v>502</v>
      </c>
      <c r="I3" s="1087">
        <f>ROUND('数据-基础表'!B3/'数据-基础表'!A3,2)</f>
        <v>0.68</v>
      </c>
      <c r="J3" s="2040"/>
      <c r="K3" s="2040"/>
      <c r="L3" s="2040"/>
      <c r="M3" s="2040"/>
      <c r="N3" s="1360"/>
      <c r="O3" s="2040"/>
      <c r="P3" s="2040"/>
    </row>
    <row r="4" spans="1:16" ht="15">
      <c r="A4" s="3068"/>
      <c r="B4" s="3069"/>
      <c r="C4" s="3070"/>
      <c r="D4" s="2517" t="s">
        <v>498</v>
      </c>
      <c r="E4" s="2518" t="s">
        <v>499</v>
      </c>
      <c r="F4" s="2040"/>
      <c r="G4" s="2519" t="s">
        <v>503</v>
      </c>
      <c r="H4" s="1993" t="s">
        <v>504</v>
      </c>
      <c r="I4" s="1087">
        <f>ROUND(SUMIF('数据-基础表'!I9:AS9,"地上",'数据-基础表'!I5:AS5)/'数据-基础表'!A3,2)</f>
        <v>0.68</v>
      </c>
      <c r="J4" s="2040"/>
      <c r="K4" s="2040"/>
      <c r="L4" s="2040"/>
      <c r="M4" s="2040"/>
      <c r="N4" s="1360"/>
      <c r="O4" s="2040"/>
      <c r="P4" s="2040"/>
    </row>
    <row r="5" spans="1:16">
      <c r="A5" s="2520" t="s">
        <v>505</v>
      </c>
      <c r="B5" s="3071" t="s">
        <v>350</v>
      </c>
      <c r="C5" s="3071"/>
      <c r="D5" s="2521">
        <f>ROUND($D$3*E5/$E$3,2)</f>
        <v>0</v>
      </c>
      <c r="E5" s="2522">
        <f>SUMIF('数据-基础表'!$11:$11,"住宅",'数据-基础表'!$5:$5)</f>
        <v>0</v>
      </c>
      <c r="F5" s="2040"/>
      <c r="G5" s="2516"/>
      <c r="H5" s="1993" t="s">
        <v>502</v>
      </c>
      <c r="I5" s="1087">
        <f>ROUND(E31/D31,2)</f>
        <v>0.68</v>
      </c>
      <c r="J5" s="2040"/>
      <c r="K5" s="2040"/>
      <c r="L5" s="2040"/>
      <c r="M5" s="2040"/>
      <c r="N5" s="2040"/>
      <c r="O5" s="2040"/>
      <c r="P5" s="2040"/>
    </row>
    <row r="6" spans="1:16">
      <c r="A6" s="2523"/>
      <c r="B6" s="3071" t="s">
        <v>506</v>
      </c>
      <c r="C6" s="3071"/>
      <c r="D6" s="2521">
        <f>ROUND($D$3*E6/$E$3,2)</f>
        <v>50693.68</v>
      </c>
      <c r="E6" s="2522">
        <f>E3-E5</f>
        <v>34364.589999999997</v>
      </c>
      <c r="F6" s="2040"/>
      <c r="G6" s="2524" t="s">
        <v>405</v>
      </c>
      <c r="H6" s="2516" t="s">
        <v>504</v>
      </c>
      <c r="I6" s="2572">
        <f>ROUND(F31/D31,2)</f>
        <v>0.68</v>
      </c>
      <c r="J6" s="2040"/>
      <c r="K6" s="2040"/>
      <c r="L6" s="2040"/>
      <c r="M6" s="2040"/>
      <c r="N6" s="2040"/>
      <c r="O6" s="2040"/>
      <c r="P6" s="2040"/>
    </row>
    <row r="7" spans="1:16" ht="15">
      <c r="A7" s="3057"/>
      <c r="B7" s="3058"/>
      <c r="C7" s="3059"/>
      <c r="D7" s="2517" t="s">
        <v>498</v>
      </c>
      <c r="E7" s="2525" t="s">
        <v>507</v>
      </c>
      <c r="F7" s="2040"/>
      <c r="G7" s="2513" t="s">
        <v>508</v>
      </c>
      <c r="H7" s="1982"/>
      <c r="I7" s="2573"/>
      <c r="J7" s="2040"/>
      <c r="K7" s="2040"/>
      <c r="L7" s="2040"/>
      <c r="M7" s="2040"/>
      <c r="N7" s="2040"/>
      <c r="O7" s="2040"/>
      <c r="P7" s="2040"/>
    </row>
    <row r="8" spans="1:16">
      <c r="A8" s="2520" t="s">
        <v>509</v>
      </c>
      <c r="B8" s="2526" t="s">
        <v>510</v>
      </c>
      <c r="C8" s="2521" t="s">
        <v>511</v>
      </c>
      <c r="D8" s="2521">
        <f t="shared" ref="D8:D15" si="0">ROUND($D$3*E8/$E$3,2)</f>
        <v>50693.68</v>
      </c>
      <c r="E8" s="2527">
        <f>SUMIF('数据-基础表'!BB10:BK10,"地上",'数据-基础表'!BB5:BK5)</f>
        <v>34364.589999999997</v>
      </c>
      <c r="F8" s="2040"/>
      <c r="G8" s="2528"/>
      <c r="H8" s="2528"/>
      <c r="I8" s="2040"/>
      <c r="J8" s="2040"/>
      <c r="K8" s="2040"/>
      <c r="L8" s="2040"/>
      <c r="M8" s="2040"/>
      <c r="N8" s="2040"/>
      <c r="O8" s="2040"/>
      <c r="P8" s="2040"/>
    </row>
    <row r="9" spans="1:16">
      <c r="A9" s="2529"/>
      <c r="B9" s="2530"/>
      <c r="C9" s="2521" t="s">
        <v>512</v>
      </c>
      <c r="D9" s="2521">
        <f t="shared" si="0"/>
        <v>0</v>
      </c>
      <c r="E9" s="2531">
        <v>0</v>
      </c>
      <c r="F9" s="2040"/>
      <c r="G9" s="2528"/>
      <c r="H9" s="2528"/>
      <c r="I9" s="2040"/>
      <c r="J9" s="2040"/>
      <c r="K9" s="2040"/>
      <c r="L9" s="2040"/>
      <c r="M9" s="2040"/>
      <c r="N9" s="2040"/>
      <c r="O9" s="2040"/>
      <c r="P9" s="2040"/>
    </row>
    <row r="10" spans="1:16">
      <c r="A10" s="2529"/>
      <c r="B10" s="2530"/>
      <c r="C10" s="2521" t="s">
        <v>513</v>
      </c>
      <c r="D10" s="2521">
        <f t="shared" si="0"/>
        <v>0</v>
      </c>
      <c r="E10" s="2527">
        <f>SUMPRODUCT(('数据-基础表'!BB10:BK10="地下")*('数据-基础表'!BB11:BK11="商业")*('数据-基础表'!BB5:BK5))</f>
        <v>0</v>
      </c>
      <c r="F10" s="2040"/>
      <c r="G10" s="2528"/>
      <c r="H10" s="2528"/>
      <c r="I10" s="2040"/>
      <c r="J10" s="2040"/>
      <c r="K10" s="2040"/>
      <c r="L10" s="2040"/>
      <c r="M10" s="2040"/>
      <c r="N10" s="2040"/>
      <c r="O10" s="2040"/>
      <c r="P10" s="2040"/>
    </row>
    <row r="11" spans="1:16">
      <c r="A11" s="2529"/>
      <c r="B11" s="2530"/>
      <c r="C11" s="2521" t="s">
        <v>514</v>
      </c>
      <c r="D11" s="2521">
        <f t="shared" si="0"/>
        <v>0</v>
      </c>
      <c r="E11" s="2527">
        <f>SUMPRODUCT(('数据-基础表'!BB10:BK10="地下")*('数据-基础表'!BB11:BK11="办公")*('数据-基础表'!BB5:BK5))+'数据-基础表'!BP5</f>
        <v>0</v>
      </c>
      <c r="F11" s="2040"/>
      <c r="G11" s="2528"/>
      <c r="H11" s="2528"/>
      <c r="I11" s="2040"/>
      <c r="J11" s="2040"/>
      <c r="K11" s="2040"/>
      <c r="L11" s="2040"/>
      <c r="M11" s="2040"/>
      <c r="N11" s="2040"/>
      <c r="O11" s="2040"/>
      <c r="P11" s="2040"/>
    </row>
    <row r="12" spans="1:16">
      <c r="A12" s="2529"/>
      <c r="B12" s="2530"/>
      <c r="C12" s="2521" t="s">
        <v>515</v>
      </c>
      <c r="D12" s="2521">
        <f t="shared" si="0"/>
        <v>0</v>
      </c>
      <c r="E12" s="2527">
        <f>SUMPRODUCT(('数据-基础表'!BB10:BK10="地下")*('数据-基础表'!BB11:BK11="仓储")*('数据-基础表'!BB5:BK5))</f>
        <v>0</v>
      </c>
      <c r="F12" s="2040"/>
      <c r="G12" s="2528"/>
      <c r="H12" s="2528"/>
      <c r="I12" s="2040"/>
      <c r="J12" s="2040"/>
      <c r="K12" s="2040"/>
      <c r="L12" s="2040"/>
      <c r="M12" s="2040"/>
      <c r="N12" s="2040"/>
      <c r="O12" s="2040"/>
      <c r="P12" s="2040"/>
    </row>
    <row r="13" spans="1:16">
      <c r="A13" s="2529"/>
      <c r="B13" s="2530"/>
      <c r="C13" s="2521" t="s">
        <v>516</v>
      </c>
      <c r="D13" s="2521">
        <f t="shared" si="0"/>
        <v>0</v>
      </c>
      <c r="E13" s="2527">
        <f>SUMPRODUCT(('数据-基础表'!BB10:BK10="地下")*('数据-基础表'!BB11:BK11="车库")*('数据-基础表'!BB5:BK5))</f>
        <v>0</v>
      </c>
      <c r="F13" s="2040"/>
      <c r="G13" s="2528"/>
      <c r="H13" s="2528"/>
      <c r="I13" s="2040"/>
      <c r="J13" s="2040"/>
      <c r="K13" s="2040"/>
      <c r="L13" s="2040"/>
      <c r="M13" s="2040"/>
      <c r="N13" s="2040"/>
      <c r="O13" s="2040"/>
      <c r="P13" s="2040"/>
    </row>
    <row r="14" spans="1:16">
      <c r="A14" s="2529"/>
      <c r="B14" s="2530"/>
      <c r="C14" s="2521" t="s">
        <v>517</v>
      </c>
      <c r="D14" s="2521">
        <f t="shared" si="0"/>
        <v>0</v>
      </c>
      <c r="E14" s="2527">
        <f>SUMPRODUCT(('数据-基础表'!BB10:BK10="地下")*('数据-基础表'!BB11:BK11="车库—商业")*('数据-基础表'!BB5:BK5))</f>
        <v>0</v>
      </c>
      <c r="F14" s="2040"/>
      <c r="G14" s="2528"/>
      <c r="H14" s="2528"/>
      <c r="I14" s="2040"/>
      <c r="J14" s="2040"/>
      <c r="K14" s="2040"/>
      <c r="L14" s="2040"/>
      <c r="M14" s="2040"/>
      <c r="N14" s="2040"/>
      <c r="O14" s="2040"/>
      <c r="P14" s="2040"/>
    </row>
    <row r="15" spans="1:16">
      <c r="A15" s="2529"/>
      <c r="B15" s="2530"/>
      <c r="C15" s="2521" t="s">
        <v>518</v>
      </c>
      <c r="D15" s="2521">
        <f t="shared" si="0"/>
        <v>0</v>
      </c>
      <c r="E15" s="2527">
        <f>SUMPRODUCT(('数据-基础表'!BB10:BK10="地下")*('数据-基础表'!BB11:BK11="车库—办公")*('数据-基础表'!BB5:BK5))</f>
        <v>0</v>
      </c>
      <c r="F15" s="2040"/>
      <c r="G15" s="2528"/>
      <c r="H15" s="2528"/>
      <c r="I15" s="2040"/>
      <c r="J15" s="2040"/>
      <c r="K15" s="2040"/>
      <c r="L15" s="2040"/>
      <c r="M15" s="2040"/>
      <c r="N15" s="2040"/>
      <c r="O15" s="2040"/>
      <c r="P15" s="2040"/>
    </row>
    <row r="16" spans="1:16" ht="15">
      <c r="A16" s="2523"/>
      <c r="B16" s="2530"/>
      <c r="C16" s="2526" t="s">
        <v>519</v>
      </c>
      <c r="D16" s="2526">
        <f>SUM(D8:D15)</f>
        <v>50693.68</v>
      </c>
      <c r="E16" s="2532">
        <f>SUM(E8:E15)</f>
        <v>34364.589999999997</v>
      </c>
      <c r="F16" s="2040"/>
      <c r="G16" s="2528"/>
      <c r="H16" s="2533" t="s">
        <v>520</v>
      </c>
      <c r="I16" s="2574"/>
      <c r="J16" s="2040"/>
      <c r="K16" s="3060" t="s">
        <v>520</v>
      </c>
      <c r="L16" s="3061"/>
      <c r="M16" s="3061"/>
      <c r="N16" s="3061"/>
      <c r="O16" s="3061"/>
      <c r="P16" s="3062"/>
    </row>
    <row r="17" spans="1:19" ht="15">
      <c r="A17" s="2472" t="s">
        <v>521</v>
      </c>
      <c r="B17" s="2534" t="s">
        <v>522</v>
      </c>
      <c r="C17" s="2471" t="s">
        <v>523</v>
      </c>
      <c r="D17" s="2535" t="s">
        <v>498</v>
      </c>
      <c r="E17" s="2536" t="s">
        <v>499</v>
      </c>
      <c r="F17" s="2537"/>
      <c r="G17" s="2538"/>
      <c r="H17" s="2539" t="s">
        <v>524</v>
      </c>
      <c r="I17" s="2575" t="s">
        <v>525</v>
      </c>
      <c r="J17" s="2040"/>
      <c r="K17" s="3063" t="s">
        <v>526</v>
      </c>
      <c r="L17" s="3064"/>
      <c r="M17" s="3065"/>
      <c r="N17" s="3063" t="s">
        <v>527</v>
      </c>
      <c r="O17" s="3064"/>
      <c r="P17" s="3065"/>
      <c r="R17" s="2513" t="s">
        <v>528</v>
      </c>
      <c r="S17" s="1982"/>
    </row>
    <row r="18" spans="1:19" ht="15">
      <c r="A18" s="2529"/>
      <c r="B18" s="2540"/>
      <c r="C18" s="2541"/>
      <c r="D18" s="2542"/>
      <c r="E18" s="2543" t="s">
        <v>529</v>
      </c>
      <c r="F18" s="2544" t="s">
        <v>504</v>
      </c>
      <c r="G18" s="2545" t="s">
        <v>530</v>
      </c>
      <c r="H18" s="2477" t="s">
        <v>531</v>
      </c>
      <c r="I18" s="2576" t="s">
        <v>532</v>
      </c>
      <c r="J18" s="2040"/>
      <c r="K18" s="2477" t="s">
        <v>533</v>
      </c>
      <c r="L18" s="2202" t="s">
        <v>534</v>
      </c>
      <c r="M18" s="2203" t="s">
        <v>535</v>
      </c>
      <c r="N18" s="2477" t="s">
        <v>533</v>
      </c>
      <c r="O18" s="2202" t="s">
        <v>534</v>
      </c>
      <c r="P18" s="2203" t="s">
        <v>535</v>
      </c>
      <c r="R18" s="1993" t="s">
        <v>531</v>
      </c>
      <c r="S18" s="1993" t="s">
        <v>532</v>
      </c>
    </row>
    <row r="19" spans="1:19">
      <c r="A19" s="2546"/>
      <c r="B19" s="2526" t="s">
        <v>536</v>
      </c>
      <c r="C19" s="2547" t="s">
        <v>314</v>
      </c>
      <c r="D19" s="2521">
        <f>ROUND($D$3*E19/$E$3,2)</f>
        <v>50693.68</v>
      </c>
      <c r="E19" s="2548">
        <f t="shared" ref="E19:E26" si="1">SUM(F19:G19)</f>
        <v>34364.589999999997</v>
      </c>
      <c r="F19" s="2549">
        <f>'数据-基础表'!I19+'数据-基础表'!I18</f>
        <v>34364.589999999997</v>
      </c>
      <c r="G19" s="2550">
        <f>'数据-基础表'!BC5</f>
        <v>0</v>
      </c>
      <c r="H19" s="2461">
        <f>ROUND($D$3*I19/$E$3,2)</f>
        <v>0</v>
      </c>
      <c r="I19" s="2527">
        <f t="shared" ref="I19:I26" si="2">IF($I$17="自定义",P19,M19)</f>
        <v>0</v>
      </c>
      <c r="J19" s="2040"/>
      <c r="K19" s="2577">
        <f t="shared" ref="K19:K26" si="3">ROUND(E$28*E19/E$27,2)</f>
        <v>0</v>
      </c>
      <c r="L19" s="1993">
        <f t="shared" ref="L19:L26" si="4">ROUND(IF(COUNTIF(C19,"*住宅*")&gt;0,E$29*E19/E$32,0),2)</f>
        <v>0</v>
      </c>
      <c r="M19" s="2578">
        <f>K19+L19</f>
        <v>0</v>
      </c>
      <c r="N19" s="2579"/>
      <c r="O19" s="2580"/>
      <c r="P19" s="2578">
        <f>N19+O19</f>
        <v>0</v>
      </c>
      <c r="R19" s="1993">
        <f t="shared" ref="R19:S26" si="5">D19+H19</f>
        <v>50693.68</v>
      </c>
      <c r="S19" s="2589">
        <f t="shared" si="5"/>
        <v>34364.589999999997</v>
      </c>
    </row>
    <row r="20" spans="1:19">
      <c r="A20" s="2551"/>
      <c r="B20" s="2526" t="s">
        <v>536</v>
      </c>
      <c r="C20" s="2552"/>
      <c r="D20" s="2521">
        <f t="shared" ref="D20:D26" si="6">ROUND($D$3*E20/$E$3,2)</f>
        <v>0</v>
      </c>
      <c r="E20" s="2548">
        <f t="shared" si="1"/>
        <v>0</v>
      </c>
      <c r="F20" s="2549"/>
      <c r="G20" s="2550"/>
      <c r="H20" s="2461">
        <f t="shared" ref="H20:H26" si="7">ROUND($D$3*I20/$E$3,2)</f>
        <v>0</v>
      </c>
      <c r="I20" s="2527">
        <f t="shared" si="2"/>
        <v>0</v>
      </c>
      <c r="J20" s="2040"/>
      <c r="K20" s="2577">
        <f t="shared" si="3"/>
        <v>0</v>
      </c>
      <c r="L20" s="1993">
        <f t="shared" si="4"/>
        <v>0</v>
      </c>
      <c r="M20" s="2578">
        <f t="shared" ref="M20:M26" si="8">K20+L20</f>
        <v>0</v>
      </c>
      <c r="N20" s="2579"/>
      <c r="O20" s="2580"/>
      <c r="P20" s="2578">
        <f t="shared" ref="P20:P26" si="9">N20+O20</f>
        <v>0</v>
      </c>
      <c r="R20" s="1993">
        <f t="shared" si="5"/>
        <v>0</v>
      </c>
      <c r="S20" s="2589">
        <f t="shared" si="5"/>
        <v>0</v>
      </c>
    </row>
    <row r="21" spans="1:19">
      <c r="A21" s="2551"/>
      <c r="B21" s="2526" t="s">
        <v>536</v>
      </c>
      <c r="C21" s="2552"/>
      <c r="D21" s="2521">
        <f t="shared" si="6"/>
        <v>0</v>
      </c>
      <c r="E21" s="2548">
        <f t="shared" si="1"/>
        <v>0</v>
      </c>
      <c r="F21" s="2549"/>
      <c r="G21" s="2550"/>
      <c r="H21" s="2461">
        <f t="shared" si="7"/>
        <v>0</v>
      </c>
      <c r="I21" s="2527">
        <f t="shared" si="2"/>
        <v>0</v>
      </c>
      <c r="J21" s="2040"/>
      <c r="K21" s="2577">
        <f t="shared" si="3"/>
        <v>0</v>
      </c>
      <c r="L21" s="1993">
        <f t="shared" si="4"/>
        <v>0</v>
      </c>
      <c r="M21" s="2578">
        <f t="shared" si="8"/>
        <v>0</v>
      </c>
      <c r="N21" s="2579"/>
      <c r="O21" s="2580"/>
      <c r="P21" s="2578">
        <f t="shared" si="9"/>
        <v>0</v>
      </c>
      <c r="R21" s="1993">
        <f t="shared" si="5"/>
        <v>0</v>
      </c>
      <c r="S21" s="2589">
        <f t="shared" si="5"/>
        <v>0</v>
      </c>
    </row>
    <row r="22" spans="1:19">
      <c r="A22" s="2551"/>
      <c r="B22" s="2526" t="s">
        <v>536</v>
      </c>
      <c r="C22" s="2553"/>
      <c r="D22" s="2521">
        <f t="shared" si="6"/>
        <v>0</v>
      </c>
      <c r="E22" s="2548">
        <f t="shared" si="1"/>
        <v>0</v>
      </c>
      <c r="F22" s="2554"/>
      <c r="G22" s="2555"/>
      <c r="H22" s="2461">
        <f t="shared" si="7"/>
        <v>0</v>
      </c>
      <c r="I22" s="2527">
        <f t="shared" si="2"/>
        <v>0</v>
      </c>
      <c r="J22" s="2040"/>
      <c r="K22" s="2577">
        <f t="shared" si="3"/>
        <v>0</v>
      </c>
      <c r="L22" s="1993">
        <f t="shared" si="4"/>
        <v>0</v>
      </c>
      <c r="M22" s="2578">
        <f t="shared" si="8"/>
        <v>0</v>
      </c>
      <c r="N22" s="2579"/>
      <c r="O22" s="2580"/>
      <c r="P22" s="2578">
        <f t="shared" si="9"/>
        <v>0</v>
      </c>
      <c r="R22" s="1993">
        <f t="shared" si="5"/>
        <v>0</v>
      </c>
      <c r="S22" s="2589">
        <f t="shared" si="5"/>
        <v>0</v>
      </c>
    </row>
    <row r="23" spans="1:19">
      <c r="A23" s="2551"/>
      <c r="B23" s="2526" t="s">
        <v>536</v>
      </c>
      <c r="C23" s="2553"/>
      <c r="D23" s="2521">
        <f t="shared" si="6"/>
        <v>0</v>
      </c>
      <c r="E23" s="2548">
        <f t="shared" si="1"/>
        <v>0</v>
      </c>
      <c r="F23" s="2554"/>
      <c r="G23" s="2555"/>
      <c r="H23" s="2461">
        <f t="shared" si="7"/>
        <v>0</v>
      </c>
      <c r="I23" s="2527">
        <f t="shared" si="2"/>
        <v>0</v>
      </c>
      <c r="J23" s="2040"/>
      <c r="K23" s="2577">
        <f t="shared" si="3"/>
        <v>0</v>
      </c>
      <c r="L23" s="1993">
        <f t="shared" si="4"/>
        <v>0</v>
      </c>
      <c r="M23" s="2578">
        <f t="shared" si="8"/>
        <v>0</v>
      </c>
      <c r="N23" s="2579"/>
      <c r="O23" s="2580"/>
      <c r="P23" s="2578">
        <f t="shared" si="9"/>
        <v>0</v>
      </c>
      <c r="R23" s="1993">
        <f t="shared" si="5"/>
        <v>0</v>
      </c>
      <c r="S23" s="2589">
        <f t="shared" si="5"/>
        <v>0</v>
      </c>
    </row>
    <row r="24" spans="1:19">
      <c r="A24" s="2551"/>
      <c r="B24" s="2526" t="s">
        <v>536</v>
      </c>
      <c r="C24" s="2553"/>
      <c r="D24" s="2521">
        <f t="shared" si="6"/>
        <v>0</v>
      </c>
      <c r="E24" s="2548">
        <f t="shared" si="1"/>
        <v>0</v>
      </c>
      <c r="F24" s="2554"/>
      <c r="G24" s="2555"/>
      <c r="H24" s="2461">
        <f t="shared" si="7"/>
        <v>0</v>
      </c>
      <c r="I24" s="2527">
        <f t="shared" si="2"/>
        <v>0</v>
      </c>
      <c r="J24" s="2040"/>
      <c r="K24" s="2577">
        <f t="shared" si="3"/>
        <v>0</v>
      </c>
      <c r="L24" s="1993">
        <f t="shared" si="4"/>
        <v>0</v>
      </c>
      <c r="M24" s="2578">
        <f t="shared" si="8"/>
        <v>0</v>
      </c>
      <c r="N24" s="2579"/>
      <c r="O24" s="2580"/>
      <c r="P24" s="2578">
        <f t="shared" si="9"/>
        <v>0</v>
      </c>
      <c r="R24" s="1993">
        <f t="shared" si="5"/>
        <v>0</v>
      </c>
      <c r="S24" s="2589">
        <f t="shared" si="5"/>
        <v>0</v>
      </c>
    </row>
    <row r="25" spans="1:19">
      <c r="A25" s="2551"/>
      <c r="B25" s="2526" t="s">
        <v>536</v>
      </c>
      <c r="C25" s="2553"/>
      <c r="D25" s="2521">
        <f t="shared" si="6"/>
        <v>0</v>
      </c>
      <c r="E25" s="2548">
        <f t="shared" si="1"/>
        <v>0</v>
      </c>
      <c r="F25" s="2554"/>
      <c r="G25" s="2555"/>
      <c r="H25" s="2520">
        <f t="shared" si="7"/>
        <v>0</v>
      </c>
      <c r="I25" s="2527">
        <f t="shared" si="2"/>
        <v>0</v>
      </c>
      <c r="J25" s="2040"/>
      <c r="K25" s="2577">
        <f t="shared" si="3"/>
        <v>0</v>
      </c>
      <c r="L25" s="1993">
        <f t="shared" si="4"/>
        <v>0</v>
      </c>
      <c r="M25" s="2578">
        <f t="shared" si="8"/>
        <v>0</v>
      </c>
      <c r="N25" s="2579"/>
      <c r="O25" s="2580"/>
      <c r="P25" s="2578">
        <f t="shared" si="9"/>
        <v>0</v>
      </c>
      <c r="R25" s="1993">
        <f t="shared" si="5"/>
        <v>0</v>
      </c>
      <c r="S25" s="2589">
        <f t="shared" si="5"/>
        <v>0</v>
      </c>
    </row>
    <row r="26" spans="1:19">
      <c r="A26" s="2551"/>
      <c r="B26" s="2526" t="s">
        <v>536</v>
      </c>
      <c r="C26" s="2556"/>
      <c r="D26" s="2521">
        <f t="shared" si="6"/>
        <v>0</v>
      </c>
      <c r="E26" s="2548">
        <f t="shared" si="1"/>
        <v>0</v>
      </c>
      <c r="F26" s="2554"/>
      <c r="G26" s="2555"/>
      <c r="H26" s="2520">
        <f t="shared" si="7"/>
        <v>0</v>
      </c>
      <c r="I26" s="2527">
        <f t="shared" si="2"/>
        <v>0</v>
      </c>
      <c r="J26" s="2040"/>
      <c r="K26" s="2581">
        <f t="shared" si="3"/>
        <v>0</v>
      </c>
      <c r="L26" s="2516">
        <f t="shared" si="4"/>
        <v>0</v>
      </c>
      <c r="M26" s="2563">
        <f t="shared" si="8"/>
        <v>0</v>
      </c>
      <c r="N26" s="2582"/>
      <c r="O26" s="2583"/>
      <c r="P26" s="2563">
        <f t="shared" si="9"/>
        <v>0</v>
      </c>
      <c r="R26" s="1993">
        <f t="shared" si="5"/>
        <v>0</v>
      </c>
      <c r="S26" s="2589">
        <f t="shared" si="5"/>
        <v>0</v>
      </c>
    </row>
    <row r="27" spans="1:19" ht="15">
      <c r="A27" s="2551"/>
      <c r="B27" s="2521"/>
      <c r="C27" s="2193" t="s">
        <v>537</v>
      </c>
      <c r="D27" s="2557">
        <f>SUM(D19:D26)</f>
        <v>50693.68</v>
      </c>
      <c r="E27" s="2558">
        <f>IF(SUM(E19:E26)='数据-基础表'!BA5,SUM(E19:E26),IF(F27="地上面积有误","面积有误","地下面积有误"))</f>
        <v>34364.589999999997</v>
      </c>
      <c r="F27" s="2557">
        <f>IF(SUM(F19:F26)=E8,SUM(F19:F26),"地上面积有误")</f>
        <v>34364.589999999997</v>
      </c>
      <c r="G27" s="2559">
        <f>SUM(G19:G26)</f>
        <v>0</v>
      </c>
      <c r="H27" s="2560">
        <f>SUM(H19:H26)</f>
        <v>0</v>
      </c>
      <c r="I27" s="2584">
        <f>SUM(I19:I26)</f>
        <v>0</v>
      </c>
      <c r="J27" s="2040"/>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50693.68</v>
      </c>
      <c r="S27" s="1993">
        <f>IF(SUM(S19:S26)=$E$3,SUM(S19:S26),SUM(S19:S26)&amp;"误差"&amp;ROUND(SUM(S19:S26)-E3,2))</f>
        <v>34364.589999999997</v>
      </c>
    </row>
    <row r="28" spans="1:19">
      <c r="A28" s="2551"/>
      <c r="B28" s="2526" t="s">
        <v>538</v>
      </c>
      <c r="C28" s="2481" t="s">
        <v>539</v>
      </c>
      <c r="D28" s="2521">
        <f>ROUND($D$3*E28/$E$3,2)</f>
        <v>0</v>
      </c>
      <c r="E28" s="2548">
        <f>SUM(F28:G28)</f>
        <v>0</v>
      </c>
      <c r="F28" s="1982">
        <f>'数据-基础表'!BQ5+'数据-基础表'!BS5</f>
        <v>0</v>
      </c>
      <c r="G28" s="2561">
        <f>'数据-基础表'!BR5+'数据-基础表'!BT5</f>
        <v>0</v>
      </c>
      <c r="H28" s="2040"/>
      <c r="I28" s="2040"/>
      <c r="J28" s="2040"/>
      <c r="K28" s="2040"/>
      <c r="L28" s="2040"/>
      <c r="M28" s="2040"/>
      <c r="N28" s="2040"/>
      <c r="O28" s="2040"/>
      <c r="P28" s="2040"/>
    </row>
    <row r="29" spans="1:19">
      <c r="A29" s="2551"/>
      <c r="B29" s="2526" t="s">
        <v>538</v>
      </c>
      <c r="C29" s="2038" t="s">
        <v>540</v>
      </c>
      <c r="D29" s="2521">
        <f>ROUND($D$3*E29/$E$3,2)</f>
        <v>0</v>
      </c>
      <c r="E29" s="2548">
        <f>SUM(F29:G29)</f>
        <v>0</v>
      </c>
      <c r="F29" s="2562">
        <f>'数据-基础表'!BM5+'数据-基础表'!BO5</f>
        <v>0</v>
      </c>
      <c r="G29" s="2563">
        <f>'数据-基础表'!BN5+'数据-基础表'!BP5</f>
        <v>0</v>
      </c>
      <c r="H29" s="2040"/>
      <c r="I29" s="2040"/>
      <c r="J29" s="2040"/>
      <c r="K29" s="2040"/>
      <c r="L29" s="2040"/>
      <c r="M29" s="2040"/>
      <c r="N29" s="2040"/>
      <c r="O29" s="2040"/>
      <c r="P29" s="2040"/>
    </row>
    <row r="30" spans="1:19" ht="15">
      <c r="A30" s="2551"/>
      <c r="B30" s="2526"/>
      <c r="C30" s="2564" t="s">
        <v>537</v>
      </c>
      <c r="D30" s="2557">
        <f>SUM(D28:D29)</f>
        <v>0</v>
      </c>
      <c r="E30" s="2557">
        <f>SUM(E28:E29)</f>
        <v>0</v>
      </c>
      <c r="F30" s="2557">
        <f>SUM(F28:F29)</f>
        <v>0</v>
      </c>
      <c r="G30" s="2559">
        <f>SUM(G28:G29)</f>
        <v>0</v>
      </c>
      <c r="H30" s="2040"/>
      <c r="I30" s="2040"/>
      <c r="J30" s="2040"/>
      <c r="K30" s="2040"/>
      <c r="L30" s="2040"/>
      <c r="M30" s="2040"/>
      <c r="N30" s="2040"/>
      <c r="O30" s="2040"/>
      <c r="P30" s="2040"/>
    </row>
    <row r="31" spans="1:19" ht="15">
      <c r="A31" s="2565"/>
      <c r="B31" s="2566"/>
      <c r="C31" s="1916" t="s">
        <v>541</v>
      </c>
      <c r="D31" s="2567">
        <f>D27+D30</f>
        <v>50693.68</v>
      </c>
      <c r="E31" s="2567">
        <f>E27+E30</f>
        <v>34364.589999999997</v>
      </c>
      <c r="F31" s="2568">
        <f>F27+F30</f>
        <v>34364.589999999997</v>
      </c>
      <c r="G31" s="2569">
        <f>G27+G30</f>
        <v>0</v>
      </c>
      <c r="H31" s="2040"/>
      <c r="I31" s="2040"/>
      <c r="J31" s="2040"/>
      <c r="K31" s="2040"/>
      <c r="L31" s="2040"/>
      <c r="M31" s="2040"/>
      <c r="N31" s="2040"/>
      <c r="O31" s="2040"/>
      <c r="P31" s="2040"/>
    </row>
    <row r="32" spans="1:19">
      <c r="A32" s="2519"/>
      <c r="B32" s="2519" t="s">
        <v>542</v>
      </c>
      <c r="C32" s="2519"/>
      <c r="D32" s="2519"/>
      <c r="E32" s="2570">
        <f>SUMIF(C19:C26,"*住宅*",E19:E26)</f>
        <v>0</v>
      </c>
      <c r="F32" s="2519"/>
      <c r="G32" s="2519"/>
      <c r="H32" s="2040"/>
      <c r="I32" s="2040"/>
      <c r="J32" s="2040"/>
      <c r="K32" s="2040"/>
      <c r="L32" s="2040"/>
      <c r="M32" s="2040"/>
      <c r="N32" s="2040"/>
      <c r="O32" s="2040"/>
      <c r="P32" s="2040"/>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P6" activePane="bottomRight" state="frozen"/>
      <selection pane="topRight"/>
      <selection pane="bottomLeft"/>
      <selection pane="bottomRight" activeCell="R30" sqref="R30"/>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7" width="10.875" style="2327" customWidth="1"/>
    <col min="18" max="19" width="12.5" style="2327" customWidth="1"/>
    <col min="20" max="20" width="12.125" style="2327" customWidth="1"/>
    <col min="21" max="21" width="7.5" style="2327" customWidth="1"/>
    <col min="22" max="22" width="6.375" style="2327" customWidth="1"/>
    <col min="23"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543</v>
      </c>
      <c r="B1" s="1667"/>
      <c r="C1" s="1854"/>
      <c r="D1" s="2331"/>
      <c r="E1" s="1854"/>
      <c r="F1" s="1854"/>
      <c r="G1" s="1854"/>
      <c r="H1" s="1854"/>
      <c r="I1" s="1854"/>
      <c r="J1" s="1854"/>
      <c r="K1" s="277"/>
      <c r="L1" s="277"/>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22" customFormat="1" ht="15">
      <c r="A2" s="2332" t="s">
        <v>544</v>
      </c>
      <c r="B2" s="2333">
        <f>项目基本情况!D3</f>
        <v>44393</v>
      </c>
      <c r="C2" s="2334"/>
      <c r="D2" s="2335"/>
      <c r="E2" s="2334"/>
      <c r="F2" s="2334"/>
      <c r="G2" s="2334"/>
      <c r="H2" s="2334"/>
      <c r="I2" s="2334"/>
      <c r="J2" s="2334"/>
      <c r="K2" s="1360"/>
      <c r="L2" s="1360"/>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2" customFormat="1" ht="14.25">
      <c r="A3" s="2336"/>
      <c r="B3" s="2337"/>
      <c r="C3" s="2334"/>
      <c r="D3" s="2335"/>
      <c r="E3" s="2334"/>
      <c r="F3" s="2334"/>
      <c r="G3" s="2334"/>
      <c r="H3" s="2334"/>
      <c r="I3" s="2334"/>
      <c r="J3" s="2334"/>
      <c r="K3" s="1360"/>
      <c r="L3" s="1360"/>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2" customFormat="1" ht="14.25">
      <c r="A4" s="1307" t="s">
        <v>545</v>
      </c>
      <c r="B4" s="2000"/>
      <c r="C4" s="2338"/>
      <c r="D4" s="2339"/>
      <c r="E4" s="2338" t="s">
        <v>546</v>
      </c>
      <c r="F4" s="2338"/>
      <c r="G4" s="2338"/>
      <c r="H4" s="2338"/>
      <c r="I4" s="2338"/>
      <c r="J4" s="2418"/>
      <c r="K4" s="2419"/>
      <c r="L4" s="2270"/>
      <c r="M4" s="2338"/>
      <c r="N4" s="2338" t="s">
        <v>547</v>
      </c>
      <c r="O4" s="2338"/>
      <c r="P4" s="2338"/>
      <c r="Q4" s="2338"/>
      <c r="R4" s="2338"/>
      <c r="S4" s="2418"/>
      <c r="T4" s="2445" t="str">
        <f>'数据-汇总表'!I17</f>
        <v>按面积比例</v>
      </c>
      <c r="U4" s="2000" t="s">
        <v>548</v>
      </c>
      <c r="V4" s="2338"/>
      <c r="W4" s="2338"/>
      <c r="X4" s="2338"/>
      <c r="Y4" s="2418"/>
      <c r="Z4" s="2471" t="s">
        <v>549</v>
      </c>
      <c r="AA4" s="2471"/>
      <c r="AB4" s="2471"/>
      <c r="AC4" s="2471"/>
      <c r="AD4" s="2471"/>
      <c r="AE4" s="2472" t="s">
        <v>550</v>
      </c>
      <c r="AF4" s="2471"/>
      <c r="AG4" s="2486"/>
      <c r="AH4" s="2000"/>
      <c r="AI4" s="2338"/>
      <c r="AJ4" s="2338"/>
      <c r="AK4" s="2338"/>
      <c r="AL4" s="2338"/>
      <c r="AM4" s="2418"/>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23" customFormat="1" ht="42">
      <c r="A5" s="2340" t="s">
        <v>523</v>
      </c>
      <c r="B5" s="2341" t="s">
        <v>522</v>
      </c>
      <c r="C5" s="2342" t="s">
        <v>551</v>
      </c>
      <c r="D5" s="2343" t="s">
        <v>552</v>
      </c>
      <c r="E5" s="2271" t="s">
        <v>553</v>
      </c>
      <c r="F5" s="2344" t="s">
        <v>554</v>
      </c>
      <c r="G5" s="2271" t="s">
        <v>555</v>
      </c>
      <c r="H5" s="2271" t="s">
        <v>556</v>
      </c>
      <c r="I5" s="2271" t="s">
        <v>557</v>
      </c>
      <c r="J5" s="2420" t="s">
        <v>558</v>
      </c>
      <c r="K5" s="2421" t="s">
        <v>532</v>
      </c>
      <c r="L5" s="2422" t="s">
        <v>559</v>
      </c>
      <c r="M5" s="2423" t="s">
        <v>560</v>
      </c>
      <c r="N5" s="2424" t="s">
        <v>2552</v>
      </c>
      <c r="O5" s="2422" t="s">
        <v>561</v>
      </c>
      <c r="P5" s="2425" t="s">
        <v>562</v>
      </c>
      <c r="Q5" s="933" t="s">
        <v>563</v>
      </c>
      <c r="R5" s="2446" t="s">
        <v>564</v>
      </c>
      <c r="S5" s="2447" t="s">
        <v>565</v>
      </c>
      <c r="T5" s="2448" t="s">
        <v>566</v>
      </c>
      <c r="U5" s="2297" t="s">
        <v>567</v>
      </c>
      <c r="V5" s="2271" t="s">
        <v>568</v>
      </c>
      <c r="W5" s="2271" t="s">
        <v>569</v>
      </c>
      <c r="X5" s="909"/>
      <c r="Y5" s="1328" t="s">
        <v>570</v>
      </c>
      <c r="Z5" s="2473" t="s">
        <v>567</v>
      </c>
      <c r="AA5" s="2271" t="s">
        <v>568</v>
      </c>
      <c r="AB5" s="2271" t="s">
        <v>569</v>
      </c>
      <c r="AC5" s="909"/>
      <c r="AD5" s="909" t="s">
        <v>570</v>
      </c>
      <c r="AE5" s="2297" t="s">
        <v>571</v>
      </c>
      <c r="AF5" s="2271" t="s">
        <v>572</v>
      </c>
      <c r="AG5" s="1328" t="s">
        <v>573</v>
      </c>
      <c r="AH5" s="2297" t="s">
        <v>574</v>
      </c>
      <c r="AI5" s="2473" t="s">
        <v>575</v>
      </c>
      <c r="AJ5" s="2473" t="s">
        <v>576</v>
      </c>
      <c r="AK5" s="2271" t="s">
        <v>577</v>
      </c>
      <c r="AL5" s="2271" t="s">
        <v>578</v>
      </c>
      <c r="AM5" s="1328" t="s">
        <v>579</v>
      </c>
      <c r="AN5" s="2487" t="s">
        <v>580</v>
      </c>
      <c r="AO5" s="2504" t="s">
        <v>581</v>
      </c>
      <c r="AP5" s="2505" t="s">
        <v>582</v>
      </c>
      <c r="AQ5" s="2506" t="s">
        <v>583</v>
      </c>
      <c r="AR5" s="2506" t="s">
        <v>584</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2" customFormat="1" ht="14.25">
      <c r="A6" s="2345" t="str">
        <f>'数据-汇总表'!C19</f>
        <v>工业用房</v>
      </c>
      <c r="B6" s="2346" t="str">
        <f>IF(A6=0,"","经营性")</f>
        <v>经营性</v>
      </c>
      <c r="C6" s="2347" t="s">
        <v>464</v>
      </c>
      <c r="D6" s="2348">
        <f>SUMIF(项目基本情况!D$12:I$12,C6,项目基本情况!D$14:I$14)</f>
        <v>50</v>
      </c>
      <c r="E6" s="2963">
        <f>IF(B6="","",SUMIF(项目基本情况!D$12:I$12,C6,项目基本情况!D$13:I$13))</f>
        <v>61437</v>
      </c>
      <c r="F6" s="2350">
        <f>SUMIF(项目基本情况!D$12:I$12,C6,项目基本情况!D$15:I$15)</f>
        <v>46.69</v>
      </c>
      <c r="G6" s="2351">
        <f>IF(ISERROR(ROUND(POWER(1+H6,D6-F6)*(POWER(1+H6,F6)-1)/(POWER(1+H6,D6)-1),3)),0,ROUND(POWER(1+H6,D6-F6)*(POWER(1+H6,F6)-1)/(POWER(1+H6,D6)-1),3))</f>
        <v>0.98</v>
      </c>
      <c r="H6" s="2352">
        <v>4.4999999999999998E-2</v>
      </c>
      <c r="I6" s="2352">
        <v>0.05</v>
      </c>
      <c r="J6" s="2353">
        <v>8.5000000000000006E-2</v>
      </c>
      <c r="K6" s="2426">
        <f>SUMIF('数据-汇总表'!C$19:C$33,A6,'数据-汇总表'!E$19:E$33)</f>
        <v>34364.589999999997</v>
      </c>
      <c r="L6" s="2427">
        <v>1800</v>
      </c>
      <c r="M6" s="2428">
        <f t="shared" ref="M6:M14" si="0">ROUND(K6*L6/10000,0)</f>
        <v>6186</v>
      </c>
      <c r="N6" s="2429">
        <v>0</v>
      </c>
      <c r="O6" s="2428">
        <f>IF($N$5="成新度","——",ROUND(M6*N6,0))</f>
        <v>0</v>
      </c>
      <c r="P6" s="2430">
        <f>IF($N$5="成新度","——",M6-O6)</f>
        <v>6186</v>
      </c>
      <c r="Q6" s="2449">
        <v>0.05</v>
      </c>
      <c r="R6" s="2450">
        <f ca="1">SUMIF('数据-汇总表'!C$19:C$33,A6,'数据-汇总表'!R$19:R$27)</f>
        <v>50693.68</v>
      </c>
      <c r="S6" s="2451">
        <f>IF('数据-汇总表'!$I$17="按面积比例",SUMIF('数据-汇总表'!C$19:C$33,A6,'数据-汇总表'!K$19:K$33),SUMIF('数据-汇总表'!C$19:C$33,A6,'数据-汇总表'!N$19:N$33))</f>
        <v>0</v>
      </c>
      <c r="T6" s="2452">
        <f>ROUND($L$14*S6/10000,0)</f>
        <v>0</v>
      </c>
      <c r="U6" s="2453">
        <v>0.65</v>
      </c>
      <c r="V6" s="2454">
        <v>2.5000000000000001E-2</v>
      </c>
      <c r="W6" s="2454">
        <v>0.1</v>
      </c>
      <c r="X6" s="2455"/>
      <c r="Y6" s="2474">
        <v>1</v>
      </c>
      <c r="Z6" s="2475"/>
      <c r="AA6" s="2353"/>
      <c r="AB6" s="2353"/>
      <c r="AC6" s="2455"/>
      <c r="AD6" s="2476"/>
      <c r="AE6" s="2477">
        <f ca="1">IF(AN6="",0,SUMIF(INDIRECT("'"&amp;AN6&amp;"'"&amp;"!E:E"),$AE$5,INDIRECT("'"&amp;AN6&amp;"'"&amp;"!F:F")))</f>
        <v>44.69</v>
      </c>
      <c r="AF6" s="1979"/>
      <c r="AG6" s="1478">
        <f>IF(AF6="",0,AE6-AF6)</f>
        <v>0</v>
      </c>
      <c r="AH6" s="2459"/>
      <c r="AI6" s="2488">
        <v>365</v>
      </c>
      <c r="AJ6" s="2489"/>
      <c r="AK6" s="2490">
        <v>1.4999999999999999E-2</v>
      </c>
      <c r="AL6" s="2491">
        <v>1.5E-3</v>
      </c>
      <c r="AM6" s="2492">
        <v>0.01</v>
      </c>
      <c r="AN6" s="2493" t="s">
        <v>585</v>
      </c>
      <c r="AO6" s="1087">
        <f ca="1">SUMIF(INDIRECT("'"&amp;AN6&amp;"'"&amp;"!A:A"),"总价",INDIRECT("'"&amp;AN6&amp;"'"&amp;"!B:B"))</f>
        <v>11288</v>
      </c>
      <c r="AP6" s="2508">
        <f>IF(C6="住宅",K6*L6,0)</f>
        <v>0</v>
      </c>
      <c r="AQ6" s="1087">
        <f>ROUND($L$14*$N$14*S6/10000,0)</f>
        <v>0</v>
      </c>
      <c r="AR6" s="1087">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2" customFormat="1" ht="14.25">
      <c r="A7" s="2345">
        <f>'数据-汇总表'!C20</f>
        <v>0</v>
      </c>
      <c r="B7" s="2346" t="str">
        <f t="shared" ref="B7:B13" si="1">IF(A7=0,"","经营性")</f>
        <v/>
      </c>
      <c r="C7" s="2347"/>
      <c r="D7" s="2348">
        <f>SUMIF(项目基本情况!D$12:I$12,C7,项目基本情况!D$14:I$14)</f>
        <v>0</v>
      </c>
      <c r="E7" s="2349" t="str">
        <f>IF(B7="","",SUMIF(项目基本情况!D$12:I$12,C7,项目基本情况!D$13:I$13))</f>
        <v/>
      </c>
      <c r="F7" s="2350">
        <f>SUMIF(项目基本情况!D$12:I$12,C7,项目基本情况!D$15:I$15)</f>
        <v>0</v>
      </c>
      <c r="G7" s="2351">
        <f t="shared" ref="G7:G13" si="2">IF(ISERROR(ROUND(POWER(1+H7,D7-F7)*(POWER(1+H7,F7)-1)/(POWER(1+H7,D7)-1),3)),0,ROUND(POWER(1+H7,D7-F7)*(POWER(1+H7,F7)-1)/(POWER(1+H7,D7)-1),3))</f>
        <v>0</v>
      </c>
      <c r="H7" s="2352"/>
      <c r="I7" s="2352"/>
      <c r="J7" s="2353"/>
      <c r="K7" s="2426">
        <f>SUMIF('数据-汇总表'!C$19:C$33,A7,'数据-汇总表'!E$19:E$33)</f>
        <v>0</v>
      </c>
      <c r="L7" s="2427"/>
      <c r="M7" s="2428">
        <f t="shared" si="0"/>
        <v>0</v>
      </c>
      <c r="N7" s="2429"/>
      <c r="O7" s="2428">
        <f t="shared" ref="O7:O14" si="3">IF($N$5="成新度","——",ROUND(M7*N7,0))</f>
        <v>0</v>
      </c>
      <c r="P7" s="2430">
        <f t="shared" ref="P7:P14" si="4">IF($N$5="成新度","——",M7-O7)</f>
        <v>0</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53"/>
      <c r="AB7" s="2353"/>
      <c r="AC7" s="2455"/>
      <c r="AD7" s="2476"/>
      <c r="AE7" s="2477">
        <f t="shared" ref="AE7:AE13" ca="1" si="6">IF(AN7="",0,SUMIF(INDIRECT("'"&amp;AN7&amp;"'"&amp;"!E:E"),$AE$5,INDIRECT("'"&amp;AN7&amp;"'"&amp;"!F:F")))</f>
        <v>0</v>
      </c>
      <c r="AF7" s="1979"/>
      <c r="AG7" s="1478">
        <f t="shared" ref="AG7:AG13" si="7">IF(AF7="",0,AE7-AF7)</f>
        <v>0</v>
      </c>
      <c r="AH7" s="2459"/>
      <c r="AI7" s="2488"/>
      <c r="AJ7" s="2489"/>
      <c r="AK7" s="2490"/>
      <c r="AL7" s="2491"/>
      <c r="AM7" s="2492"/>
      <c r="AN7" s="2493"/>
      <c r="AO7" s="1087" t="e">
        <f t="shared" ref="AO7:AO13" ca="1" si="8">SUMIF(INDIRECT("'"&amp;AN7&amp;"'"&amp;"!A:A"),"总价",INDIRECT("'"&amp;AN7&amp;"'"&amp;"!B:B"))</f>
        <v>#REF!</v>
      </c>
      <c r="AP7" s="2508">
        <f t="shared" ref="AP7:AP13" si="9">IF(C7="住宅",K7*L7,0)</f>
        <v>0</v>
      </c>
      <c r="AQ7" s="1087">
        <f t="shared" ref="AQ7:AQ13" si="10">ROUND($L$14*$N$14*S7/10000,0)</f>
        <v>0</v>
      </c>
      <c r="AR7" s="1087">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2" customFormat="1" ht="14.25">
      <c r="A8" s="2345">
        <f>'数据-汇总表'!C21</f>
        <v>0</v>
      </c>
      <c r="B8" s="2346" t="str">
        <f t="shared" si="1"/>
        <v/>
      </c>
      <c r="C8" s="2347"/>
      <c r="D8" s="2348">
        <f>SUMIF(项目基本情况!D$12:I$12,C8,项目基本情况!D$14:I$14)</f>
        <v>0</v>
      </c>
      <c r="E8" s="2349" t="str">
        <f>IF(B8="","",SUMIF(项目基本情况!D$12:I$12,C8,项目基本情况!D$13:I$13))</f>
        <v/>
      </c>
      <c r="F8" s="2350">
        <f>SUMIF(项目基本情况!D$12:I$12,C8,项目基本情况!D$15:I$15)</f>
        <v>0</v>
      </c>
      <c r="G8" s="2351">
        <f t="shared" si="2"/>
        <v>0</v>
      </c>
      <c r="H8" s="2352"/>
      <c r="I8" s="2352"/>
      <c r="J8" s="2353"/>
      <c r="K8" s="2426">
        <f>SUMIF('数据-汇总表'!C$19:C$33,A8,'数据-汇总表'!E$19:E$33)</f>
        <v>0</v>
      </c>
      <c r="L8" s="2427"/>
      <c r="M8" s="2428">
        <f t="shared" si="0"/>
        <v>0</v>
      </c>
      <c r="N8" s="2429"/>
      <c r="O8" s="2428">
        <f t="shared" si="3"/>
        <v>0</v>
      </c>
      <c r="P8" s="2430">
        <f t="shared" si="4"/>
        <v>0</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53"/>
      <c r="AB8" s="2353"/>
      <c r="AC8" s="2455"/>
      <c r="AD8" s="2476"/>
      <c r="AE8" s="2477">
        <f t="shared" ca="1" si="6"/>
        <v>0</v>
      </c>
      <c r="AF8" s="1979"/>
      <c r="AG8" s="1478">
        <f t="shared" si="7"/>
        <v>0</v>
      </c>
      <c r="AH8" s="2494"/>
      <c r="AI8" s="2488"/>
      <c r="AJ8" s="2489"/>
      <c r="AK8" s="2495"/>
      <c r="AL8" s="2496"/>
      <c r="AM8" s="2497"/>
      <c r="AN8" s="2493"/>
      <c r="AO8" s="1087" t="e">
        <f t="shared" ca="1" si="8"/>
        <v>#REF!</v>
      </c>
      <c r="AP8" s="2508">
        <f t="shared" si="9"/>
        <v>0</v>
      </c>
      <c r="AQ8" s="1087">
        <f t="shared" si="10"/>
        <v>0</v>
      </c>
      <c r="AR8" s="1087">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2" customFormat="1" ht="14.25">
      <c r="A9" s="2345">
        <f>'数据-汇总表'!C22</f>
        <v>0</v>
      </c>
      <c r="B9" s="2346" t="str">
        <f t="shared" si="1"/>
        <v/>
      </c>
      <c r="C9" s="2347"/>
      <c r="D9" s="2348">
        <f>SUMIF(项目基本情况!D$12:I$12,C9,项目基本情况!D$14:I$14)</f>
        <v>0</v>
      </c>
      <c r="E9" s="2349" t="str">
        <f>IF(B9="","",SUMIF(项目基本情况!D$12:I$12,C9,项目基本情况!D$13:I$13))</f>
        <v/>
      </c>
      <c r="F9" s="2350">
        <f>SUMIF(项目基本情况!D$12:I$12,C9,项目基本情况!D$15:I$15)</f>
        <v>0</v>
      </c>
      <c r="G9" s="2351">
        <f t="shared" si="2"/>
        <v>0</v>
      </c>
      <c r="H9" s="2353"/>
      <c r="I9" s="2353"/>
      <c r="J9" s="2353"/>
      <c r="K9" s="2426">
        <f>SUMIF('数据-汇总表'!C$19:C$33,A9,'数据-汇总表'!E$19:E$33)</f>
        <v>0</v>
      </c>
      <c r="L9" s="2427"/>
      <c r="M9" s="2428">
        <f t="shared" si="0"/>
        <v>0</v>
      </c>
      <c r="N9" s="2429"/>
      <c r="O9" s="2428">
        <f t="shared" si="3"/>
        <v>0</v>
      </c>
      <c r="P9" s="2430">
        <f t="shared" si="4"/>
        <v>0</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53"/>
      <c r="AB9" s="2353"/>
      <c r="AC9" s="2455"/>
      <c r="AD9" s="2476"/>
      <c r="AE9" s="2477">
        <f t="shared" ca="1" si="6"/>
        <v>0</v>
      </c>
      <c r="AF9" s="1979"/>
      <c r="AG9" s="1478">
        <f t="shared" si="7"/>
        <v>0</v>
      </c>
      <c r="AH9" s="2459"/>
      <c r="AI9" s="2488"/>
      <c r="AJ9" s="2489"/>
      <c r="AK9" s="2490"/>
      <c r="AL9" s="2491"/>
      <c r="AM9" s="2492"/>
      <c r="AN9" s="2493"/>
      <c r="AO9" s="1087" t="e">
        <f t="shared" ca="1" si="8"/>
        <v>#REF!</v>
      </c>
      <c r="AP9" s="2508">
        <f t="shared" si="9"/>
        <v>0</v>
      </c>
      <c r="AQ9" s="1087">
        <f t="shared" si="10"/>
        <v>0</v>
      </c>
      <c r="AR9" s="1087">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2" customFormat="1" ht="14.25">
      <c r="A10" s="2345">
        <f>'数据-汇总表'!C23</f>
        <v>0</v>
      </c>
      <c r="B10" s="2346" t="str">
        <f t="shared" si="1"/>
        <v/>
      </c>
      <c r="C10" s="2347"/>
      <c r="D10" s="2348">
        <f>SUMIF(项目基本情况!D$12:I$12,C10,项目基本情况!D$14:I$14)</f>
        <v>0</v>
      </c>
      <c r="E10" s="2349" t="str">
        <f>IF(B10="","",SUMIF(项目基本情况!D$12:I$12,C10,项目基本情况!D$13:I$13))</f>
        <v/>
      </c>
      <c r="F10" s="2350">
        <f>SUMIF(项目基本情况!D$12:I$12,C10,项目基本情况!D$15:I$15)</f>
        <v>0</v>
      </c>
      <c r="G10" s="2351">
        <f t="shared" si="2"/>
        <v>0</v>
      </c>
      <c r="H10" s="2353"/>
      <c r="I10" s="2353"/>
      <c r="J10" s="2353"/>
      <c r="K10" s="2426">
        <f>SUMIF('数据-汇总表'!C$19:C$33,A10,'数据-汇总表'!E$19:E$33)</f>
        <v>0</v>
      </c>
      <c r="L10" s="2427"/>
      <c r="M10" s="2428">
        <f t="shared" si="0"/>
        <v>0</v>
      </c>
      <c r="N10" s="2429"/>
      <c r="O10" s="2428">
        <f t="shared" si="3"/>
        <v>0</v>
      </c>
      <c r="P10" s="2430">
        <f t="shared" si="4"/>
        <v>0</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53"/>
      <c r="AB10" s="2353"/>
      <c r="AC10" s="2455"/>
      <c r="AD10" s="2476"/>
      <c r="AE10" s="2477">
        <f t="shared" ca="1" si="6"/>
        <v>0</v>
      </c>
      <c r="AF10" s="1979"/>
      <c r="AG10" s="1478">
        <f t="shared" si="7"/>
        <v>0</v>
      </c>
      <c r="AH10" s="2459"/>
      <c r="AI10" s="2488"/>
      <c r="AJ10" s="2489"/>
      <c r="AK10" s="2490"/>
      <c r="AL10" s="2491"/>
      <c r="AM10" s="2492"/>
      <c r="AN10" s="2493"/>
      <c r="AO10" s="1087" t="e">
        <f t="shared" ca="1" si="8"/>
        <v>#REF!</v>
      </c>
      <c r="AP10" s="2508">
        <f t="shared" si="9"/>
        <v>0</v>
      </c>
      <c r="AQ10" s="1087">
        <f t="shared" si="10"/>
        <v>0</v>
      </c>
      <c r="AR10" s="1087">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2" customFormat="1" ht="14.25">
      <c r="A11" s="2345">
        <f>'数据-汇总表'!C24</f>
        <v>0</v>
      </c>
      <c r="B11" s="2346" t="str">
        <f t="shared" si="1"/>
        <v/>
      </c>
      <c r="C11" s="2347"/>
      <c r="D11" s="2348">
        <f>SUMIF(项目基本情况!D$12:I$12,C11,项目基本情况!D$14:I$14)</f>
        <v>0</v>
      </c>
      <c r="E11" s="2349" t="str">
        <f>IF(B11="","",SUMIF(项目基本情况!D$12:I$12,C11,项目基本情况!D$13:I$13))</f>
        <v/>
      </c>
      <c r="F11" s="2350">
        <f>SUMIF(项目基本情况!D$12:I$12,C11,项目基本情况!D$15:I$15)</f>
        <v>0</v>
      </c>
      <c r="G11" s="2351">
        <f t="shared" si="2"/>
        <v>0</v>
      </c>
      <c r="H11" s="2353"/>
      <c r="I11" s="2353"/>
      <c r="J11" s="2353"/>
      <c r="K11" s="2426">
        <f>SUMIF('数据-汇总表'!C$19:C$33,A11,'数据-汇总表'!E$19:E$33)</f>
        <v>0</v>
      </c>
      <c r="L11" s="2431"/>
      <c r="M11" s="2428">
        <f t="shared" si="0"/>
        <v>0</v>
      </c>
      <c r="N11" s="2432"/>
      <c r="O11" s="2428">
        <f t="shared" si="3"/>
        <v>0</v>
      </c>
      <c r="P11" s="2430">
        <f t="shared" si="4"/>
        <v>0</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53"/>
      <c r="W11" s="2353"/>
      <c r="X11" s="2455"/>
      <c r="Y11" s="2474"/>
      <c r="Z11" s="2479"/>
      <c r="AA11" s="2353"/>
      <c r="AB11" s="2353"/>
      <c r="AC11" s="2455"/>
      <c r="AD11" s="2476"/>
      <c r="AE11" s="2477">
        <f t="shared" ca="1" si="6"/>
        <v>0</v>
      </c>
      <c r="AF11" s="1979"/>
      <c r="AG11" s="1478">
        <f t="shared" si="7"/>
        <v>0</v>
      </c>
      <c r="AH11" s="2459"/>
      <c r="AI11" s="2488"/>
      <c r="AJ11" s="2489"/>
      <c r="AK11" s="2498"/>
      <c r="AL11" s="2499"/>
      <c r="AM11" s="2500"/>
      <c r="AN11" s="2493"/>
      <c r="AO11" s="1087" t="e">
        <f t="shared" ca="1" si="8"/>
        <v>#REF!</v>
      </c>
      <c r="AP11" s="2508">
        <f t="shared" si="9"/>
        <v>0</v>
      </c>
      <c r="AQ11" s="1087">
        <f t="shared" si="10"/>
        <v>0</v>
      </c>
      <c r="AR11" s="1087">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2" customFormat="1" ht="14.25">
      <c r="A12" s="2345">
        <f>'数据-汇总表'!C25</f>
        <v>0</v>
      </c>
      <c r="B12" s="2346" t="str">
        <f t="shared" si="1"/>
        <v/>
      </c>
      <c r="C12" s="2347"/>
      <c r="D12" s="2348">
        <f>SUMIF(项目基本情况!D$12:I$12,C12,项目基本情况!D$14:I$14)</f>
        <v>0</v>
      </c>
      <c r="E12" s="2349" t="str">
        <f>IF(B12="","",SUMIF(项目基本情况!D$12:I$12,C12,项目基本情况!D$13:I$13))</f>
        <v/>
      </c>
      <c r="F12" s="2350">
        <f>SUMIF(项目基本情况!D$12:I$12,C12,项目基本情况!D$15:I$15)</f>
        <v>0</v>
      </c>
      <c r="G12" s="2351">
        <f t="shared" si="2"/>
        <v>0</v>
      </c>
      <c r="H12" s="2353"/>
      <c r="I12" s="2353"/>
      <c r="J12" s="2353"/>
      <c r="K12" s="2426">
        <f>SUMIF('数据-汇总表'!C$19:C$33,A12,'数据-汇总表'!E$19:E$33)</f>
        <v>0</v>
      </c>
      <c r="L12" s="2431"/>
      <c r="M12" s="2428">
        <f t="shared" si="0"/>
        <v>0</v>
      </c>
      <c r="N12" s="2432"/>
      <c r="O12" s="2428">
        <f t="shared" si="3"/>
        <v>0</v>
      </c>
      <c r="P12" s="2430">
        <f t="shared" si="4"/>
        <v>0</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53"/>
      <c r="W12" s="2353"/>
      <c r="X12" s="2455"/>
      <c r="Y12" s="2474"/>
      <c r="Z12" s="2479"/>
      <c r="AA12" s="2353"/>
      <c r="AB12" s="2353"/>
      <c r="AC12" s="2455"/>
      <c r="AD12" s="2476"/>
      <c r="AE12" s="2477">
        <f t="shared" ca="1" si="6"/>
        <v>0</v>
      </c>
      <c r="AF12" s="1979"/>
      <c r="AG12" s="1478">
        <f t="shared" si="7"/>
        <v>0</v>
      </c>
      <c r="AH12" s="2459"/>
      <c r="AI12" s="2488"/>
      <c r="AJ12" s="2489"/>
      <c r="AK12" s="2498"/>
      <c r="AL12" s="2499"/>
      <c r="AM12" s="2500"/>
      <c r="AN12" s="2493"/>
      <c r="AO12" s="1087" t="e">
        <f t="shared" ca="1" si="8"/>
        <v>#REF!</v>
      </c>
      <c r="AP12" s="2508">
        <f t="shared" si="9"/>
        <v>0</v>
      </c>
      <c r="AQ12" s="1087">
        <f t="shared" si="10"/>
        <v>0</v>
      </c>
      <c r="AR12" s="1087">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6">
        <f>SUMIF('数据-汇总表'!C$19:C$33,A13,'数据-汇总表'!E$19:E$33)</f>
        <v>0</v>
      </c>
      <c r="L13" s="2431"/>
      <c r="M13" s="2428">
        <f t="shared" si="0"/>
        <v>0</v>
      </c>
      <c r="N13" s="2432"/>
      <c r="O13" s="2428">
        <f t="shared" si="3"/>
        <v>0</v>
      </c>
      <c r="P13" s="2430">
        <f t="shared" si="4"/>
        <v>0</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53"/>
      <c r="AB13" s="2353"/>
      <c r="AC13" s="2455"/>
      <c r="AD13" s="2476"/>
      <c r="AE13" s="2477">
        <f t="shared" ca="1" si="6"/>
        <v>0</v>
      </c>
      <c r="AF13" s="1979"/>
      <c r="AG13" s="1478">
        <f t="shared" si="7"/>
        <v>0</v>
      </c>
      <c r="AH13" s="2459"/>
      <c r="AI13" s="2488"/>
      <c r="AJ13" s="2489"/>
      <c r="AK13" s="2490"/>
      <c r="AL13" s="2491"/>
      <c r="AM13" s="2492"/>
      <c r="AN13" s="2493"/>
      <c r="AO13" s="1087" t="e">
        <f t="shared" ca="1" si="8"/>
        <v>#REF!</v>
      </c>
      <c r="AP13" s="2508">
        <f t="shared" si="9"/>
        <v>0</v>
      </c>
      <c r="AQ13" s="1087">
        <f t="shared" si="10"/>
        <v>0</v>
      </c>
      <c r="AR13" s="1087">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2" customFormat="1" ht="14.25">
      <c r="A14" s="2354" t="s">
        <v>539</v>
      </c>
      <c r="B14" s="2346" t="s">
        <v>538</v>
      </c>
      <c r="C14" s="2355" t="s">
        <v>539</v>
      </c>
      <c r="D14" s="2348"/>
      <c r="E14" s="2349"/>
      <c r="F14" s="2350"/>
      <c r="G14" s="2351"/>
      <c r="H14" s="2356"/>
      <c r="I14" s="2356"/>
      <c r="J14" s="2356"/>
      <c r="K14" s="2426">
        <f>SUMIF('数据-汇总表'!C$19:C$33,A14,'数据-汇总表'!E$19:E$33)</f>
        <v>0</v>
      </c>
      <c r="L14" s="2431"/>
      <c r="M14" s="2428">
        <f t="shared" si="0"/>
        <v>0</v>
      </c>
      <c r="N14" s="2432"/>
      <c r="O14" s="2428">
        <f t="shared" si="3"/>
        <v>0</v>
      </c>
      <c r="P14" s="2430">
        <f t="shared" si="4"/>
        <v>0</v>
      </c>
      <c r="Q14" s="2460"/>
      <c r="R14" s="2450"/>
      <c r="S14" s="2451"/>
      <c r="T14" s="2452"/>
      <c r="U14" s="2461"/>
      <c r="V14" s="2462"/>
      <c r="W14" s="2462"/>
      <c r="X14" s="2463"/>
      <c r="Y14" s="2480"/>
      <c r="Z14" s="2481"/>
      <c r="AA14" s="2482"/>
      <c r="AB14" s="2482"/>
      <c r="AC14" s="2455"/>
      <c r="AD14" s="2463"/>
      <c r="AE14" s="2477"/>
      <c r="AF14" s="1087"/>
      <c r="AG14" s="1478"/>
      <c r="AH14" s="2477"/>
      <c r="AI14" s="1074"/>
      <c r="AJ14" s="1086"/>
      <c r="AK14" s="2501"/>
      <c r="AL14" s="2502"/>
      <c r="AM14" s="2503"/>
      <c r="AN14" s="2325"/>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2" customFormat="1" ht="27">
      <c r="A15" s="2354" t="s">
        <v>540</v>
      </c>
      <c r="B15" s="2346" t="s">
        <v>538</v>
      </c>
      <c r="C15" s="2355" t="s">
        <v>586</v>
      </c>
      <c r="D15" s="2348"/>
      <c r="E15" s="2349"/>
      <c r="F15" s="2350"/>
      <c r="G15" s="2351"/>
      <c r="H15" s="2356"/>
      <c r="I15" s="2356"/>
      <c r="J15" s="2356"/>
      <c r="K15" s="2426">
        <f>SUMIF('数据-汇总表'!C$19:C$33,A15,'数据-汇总表'!E$19:E$33)</f>
        <v>0</v>
      </c>
      <c r="L15" s="2433"/>
      <c r="M15" s="2428"/>
      <c r="N15" s="2434"/>
      <c r="O15" s="2428"/>
      <c r="P15" s="2430"/>
      <c r="Q15" s="2460"/>
      <c r="R15" s="2450"/>
      <c r="S15" s="2451"/>
      <c r="T15" s="2452"/>
      <c r="U15" s="2461"/>
      <c r="V15" s="2462"/>
      <c r="W15" s="2462"/>
      <c r="X15" s="2463"/>
      <c r="Y15" s="2480"/>
      <c r="Z15" s="2481"/>
      <c r="AA15" s="2482"/>
      <c r="AB15" s="2482"/>
      <c r="AC15" s="2455"/>
      <c r="AD15" s="2463"/>
      <c r="AE15" s="2477"/>
      <c r="AF15" s="1087"/>
      <c r="AG15" s="1478"/>
      <c r="AH15" s="2477"/>
      <c r="AI15" s="1074"/>
      <c r="AJ15" s="1086"/>
      <c r="AK15" s="2501"/>
      <c r="AL15" s="2502"/>
      <c r="AM15" s="2503"/>
      <c r="AN15" s="2325"/>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2" customFormat="1" ht="15">
      <c r="A16" s="2357" t="s">
        <v>541</v>
      </c>
      <c r="B16" s="2358"/>
      <c r="C16" s="1914"/>
      <c r="D16" s="2359"/>
      <c r="E16" s="2358"/>
      <c r="F16" s="2358"/>
      <c r="G16" s="2360">
        <f>ROUND(SUMPRODUCT(G6:G13,K6:K13)/SUMPRODUCT((G6:G13&gt;0)*(K6:K13)),3)</f>
        <v>0.98</v>
      </c>
      <c r="H16" s="2361">
        <f>ROUND(SUMPRODUCT(H6:H13,K6:K13)/SUMPRODUCT((H6:H13&gt;0)*(K6:K13)),3)</f>
        <v>4.4999999999999998E-2</v>
      </c>
      <c r="I16" s="2435"/>
      <c r="J16" s="2435"/>
      <c r="K16" s="2436">
        <f>SUM(K6:K15)</f>
        <v>34364.589999999997</v>
      </c>
      <c r="L16" s="2437">
        <f>ROUND(M16*10000/SUM(K6:K14),0)</f>
        <v>1800</v>
      </c>
      <c r="M16" s="2437">
        <f>SUM(M6:M14)</f>
        <v>6186</v>
      </c>
      <c r="N16" s="2438">
        <f>ROUND(SUMPRODUCT(M6:M14,N6:N14)/M16,3)</f>
        <v>0</v>
      </c>
      <c r="O16" s="2437">
        <f>SUM(O6:O14)</f>
        <v>0</v>
      </c>
      <c r="P16" s="2437">
        <f>SUM(P6:P14)</f>
        <v>6186</v>
      </c>
      <c r="Q16" s="2464">
        <f>ROUND(SUMPRODUCT(Q6:Q13,K6:K13)/SUMPRODUCT((Q6:Q13&gt;0)*(K6:K13)),2)</f>
        <v>0.05</v>
      </c>
      <c r="R16" s="2465">
        <f ca="1">SUM(R6:R13)</f>
        <v>50693.68</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25"/>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2"/>
      <c r="B17" s="1667"/>
      <c r="C17" s="1854"/>
      <c r="D17" s="2331"/>
      <c r="E17" s="2331"/>
      <c r="F17" s="1854"/>
      <c r="G17" s="1854"/>
      <c r="H17" s="1854"/>
      <c r="I17" s="1854"/>
      <c r="J17" s="1854"/>
      <c r="K17" s="277"/>
      <c r="L17" s="277"/>
      <c r="M17" s="1854"/>
      <c r="N17" s="2439"/>
      <c r="O17" s="1854"/>
      <c r="P17" s="1854"/>
      <c r="Q17" s="1854"/>
      <c r="R17" s="1854"/>
      <c r="S17" s="1854"/>
      <c r="T17" s="1854"/>
      <c r="U17" s="2965" t="s">
        <v>2558</v>
      </c>
      <c r="V17" s="2965" t="s">
        <v>2560</v>
      </c>
      <c r="W17" s="1854"/>
      <c r="X17" s="1854"/>
      <c r="Y17" s="1854"/>
      <c r="Z17" s="1854"/>
      <c r="AA17" s="1854"/>
      <c r="AB17" s="1854"/>
      <c r="AC17" s="1854"/>
      <c r="AD17" s="1854"/>
      <c r="AE17" s="1854"/>
      <c r="AF17" s="1854"/>
      <c r="AG17" s="1854"/>
      <c r="AH17" s="1854"/>
      <c r="AI17" s="1854"/>
      <c r="AJ17" s="1854"/>
      <c r="AK17" s="1854"/>
      <c r="AL17" s="1854"/>
      <c r="AM17" s="1854"/>
    </row>
    <row r="18" spans="1:67" ht="14.25">
      <c r="A18" s="1307" t="s">
        <v>587</v>
      </c>
      <c r="B18" s="2337"/>
      <c r="C18" s="2334"/>
      <c r="D18" s="2335"/>
      <c r="E18" s="2334"/>
      <c r="F18" s="2334"/>
      <c r="G18" s="2334"/>
      <c r="H18" s="2334"/>
      <c r="I18" s="2334"/>
      <c r="J18" s="2334"/>
      <c r="K18" s="2439"/>
      <c r="L18" s="2440"/>
      <c r="M18" s="2440"/>
      <c r="N18" s="2440"/>
      <c r="O18" s="2440" t="s">
        <v>477</v>
      </c>
      <c r="P18" s="2441" t="s">
        <v>588</v>
      </c>
      <c r="Q18" s="1854"/>
      <c r="R18" s="1854"/>
      <c r="S18" s="1854"/>
      <c r="T18" s="2965" t="s">
        <v>2561</v>
      </c>
      <c r="U18" s="2965">
        <v>1</v>
      </c>
      <c r="V18" s="2965">
        <f>'数据-基础表'!G23+'数据-基础表'!G24+'数据-基础表'!G25+'数据-基础表'!G26+'数据-基础表'!G35</f>
        <v>0</v>
      </c>
      <c r="W18" s="1854"/>
      <c r="X18" s="1854"/>
      <c r="Y18" s="1854"/>
      <c r="Z18" s="1854"/>
      <c r="AA18" s="1854"/>
      <c r="AB18" s="1854"/>
      <c r="AC18" s="1854"/>
      <c r="AD18" s="1854"/>
      <c r="AE18" s="1854"/>
      <c r="AF18" s="1854"/>
      <c r="AG18" s="1854"/>
      <c r="AH18" s="1854"/>
      <c r="AI18" s="1854"/>
      <c r="AJ18" s="1854"/>
      <c r="AK18" s="1854"/>
      <c r="AL18" s="1854"/>
      <c r="AM18" s="1854"/>
    </row>
    <row r="19" spans="1:67" ht="14.25">
      <c r="A19" s="2363" t="s">
        <v>589</v>
      </c>
      <c r="B19" s="2364">
        <v>0</v>
      </c>
      <c r="C19" s="2334" t="s">
        <v>590</v>
      </c>
      <c r="D19" s="2335"/>
      <c r="E19" s="2334"/>
      <c r="F19" s="2334"/>
      <c r="G19" s="2334"/>
      <c r="H19" s="2334"/>
      <c r="I19" s="2334"/>
      <c r="J19" s="2334"/>
      <c r="K19" s="2440"/>
      <c r="L19" s="2439"/>
      <c r="M19" s="2439"/>
      <c r="N19" s="2442" t="str">
        <f>T19</f>
        <v>厂房</v>
      </c>
      <c r="O19" s="1854">
        <f>V19</f>
        <v>4351.3</v>
      </c>
      <c r="P19" s="1854">
        <v>1500</v>
      </c>
      <c r="Q19" s="1854">
        <f>ROUND(P19*O19/10000,0)</f>
        <v>653</v>
      </c>
      <c r="R19" s="1854"/>
      <c r="S19" s="1854"/>
      <c r="T19" s="2965" t="s">
        <v>2562</v>
      </c>
      <c r="U19" s="1854">
        <v>0.6</v>
      </c>
      <c r="V19" s="1854">
        <f>'数据-基础表'!H16+'数据-基础表'!H22</f>
        <v>4351.3</v>
      </c>
      <c r="W19" s="1854"/>
      <c r="X19" s="1854"/>
      <c r="Y19" s="1854"/>
      <c r="Z19" s="1854"/>
      <c r="AA19" s="1854"/>
      <c r="AB19" s="1854"/>
      <c r="AC19" s="1854"/>
      <c r="AD19" s="1854"/>
      <c r="AE19" s="1854"/>
      <c r="AF19" s="1854"/>
      <c r="AG19" s="1854"/>
      <c r="AH19" s="1854"/>
      <c r="AI19" s="1854"/>
      <c r="AJ19" s="1854"/>
      <c r="AK19" s="1854"/>
      <c r="AL19" s="1854"/>
      <c r="AM19" s="1854"/>
    </row>
    <row r="20" spans="1:67" ht="14.25">
      <c r="A20" s="2365" t="s">
        <v>591</v>
      </c>
      <c r="B20" s="2366">
        <v>2</v>
      </c>
      <c r="C20" s="2334" t="s">
        <v>592</v>
      </c>
      <c r="D20" s="2335"/>
      <c r="E20" s="2334"/>
      <c r="F20" s="2334"/>
      <c r="G20" s="2334"/>
      <c r="H20" s="2334"/>
      <c r="I20" s="2334"/>
      <c r="J20" s="2334"/>
      <c r="K20" s="2440"/>
      <c r="L20" s="2439"/>
      <c r="M20" s="2439"/>
      <c r="N20" s="2442" t="str">
        <f>T18</f>
        <v>办公</v>
      </c>
      <c r="O20" s="2962">
        <f>V18</f>
        <v>0</v>
      </c>
      <c r="P20" s="1854">
        <v>2500</v>
      </c>
      <c r="Q20" s="1854">
        <f>ROUND(P20*O20/10000,0)</f>
        <v>0</v>
      </c>
      <c r="R20" s="1854"/>
      <c r="S20" s="1854"/>
      <c r="T20" s="2965" t="s">
        <v>2559</v>
      </c>
      <c r="U20" s="1854">
        <v>0.5</v>
      </c>
      <c r="V20" s="1854">
        <f>'数据-汇总表'!E3-'数据-取费表'!V19-V18</f>
        <v>30013.289999999997</v>
      </c>
      <c r="W20" s="1854"/>
      <c r="X20" s="1854"/>
      <c r="Y20" s="1854"/>
      <c r="Z20" s="1854"/>
      <c r="AA20" s="1854"/>
      <c r="AB20" s="1854"/>
      <c r="AC20" s="1854"/>
      <c r="AD20" s="1854"/>
      <c r="AE20" s="1854"/>
      <c r="AF20" s="1854"/>
      <c r="AG20" s="1854"/>
      <c r="AH20" s="1854"/>
      <c r="AI20" s="1854"/>
      <c r="AJ20" s="1854"/>
      <c r="AK20" s="1854"/>
      <c r="AL20" s="1854"/>
      <c r="AM20" s="1854"/>
    </row>
    <row r="21" spans="1:67" ht="14.25">
      <c r="A21" s="2367" t="s">
        <v>593</v>
      </c>
      <c r="B21" s="2366">
        <f>ROUND(B20*N16,2)</f>
        <v>0</v>
      </c>
      <c r="C21" s="2334"/>
      <c r="D21" s="2335"/>
      <c r="E21" s="2334"/>
      <c r="F21" s="2334"/>
      <c r="G21" s="2334"/>
      <c r="H21" s="2334"/>
      <c r="I21" s="2334"/>
      <c r="J21" s="2334"/>
      <c r="K21" s="277"/>
      <c r="L21" s="2443"/>
      <c r="M21" s="1854"/>
      <c r="N21" s="1854" t="str">
        <f>T20</f>
        <v>非经营性</v>
      </c>
      <c r="O21" s="2962">
        <f>V20</f>
        <v>30013.289999999997</v>
      </c>
      <c r="P21" s="1854">
        <v>1450</v>
      </c>
      <c r="Q21" s="1854">
        <f>ROUND(P21*O21/10000,0)</f>
        <v>4352</v>
      </c>
      <c r="R21" s="1854"/>
      <c r="S21" s="1854"/>
      <c r="T21" s="1854"/>
      <c r="U21" s="1854">
        <f>ROUND(U19*V19/V21+U20*V20/V21+U18*V18/V21,2)</f>
        <v>0.51</v>
      </c>
      <c r="V21" s="1854">
        <f>'数据-汇总表'!E3</f>
        <v>34364.589999999997</v>
      </c>
      <c r="W21" s="1854"/>
      <c r="X21" s="1854"/>
      <c r="Y21" s="1854"/>
      <c r="Z21" s="1854"/>
      <c r="AA21" s="1854"/>
      <c r="AB21" s="1854"/>
      <c r="AC21" s="1854"/>
      <c r="AD21" s="1854"/>
      <c r="AE21" s="1854"/>
      <c r="AF21" s="1854"/>
      <c r="AG21" s="1854"/>
      <c r="AH21" s="1854"/>
      <c r="AI21" s="1854"/>
      <c r="AJ21" s="1854"/>
      <c r="AK21" s="1854"/>
      <c r="AL21" s="1854"/>
      <c r="AM21" s="1854"/>
    </row>
    <row r="22" spans="1:67" ht="14.25">
      <c r="A22" s="2365" t="s">
        <v>594</v>
      </c>
      <c r="B22" s="2368">
        <f>B19+B20</f>
        <v>2</v>
      </c>
      <c r="C22" s="2334"/>
      <c r="D22" s="2335"/>
      <c r="E22" s="2334"/>
      <c r="F22" s="2334"/>
      <c r="G22" s="2334"/>
      <c r="H22" s="2334"/>
      <c r="I22" s="2334"/>
      <c r="J22" s="2334"/>
      <c r="K22" s="277"/>
      <c r="L22" s="277"/>
      <c r="M22" s="1854"/>
      <c r="N22" s="1854"/>
      <c r="O22" s="2962">
        <f>K16</f>
        <v>34364.589999999997</v>
      </c>
      <c r="P22" s="1854" t="s">
        <v>2563</v>
      </c>
      <c r="Q22" s="1854">
        <f>SUM(Q19:Q21)</f>
        <v>5005</v>
      </c>
      <c r="R22" s="1854">
        <f>Q22-M6</f>
        <v>-1181</v>
      </c>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67" t="s">
        <v>595</v>
      </c>
      <c r="B23" s="2368">
        <f>B19+B21</f>
        <v>0</v>
      </c>
      <c r="C23" s="2334"/>
      <c r="D23" s="2335"/>
      <c r="E23" s="2334"/>
      <c r="F23" s="2334"/>
      <c r="G23" s="2334"/>
      <c r="H23" s="2334"/>
      <c r="I23" s="2334"/>
      <c r="J23" s="2334"/>
      <c r="K23" s="277"/>
      <c r="L23" s="277"/>
      <c r="M23" s="1854"/>
      <c r="N23" s="1854"/>
      <c r="O23" s="1854"/>
      <c r="P23" s="1854"/>
      <c r="Q23" s="1854">
        <f>ROUND(Q22*10000/O22,0)</f>
        <v>1456</v>
      </c>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69" t="s">
        <v>596</v>
      </c>
      <c r="B24" s="2370">
        <f>B20-B21</f>
        <v>2</v>
      </c>
      <c r="C24" s="2334"/>
      <c r="D24" s="2335"/>
      <c r="E24" s="2334"/>
      <c r="F24" s="2334"/>
      <c r="G24" s="2334"/>
      <c r="H24" s="2334"/>
      <c r="I24" s="2334"/>
      <c r="J24" s="2334"/>
      <c r="K24" s="277"/>
      <c r="L24" s="277"/>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36"/>
      <c r="B25" s="2337"/>
      <c r="C25" s="2334"/>
      <c r="D25" s="2335"/>
      <c r="E25" s="2334"/>
      <c r="F25" s="2334"/>
      <c r="G25" s="2334"/>
      <c r="H25" s="2334"/>
      <c r="I25" s="2334"/>
      <c r="J25" s="2334"/>
      <c r="K25" s="277"/>
      <c r="L25" s="277"/>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32" t="s">
        <v>597</v>
      </c>
      <c r="B26" s="2371" t="s">
        <v>598</v>
      </c>
      <c r="C26" s="2372" t="s">
        <v>599</v>
      </c>
      <c r="D26" s="2335"/>
      <c r="E26" s="2334"/>
      <c r="F26" s="2334"/>
      <c r="G26" s="2334"/>
      <c r="H26" s="2334"/>
      <c r="I26" s="2334"/>
      <c r="J26" s="2334"/>
      <c r="K26" s="277"/>
      <c r="L26" s="277"/>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24" customFormat="1" ht="27.75">
      <c r="A27" s="2373" t="s">
        <v>600</v>
      </c>
      <c r="B27" s="2374">
        <v>115</v>
      </c>
      <c r="C27" s="2375" t="s">
        <v>601</v>
      </c>
      <c r="D27" s="2376"/>
      <c r="E27" s="1360"/>
      <c r="F27" s="1360"/>
      <c r="G27" s="2334"/>
      <c r="H27" s="2334"/>
      <c r="I27" s="2334"/>
      <c r="J27" s="2334"/>
      <c r="K27" s="277"/>
      <c r="L27" s="277"/>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f>N28</f>
        <v>0</v>
      </c>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24" customFormat="1" ht="27.75">
      <c r="A28" s="2377" t="s">
        <v>602</v>
      </c>
      <c r="B28" s="2378">
        <v>115</v>
      </c>
      <c r="C28" s="2379"/>
      <c r="D28" s="2376"/>
      <c r="E28" s="1360"/>
      <c r="F28" s="1360"/>
      <c r="G28" s="2334"/>
      <c r="H28" s="2334"/>
      <c r="I28" s="2334"/>
      <c r="J28" s="2334"/>
      <c r="K28" s="277"/>
      <c r="L28" s="277"/>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f>N29</f>
        <v>0</v>
      </c>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24" customFormat="1" ht="27.75">
      <c r="A29" s="2380" t="s">
        <v>603</v>
      </c>
      <c r="B29" s="2381"/>
      <c r="C29" s="2375" t="s">
        <v>604</v>
      </c>
      <c r="D29" s="2376"/>
      <c r="E29" s="1360"/>
      <c r="F29" s="1360"/>
      <c r="G29" s="2334"/>
      <c r="H29" s="2334"/>
      <c r="I29" s="2334"/>
      <c r="J29" s="2334"/>
      <c r="K29" s="277"/>
      <c r="L29" s="277"/>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f>N30</f>
        <v>0</v>
      </c>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24" customFormat="1" ht="27">
      <c r="A30" s="2382" t="s">
        <v>605</v>
      </c>
      <c r="B30" s="2383">
        <v>180</v>
      </c>
      <c r="C30" s="2379"/>
      <c r="D30" s="2376"/>
      <c r="E30" s="1360"/>
      <c r="F30" s="1360"/>
      <c r="G30" s="2334"/>
      <c r="H30" s="2334"/>
      <c r="I30" s="2334"/>
      <c r="J30" s="2334"/>
      <c r="K30" s="277"/>
      <c r="L30" s="277"/>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24" customFormat="1" ht="27">
      <c r="A31" s="2377" t="s">
        <v>606</v>
      </c>
      <c r="B31" s="2384">
        <f>B30-B32</f>
        <v>180</v>
      </c>
      <c r="C31" s="2375"/>
      <c r="D31" s="2376"/>
      <c r="E31" s="1360"/>
      <c r="F31" s="1360"/>
      <c r="G31" s="2334"/>
      <c r="H31" s="2334"/>
      <c r="I31" s="2334"/>
      <c r="J31" s="2334"/>
      <c r="K31" s="277"/>
      <c r="L31" s="277"/>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24" customFormat="1" ht="27">
      <c r="A32" s="2385" t="s">
        <v>607</v>
      </c>
      <c r="B32" s="2386">
        <v>0</v>
      </c>
      <c r="C32" s="2379"/>
      <c r="D32" s="2335"/>
      <c r="E32" s="2334"/>
      <c r="F32" s="2334"/>
      <c r="G32" s="2334"/>
      <c r="H32" s="2334"/>
      <c r="I32" s="2334"/>
      <c r="J32" s="2334"/>
      <c r="K32" s="277"/>
      <c r="L32" s="277"/>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24" customFormat="1" ht="14.25">
      <c r="A33" s="2373" t="s">
        <v>608</v>
      </c>
      <c r="B33" s="2387">
        <v>3.5000000000000003E-2</v>
      </c>
      <c r="C33" s="2388" t="s">
        <v>609</v>
      </c>
      <c r="D33" s="2335"/>
      <c r="E33" s="2334"/>
      <c r="F33" s="2334"/>
      <c r="G33" s="2334"/>
      <c r="H33" s="2334"/>
      <c r="I33" s="2334"/>
      <c r="J33" s="2334"/>
      <c r="K33" s="277"/>
      <c r="L33" s="277"/>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24" customFormat="1" ht="14.25">
      <c r="A34" s="2377" t="s">
        <v>610</v>
      </c>
      <c r="B34" s="2389">
        <v>0</v>
      </c>
      <c r="C34" s="2388" t="s">
        <v>611</v>
      </c>
      <c r="D34" s="2335" t="s">
        <v>612</v>
      </c>
      <c r="E34" s="1667"/>
      <c r="F34" s="2334"/>
      <c r="G34" s="2334"/>
      <c r="H34" s="2334"/>
      <c r="I34" s="2334"/>
      <c r="J34" s="2334"/>
      <c r="K34" s="277"/>
      <c r="L34" s="277"/>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24" customFormat="1" ht="14.25">
      <c r="A35" s="2377" t="s">
        <v>613</v>
      </c>
      <c r="B35" s="2390">
        <v>180</v>
      </c>
      <c r="C35" s="2388" t="s">
        <v>614</v>
      </c>
      <c r="D35" s="2376"/>
      <c r="E35" s="1360"/>
      <c r="F35" s="1360"/>
      <c r="G35" s="2334"/>
      <c r="H35" s="2334"/>
      <c r="I35" s="2334"/>
      <c r="J35" s="2334"/>
      <c r="K35" s="277"/>
      <c r="L35" s="277"/>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0" t="s">
        <v>615</v>
      </c>
      <c r="B36" s="2391">
        <v>1.4999999999999999E-2</v>
      </c>
      <c r="C36" s="2388" t="s">
        <v>616</v>
      </c>
      <c r="D36" s="2335"/>
      <c r="E36" s="2334"/>
      <c r="F36" s="2334"/>
      <c r="G36" s="2334"/>
      <c r="H36" s="2334"/>
      <c r="I36" s="2334"/>
      <c r="J36" s="2334"/>
      <c r="K36" s="277"/>
      <c r="L36" s="277"/>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82" t="s">
        <v>617</v>
      </c>
      <c r="B37" s="2392">
        <v>0.02</v>
      </c>
      <c r="C37" s="2388" t="s">
        <v>618</v>
      </c>
      <c r="D37" s="2335"/>
      <c r="E37" s="2334"/>
      <c r="F37" s="2334"/>
      <c r="G37" s="2334"/>
      <c r="H37" s="2334"/>
      <c r="I37" s="2334"/>
      <c r="J37" s="2334"/>
      <c r="K37" s="277"/>
      <c r="L37" s="277"/>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77" t="s">
        <v>619</v>
      </c>
      <c r="B38" s="2389">
        <v>0.02</v>
      </c>
      <c r="C38" s="2388" t="s">
        <v>618</v>
      </c>
      <c r="D38" s="2335"/>
      <c r="E38" s="2334"/>
      <c r="F38" s="2334"/>
      <c r="G38" s="2334"/>
      <c r="H38" s="2334"/>
      <c r="I38" s="2334"/>
      <c r="J38" s="2334"/>
      <c r="K38" s="277"/>
      <c r="L38" s="277"/>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85" t="s">
        <v>620</v>
      </c>
      <c r="B39" s="2393">
        <f ca="1">存贷款利率!I1</f>
        <v>1.4999999999999999E-2</v>
      </c>
      <c r="C39" s="2388"/>
      <c r="D39" s="2335"/>
      <c r="E39" s="2334"/>
      <c r="F39" s="2334"/>
      <c r="G39" s="2334"/>
      <c r="H39" s="2334"/>
      <c r="I39" s="2334"/>
      <c r="J39" s="2334"/>
      <c r="K39" s="277"/>
      <c r="L39" s="277"/>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85" t="s">
        <v>621</v>
      </c>
      <c r="B40" s="2394">
        <f ca="1">存贷款利率!G1</f>
        <v>4.7500000000000001E-2</v>
      </c>
      <c r="C40" s="2388" t="s">
        <v>622</v>
      </c>
      <c r="D40" s="1854"/>
      <c r="E40" s="2335"/>
      <c r="F40" s="2334"/>
      <c r="G40" s="2334"/>
      <c r="H40" s="2334"/>
      <c r="I40" s="2334"/>
      <c r="J40" s="2334"/>
      <c r="K40" s="277"/>
      <c r="L40" s="277"/>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73" t="s">
        <v>623</v>
      </c>
      <c r="B41" s="2395">
        <f>B42+B43</f>
        <v>5.5E-2</v>
      </c>
      <c r="C41" s="2375"/>
      <c r="D41" s="1854"/>
      <c r="E41" s="2335"/>
      <c r="F41" s="2334"/>
      <c r="G41" s="2334"/>
      <c r="H41" s="2334"/>
      <c r="I41" s="2334"/>
      <c r="J41" s="2334"/>
      <c r="K41" s="277"/>
      <c r="L41" s="277"/>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396" t="s">
        <v>624</v>
      </c>
      <c r="B42" s="2397">
        <v>0.05</v>
      </c>
      <c r="C42" s="2398">
        <f>IF(B2&lt;DATE(2016,5,1),0,B42)</f>
        <v>0.05</v>
      </c>
      <c r="D42" s="2335"/>
      <c r="E42" s="2334"/>
      <c r="F42" s="2334"/>
      <c r="G42" s="2334"/>
      <c r="H42" s="2334"/>
      <c r="I42" s="2334"/>
      <c r="J42" s="2334"/>
      <c r="K42" s="277"/>
      <c r="L42" s="277"/>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396" t="s">
        <v>625</v>
      </c>
      <c r="B43" s="2399">
        <f>B42*(B44+B45+B46)+B47</f>
        <v>5.0000000000000001E-3</v>
      </c>
      <c r="C43" s="2375"/>
      <c r="D43" s="2335"/>
      <c r="E43" s="2334"/>
      <c r="F43" s="2334"/>
      <c r="G43" s="2334"/>
      <c r="H43" s="2334"/>
      <c r="I43" s="2334"/>
      <c r="J43" s="2334"/>
      <c r="K43" s="277"/>
      <c r="L43" s="277"/>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0" t="s">
        <v>626</v>
      </c>
      <c r="B44" s="2401">
        <v>0.05</v>
      </c>
      <c r="C44" s="2388" t="s">
        <v>627</v>
      </c>
      <c r="D44" s="2335"/>
      <c r="E44" s="2334"/>
      <c r="F44" s="2334"/>
      <c r="G44" s="2334"/>
      <c r="H44" s="2334"/>
      <c r="I44" s="2334"/>
      <c r="J44" s="2334"/>
      <c r="K44" s="277"/>
      <c r="L44" s="277"/>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0" t="s">
        <v>628</v>
      </c>
      <c r="B45" s="2397">
        <v>0.03</v>
      </c>
      <c r="C45" s="2375" t="s">
        <v>629</v>
      </c>
      <c r="D45" s="2335"/>
      <c r="E45" s="2334"/>
      <c r="F45" s="2334"/>
      <c r="G45" s="2334"/>
      <c r="H45" s="2334"/>
      <c r="I45" s="2334"/>
      <c r="J45" s="2334"/>
      <c r="K45" s="277"/>
      <c r="L45" s="277"/>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0" t="s">
        <v>630</v>
      </c>
      <c r="B46" s="2397">
        <v>0.02</v>
      </c>
      <c r="C46" s="2375" t="s">
        <v>631</v>
      </c>
      <c r="D46" s="2335"/>
      <c r="E46" s="2334"/>
      <c r="F46" s="2334"/>
      <c r="G46" s="2334"/>
      <c r="H46" s="2334"/>
      <c r="I46" s="2334"/>
      <c r="J46" s="2334"/>
      <c r="K46" s="277"/>
      <c r="L46" s="277"/>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02" t="s">
        <v>632</v>
      </c>
      <c r="B47" s="2403">
        <v>0</v>
      </c>
      <c r="C47" s="2375" t="s">
        <v>601</v>
      </c>
      <c r="D47" s="2335"/>
      <c r="E47" s="2334"/>
      <c r="F47" s="2334"/>
      <c r="G47" s="2334"/>
      <c r="H47" s="2334"/>
      <c r="I47" s="2334"/>
      <c r="J47" s="2334"/>
      <c r="K47" s="277"/>
      <c r="L47" s="277"/>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04" t="s">
        <v>633</v>
      </c>
      <c r="B48" s="2405">
        <v>0.03</v>
      </c>
      <c r="C48" s="2406" t="s">
        <v>634</v>
      </c>
      <c r="D48" s="2335"/>
      <c r="E48" s="2334"/>
      <c r="F48" s="2334"/>
      <c r="G48" s="2334"/>
      <c r="H48" s="2334"/>
      <c r="I48" s="2334"/>
      <c r="J48" s="2334"/>
      <c r="K48" s="277"/>
      <c r="L48" s="277"/>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85" t="s">
        <v>635</v>
      </c>
      <c r="B49" s="2397">
        <v>5.0000000000000001E-4</v>
      </c>
      <c r="C49" s="2406" t="s">
        <v>636</v>
      </c>
      <c r="D49" s="2335"/>
      <c r="E49" s="2334"/>
      <c r="F49" s="2334"/>
      <c r="G49" s="2334"/>
      <c r="H49" s="2334"/>
      <c r="I49" s="2334"/>
      <c r="J49" s="2334"/>
      <c r="K49" s="277"/>
      <c r="L49" s="277"/>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07" t="s">
        <v>637</v>
      </c>
      <c r="B50" s="2408">
        <v>1.2E-2</v>
      </c>
      <c r="C50" s="1360"/>
      <c r="D50" s="2335"/>
      <c r="E50" s="2334"/>
      <c r="F50" s="2334"/>
      <c r="G50" s="2334"/>
      <c r="H50" s="2334"/>
      <c r="I50" s="2334"/>
      <c r="J50" s="2334"/>
      <c r="K50" s="277"/>
      <c r="L50" s="277"/>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0" t="s">
        <v>638</v>
      </c>
      <c r="B51" s="2409">
        <v>0.12</v>
      </c>
      <c r="C51" s="1360"/>
      <c r="D51" s="2335"/>
      <c r="E51" s="2334"/>
      <c r="F51" s="2334"/>
      <c r="G51" s="2334"/>
      <c r="H51" s="2334"/>
      <c r="I51" s="2334"/>
      <c r="J51" s="2334"/>
      <c r="K51" s="277"/>
      <c r="L51" s="277"/>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07" t="s">
        <v>639</v>
      </c>
      <c r="B52" s="2410">
        <f>SUMIF(A54:A63,B53,B54:B63)</f>
        <v>6</v>
      </c>
      <c r="C52" s="1360"/>
      <c r="D52" s="2335"/>
      <c r="E52" s="2334"/>
      <c r="F52" s="2334"/>
      <c r="G52" s="2334"/>
      <c r="H52" s="2334"/>
      <c r="I52" s="2334"/>
      <c r="J52" s="2334"/>
      <c r="K52" s="277"/>
      <c r="L52" s="277"/>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77" t="s">
        <v>640</v>
      </c>
      <c r="B53" s="2411" t="s">
        <v>269</v>
      </c>
      <c r="C53" s="1360" t="s">
        <v>641</v>
      </c>
      <c r="D53" s="2412" t="s">
        <v>642</v>
      </c>
      <c r="E53" s="2334"/>
      <c r="F53" s="2334"/>
      <c r="G53" s="2334"/>
      <c r="H53" s="2334"/>
      <c r="I53" s="2334"/>
      <c r="J53" s="2334"/>
      <c r="K53" s="277"/>
      <c r="L53" s="277"/>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13" t="s">
        <v>643</v>
      </c>
      <c r="B54" s="2414"/>
      <c r="C54" s="1360">
        <v>30</v>
      </c>
      <c r="D54" s="2335"/>
      <c r="E54" s="2334"/>
      <c r="F54" s="2334"/>
      <c r="G54" s="2334"/>
      <c r="H54" s="2334"/>
      <c r="I54" s="2334"/>
      <c r="J54" s="2334"/>
      <c r="K54" s="277"/>
      <c r="L54" s="277"/>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13" t="s">
        <v>644</v>
      </c>
      <c r="B55" s="2414"/>
      <c r="C55" s="1360">
        <v>24</v>
      </c>
      <c r="D55" s="2335"/>
      <c r="E55" s="2334"/>
      <c r="F55" s="2334"/>
      <c r="G55" s="2334"/>
      <c r="H55" s="2334"/>
      <c r="I55" s="2444"/>
      <c r="J55" s="2334"/>
      <c r="K55" s="277"/>
      <c r="L55" s="277"/>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13" t="s">
        <v>645</v>
      </c>
      <c r="B56" s="2414"/>
      <c r="C56" s="1360">
        <v>18</v>
      </c>
      <c r="D56" s="2335"/>
      <c r="E56" s="2334"/>
      <c r="F56" s="2334"/>
      <c r="G56" s="2334"/>
      <c r="H56" s="2334"/>
      <c r="I56" s="2334"/>
      <c r="J56" s="2334"/>
      <c r="K56" s="277"/>
      <c r="L56" s="277"/>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13" t="s">
        <v>646</v>
      </c>
      <c r="B57" s="2414"/>
      <c r="C57" s="1360">
        <v>12</v>
      </c>
      <c r="D57" s="2335"/>
      <c r="E57" s="2334"/>
      <c r="F57" s="2334"/>
      <c r="G57" s="2334"/>
      <c r="H57" s="2334"/>
      <c r="I57" s="2334"/>
      <c r="J57" s="2334"/>
      <c r="K57" s="277"/>
      <c r="L57" s="277"/>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13" t="s">
        <v>647</v>
      </c>
      <c r="B58" s="2414">
        <v>6</v>
      </c>
      <c r="C58" s="1360">
        <v>3</v>
      </c>
      <c r="D58" s="2335"/>
      <c r="E58" s="2334"/>
      <c r="F58" s="2334"/>
      <c r="G58" s="2334"/>
      <c r="H58" s="2334"/>
      <c r="I58" s="2334"/>
      <c r="J58" s="2334"/>
      <c r="K58" s="277"/>
      <c r="L58" s="277"/>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13" t="s">
        <v>648</v>
      </c>
      <c r="B59" s="2414"/>
      <c r="C59" s="1360">
        <v>1.5</v>
      </c>
      <c r="D59" s="2335"/>
      <c r="E59" s="2334"/>
      <c r="F59" s="2334"/>
      <c r="G59" s="2334"/>
      <c r="H59" s="2334"/>
      <c r="I59" s="2334"/>
      <c r="J59" s="2334"/>
      <c r="K59" s="277"/>
      <c r="L59" s="277"/>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13" t="s">
        <v>649</v>
      </c>
      <c r="B60" s="2414"/>
      <c r="C60" s="2334"/>
      <c r="D60" s="2335"/>
      <c r="E60" s="2334"/>
      <c r="F60" s="2334"/>
      <c r="G60" s="2334"/>
      <c r="H60" s="2334"/>
      <c r="I60" s="2334"/>
      <c r="J60" s="2334"/>
      <c r="K60" s="277"/>
      <c r="L60" s="277"/>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13" t="s">
        <v>650</v>
      </c>
      <c r="B61" s="2414"/>
      <c r="C61" s="2334"/>
      <c r="D61" s="2335"/>
      <c r="E61" s="2334"/>
      <c r="F61" s="2334"/>
      <c r="G61" s="2334"/>
      <c r="H61" s="2334"/>
      <c r="I61" s="2334"/>
      <c r="J61" s="2334"/>
      <c r="K61" s="277"/>
      <c r="L61" s="277"/>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13" t="s">
        <v>651</v>
      </c>
      <c r="B62" s="2414"/>
      <c r="C62" s="2334"/>
      <c r="D62" s="2335"/>
      <c r="E62" s="2334"/>
      <c r="F62" s="2334"/>
      <c r="G62" s="2334"/>
      <c r="H62" s="2334"/>
      <c r="I62" s="2334"/>
      <c r="J62" s="2334"/>
      <c r="K62" s="277"/>
      <c r="L62" s="277"/>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15" t="s">
        <v>652</v>
      </c>
      <c r="B63" s="2416"/>
      <c r="C63" s="2334"/>
      <c r="D63" s="2335"/>
      <c r="E63" s="2334"/>
      <c r="F63" s="2334"/>
      <c r="G63" s="2334"/>
      <c r="H63" s="2334"/>
      <c r="I63" s="2334"/>
      <c r="J63" s="2334"/>
      <c r="K63" s="277"/>
      <c r="L63" s="277"/>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39"/>
      <c r="D64" s="2417"/>
      <c r="K64" s="328"/>
      <c r="L64" s="328"/>
    </row>
    <row r="65" spans="1:12" s="1928" customFormat="1">
      <c r="A65" s="2239"/>
      <c r="D65" s="2417"/>
      <c r="K65" s="328"/>
      <c r="L65" s="328"/>
    </row>
    <row r="66" spans="1:12" s="1928" customFormat="1">
      <c r="A66" s="2239"/>
      <c r="D66" s="2417"/>
      <c r="K66" s="328"/>
      <c r="L66" s="328"/>
    </row>
    <row r="67" spans="1:12" s="1928" customFormat="1">
      <c r="A67" s="2239"/>
      <c r="D67" s="2417"/>
      <c r="K67" s="328"/>
      <c r="L67" s="328"/>
    </row>
    <row r="68" spans="1:12" s="1928" customFormat="1">
      <c r="A68" s="2239"/>
      <c r="D68" s="2417"/>
      <c r="K68" s="328"/>
      <c r="L68" s="328"/>
    </row>
    <row r="69" spans="1:12" s="1928" customFormat="1">
      <c r="A69" s="2239"/>
      <c r="D69" s="2417"/>
      <c r="K69" s="328"/>
      <c r="L69" s="328"/>
    </row>
    <row r="70" spans="1:12" s="1928" customFormat="1">
      <c r="A70" s="2239"/>
      <c r="D70" s="2417"/>
      <c r="K70" s="328"/>
      <c r="L70" s="328"/>
    </row>
    <row r="71" spans="1:12" s="1928" customFormat="1">
      <c r="A71" s="2239"/>
      <c r="D71" s="2417"/>
      <c r="K71" s="328"/>
      <c r="L71" s="328"/>
    </row>
    <row r="72" spans="1:12" s="1928" customFormat="1">
      <c r="A72" s="2239"/>
      <c r="D72" s="2417"/>
      <c r="K72" s="328"/>
      <c r="L72" s="328"/>
    </row>
    <row r="73" spans="1:12" s="1928" customFormat="1">
      <c r="A73" s="2239"/>
      <c r="D73" s="2417"/>
      <c r="K73" s="328"/>
      <c r="L73" s="328"/>
    </row>
    <row r="74" spans="1:12" s="1928" customFormat="1">
      <c r="A74" s="2239"/>
      <c r="D74" s="2417"/>
      <c r="K74" s="328"/>
      <c r="L74" s="328"/>
    </row>
    <row r="75" spans="1:12" s="1928" customFormat="1">
      <c r="A75" s="2239"/>
      <c r="D75" s="2417"/>
      <c r="K75" s="328"/>
      <c r="L75" s="328"/>
    </row>
    <row r="76" spans="1:12" s="1928" customFormat="1">
      <c r="A76" s="2239"/>
      <c r="D76" s="2417"/>
      <c r="K76" s="328"/>
      <c r="L76" s="328"/>
    </row>
    <row r="77" spans="1:12" s="1928" customFormat="1">
      <c r="A77" s="2239"/>
      <c r="D77" s="2417"/>
      <c r="K77" s="328"/>
      <c r="L77" s="328"/>
    </row>
    <row r="78" spans="1:12" s="1928" customFormat="1">
      <c r="A78" s="2239"/>
      <c r="D78" s="2417"/>
      <c r="K78" s="328"/>
      <c r="L78" s="328"/>
    </row>
    <row r="79" spans="1:12" s="1928" customFormat="1">
      <c r="A79" s="2239"/>
      <c r="D79" s="2417"/>
      <c r="K79" s="328"/>
      <c r="L79" s="328"/>
    </row>
    <row r="80" spans="1:12" s="1928" customFormat="1">
      <c r="A80" s="2239"/>
      <c r="D80" s="2417"/>
      <c r="K80" s="328"/>
      <c r="L80" s="328"/>
    </row>
    <row r="81" spans="1:12" s="1928" customFormat="1">
      <c r="A81" s="2239"/>
      <c r="D81" s="2417"/>
      <c r="K81" s="328"/>
      <c r="L81" s="328"/>
    </row>
    <row r="82" spans="1:12" s="1928" customFormat="1">
      <c r="A82" s="2239"/>
      <c r="D82" s="2417"/>
      <c r="K82" s="328"/>
      <c r="L82" s="328"/>
    </row>
    <row r="83" spans="1:12" s="1928" customFormat="1">
      <c r="A83" s="2239"/>
      <c r="D83" s="2417"/>
      <c r="K83" s="328"/>
      <c r="L83" s="328"/>
    </row>
    <row r="84" spans="1:12" s="1928" customFormat="1">
      <c r="A84" s="2239"/>
      <c r="D84" s="2417"/>
      <c r="K84" s="328"/>
      <c r="L84" s="328"/>
    </row>
    <row r="85" spans="1:12" s="1928" customFormat="1">
      <c r="A85" s="2239"/>
      <c r="D85" s="2417"/>
      <c r="K85" s="328"/>
      <c r="L85" s="328"/>
    </row>
    <row r="86" spans="1:12" s="1928" customFormat="1">
      <c r="A86" s="2239"/>
      <c r="D86" s="2417"/>
      <c r="K86" s="328"/>
      <c r="L86" s="328"/>
    </row>
    <row r="87" spans="1:12" s="1928" customFormat="1">
      <c r="A87" s="2239"/>
      <c r="D87" s="2417"/>
      <c r="K87" s="328"/>
      <c r="L87" s="328"/>
    </row>
    <row r="88" spans="1:12" s="1928" customFormat="1">
      <c r="A88" s="2239"/>
      <c r="D88" s="2417"/>
      <c r="K88" s="328"/>
      <c r="L88" s="328"/>
    </row>
    <row r="89" spans="1:12" s="1928" customFormat="1">
      <c r="A89" s="2239"/>
      <c r="D89" s="2417"/>
      <c r="K89" s="328"/>
      <c r="L89" s="328"/>
    </row>
    <row r="90" spans="1:12" s="1928" customFormat="1">
      <c r="A90" s="2239"/>
      <c r="D90" s="2417"/>
      <c r="K90" s="328"/>
      <c r="L90" s="328"/>
    </row>
    <row r="91" spans="1:12" s="1928" customFormat="1">
      <c r="A91" s="2239"/>
      <c r="D91" s="2417"/>
      <c r="K91" s="328"/>
      <c r="L91" s="328"/>
    </row>
    <row r="92" spans="1:12" s="1928" customFormat="1">
      <c r="A92" s="2239"/>
      <c r="D92" s="2417"/>
      <c r="K92" s="328"/>
      <c r="L92" s="328"/>
    </row>
    <row r="93" spans="1:12" s="1928" customFormat="1">
      <c r="A93" s="2239"/>
      <c r="D93" s="2417"/>
      <c r="K93" s="328"/>
      <c r="L93" s="328"/>
    </row>
    <row r="94" spans="1:12" s="1928" customFormat="1">
      <c r="A94" s="2239"/>
      <c r="D94" s="2417"/>
      <c r="K94" s="328"/>
      <c r="L94" s="328"/>
    </row>
    <row r="95" spans="1:12" s="1928" customFormat="1">
      <c r="A95" s="2239"/>
      <c r="D95" s="2417"/>
      <c r="K95" s="328"/>
      <c r="L95" s="328"/>
    </row>
    <row r="96" spans="1:12" s="1928" customFormat="1">
      <c r="A96" s="2239"/>
      <c r="D96" s="2417"/>
      <c r="K96" s="328"/>
      <c r="L96" s="328"/>
    </row>
    <row r="97" spans="1:12" s="1928" customFormat="1">
      <c r="A97" s="2239"/>
      <c r="D97" s="2417"/>
      <c r="K97" s="328"/>
      <c r="L97" s="328"/>
    </row>
    <row r="98" spans="1:12" s="1928" customFormat="1">
      <c r="A98" s="2239"/>
      <c r="D98" s="2417"/>
      <c r="K98" s="328"/>
      <c r="L98" s="328"/>
    </row>
    <row r="99" spans="1:12" s="1928" customFormat="1">
      <c r="A99" s="2239"/>
      <c r="D99" s="2417"/>
      <c r="K99" s="328"/>
      <c r="L99" s="328"/>
    </row>
    <row r="100" spans="1:12" s="1928" customFormat="1">
      <c r="A100" s="2239"/>
      <c r="D100" s="2417"/>
      <c r="K100" s="328"/>
      <c r="L100" s="328"/>
    </row>
    <row r="101" spans="1:12" s="1928" customFormat="1">
      <c r="A101" s="2239"/>
      <c r="D101" s="2417"/>
      <c r="K101" s="328"/>
      <c r="L101" s="328"/>
    </row>
    <row r="102" spans="1:12" s="1928" customFormat="1">
      <c r="A102" s="2239"/>
      <c r="D102" s="2417"/>
      <c r="K102" s="328"/>
      <c r="L102" s="328"/>
    </row>
    <row r="103" spans="1:12" s="1928" customFormat="1">
      <c r="A103" s="2239"/>
      <c r="D103" s="2417"/>
      <c r="K103" s="328"/>
      <c r="L103" s="328"/>
    </row>
    <row r="104" spans="1:12" s="1928" customFormat="1">
      <c r="A104" s="2239"/>
      <c r="D104" s="2417"/>
      <c r="K104" s="328"/>
      <c r="L104" s="328"/>
    </row>
    <row r="105" spans="1:12" s="1928" customFormat="1">
      <c r="A105" s="2239"/>
      <c r="D105" s="2417"/>
      <c r="K105" s="328"/>
      <c r="L105" s="328"/>
    </row>
    <row r="106" spans="1:12" s="1928" customFormat="1">
      <c r="A106" s="2239"/>
      <c r="D106" s="2417"/>
      <c r="K106" s="328"/>
      <c r="L106" s="328"/>
    </row>
    <row r="107" spans="1:12" s="1928" customFormat="1">
      <c r="A107" s="2239"/>
      <c r="D107" s="2417"/>
      <c r="K107" s="328"/>
      <c r="L107" s="328"/>
    </row>
    <row r="108" spans="1:12" s="1928" customFormat="1">
      <c r="A108" s="2239"/>
      <c r="D108" s="2417"/>
      <c r="K108" s="328"/>
      <c r="L108" s="328"/>
    </row>
    <row r="109" spans="1:12" s="1928" customFormat="1">
      <c r="A109" s="2239"/>
      <c r="D109" s="2417"/>
      <c r="K109" s="328"/>
      <c r="L109" s="328"/>
    </row>
    <row r="110" spans="1:12" s="1928" customFormat="1">
      <c r="A110" s="2239"/>
      <c r="D110" s="2417"/>
      <c r="K110" s="328"/>
      <c r="L110" s="328"/>
    </row>
    <row r="111" spans="1:12" s="1928" customFormat="1">
      <c r="A111" s="2239"/>
      <c r="D111" s="2417"/>
      <c r="K111" s="328"/>
      <c r="L111" s="328"/>
    </row>
    <row r="112" spans="1:12" s="1928" customFormat="1">
      <c r="A112" s="2239"/>
      <c r="D112" s="2417"/>
      <c r="K112" s="328"/>
      <c r="L112" s="328"/>
    </row>
    <row r="113" spans="1:12" s="1928" customFormat="1">
      <c r="A113" s="2239"/>
      <c r="D113" s="2417"/>
      <c r="K113" s="328"/>
      <c r="L113" s="328"/>
    </row>
    <row r="114" spans="1:12" s="1928" customFormat="1">
      <c r="A114" s="2239"/>
      <c r="D114" s="2417"/>
      <c r="K114" s="328"/>
      <c r="L114" s="328"/>
    </row>
    <row r="115" spans="1:12" s="1928" customFormat="1">
      <c r="A115" s="2239"/>
      <c r="D115" s="2417"/>
      <c r="K115" s="328"/>
      <c r="L115" s="328"/>
    </row>
    <row r="116" spans="1:12" s="1928" customFormat="1">
      <c r="A116" s="2239"/>
      <c r="D116" s="2417"/>
      <c r="K116" s="328"/>
      <c r="L116" s="328"/>
    </row>
    <row r="117" spans="1:12" s="1928" customFormat="1">
      <c r="A117" s="2239"/>
      <c r="D117" s="2417"/>
      <c r="K117" s="328"/>
      <c r="L117" s="328"/>
    </row>
    <row r="118" spans="1:12" s="1928" customFormat="1">
      <c r="A118" s="2239"/>
      <c r="D118" s="2417"/>
      <c r="K118" s="328"/>
      <c r="L118" s="328"/>
    </row>
    <row r="119" spans="1:12" s="1928" customFormat="1">
      <c r="A119" s="2239"/>
      <c r="D119" s="2417"/>
      <c r="K119" s="328"/>
      <c r="L119" s="328"/>
    </row>
    <row r="120" spans="1:12" s="1928" customFormat="1">
      <c r="A120" s="2239"/>
      <c r="D120" s="2417"/>
      <c r="K120" s="328"/>
      <c r="L120" s="328"/>
    </row>
    <row r="121" spans="1:12" s="1928" customFormat="1">
      <c r="A121" s="2239"/>
      <c r="D121" s="2417"/>
      <c r="K121" s="328"/>
      <c r="L121" s="328"/>
    </row>
    <row r="122" spans="1:12" s="1928" customFormat="1">
      <c r="A122" s="2239"/>
      <c r="D122" s="2417"/>
      <c r="K122" s="328"/>
      <c r="L122" s="328"/>
    </row>
    <row r="123" spans="1:12" s="1928" customFormat="1">
      <c r="A123" s="2239"/>
      <c r="D123" s="2417"/>
      <c r="K123" s="328"/>
      <c r="L123" s="328"/>
    </row>
    <row r="124" spans="1:12" s="1928" customFormat="1">
      <c r="A124" s="2239"/>
      <c r="D124" s="2417"/>
      <c r="K124" s="328"/>
      <c r="L124" s="328"/>
    </row>
    <row r="125" spans="1:12" s="1928" customFormat="1">
      <c r="A125" s="2239"/>
      <c r="D125" s="2417"/>
      <c r="K125" s="328"/>
      <c r="L125" s="328"/>
    </row>
    <row r="126" spans="1:12" s="1928" customFormat="1">
      <c r="A126" s="2239"/>
      <c r="D126" s="2417"/>
      <c r="K126" s="328"/>
      <c r="L126" s="328"/>
    </row>
    <row r="127" spans="1:12" s="1928" customFormat="1">
      <c r="A127" s="2239"/>
      <c r="D127" s="2417"/>
      <c r="K127" s="328"/>
      <c r="L127" s="328"/>
    </row>
    <row r="128" spans="1:12" s="1928" customFormat="1">
      <c r="A128" s="2239"/>
      <c r="D128" s="2417"/>
      <c r="K128" s="328"/>
      <c r="L128" s="328"/>
    </row>
    <row r="129" spans="1:12" s="1928" customFormat="1">
      <c r="A129" s="2239"/>
      <c r="D129" s="2417"/>
      <c r="K129" s="328"/>
      <c r="L129" s="328"/>
    </row>
    <row r="130" spans="1:12" s="1928" customFormat="1">
      <c r="A130" s="2239"/>
      <c r="D130" s="2417"/>
      <c r="K130" s="328"/>
      <c r="L130" s="328"/>
    </row>
    <row r="131" spans="1:12" s="1928" customFormat="1">
      <c r="A131" s="2239"/>
      <c r="D131" s="2417"/>
      <c r="K131" s="328"/>
      <c r="L131" s="328"/>
    </row>
    <row r="132" spans="1:12" s="1928" customFormat="1">
      <c r="A132" s="2239"/>
      <c r="D132" s="2417"/>
      <c r="K132" s="328"/>
      <c r="L132" s="328"/>
    </row>
    <row r="133" spans="1:12" s="1928" customFormat="1">
      <c r="A133" s="2239"/>
      <c r="D133" s="2417"/>
      <c r="K133" s="328"/>
      <c r="L133" s="328"/>
    </row>
    <row r="134" spans="1:12" s="2325" customFormat="1">
      <c r="A134" s="2509"/>
      <c r="D134" s="2510"/>
      <c r="K134" s="231"/>
      <c r="L134" s="231"/>
    </row>
    <row r="135" spans="1:12" s="2325" customFormat="1">
      <c r="A135" s="2509"/>
      <c r="D135" s="2510"/>
      <c r="K135" s="231"/>
      <c r="L135" s="231"/>
    </row>
    <row r="136" spans="1:12" s="2325" customFormat="1">
      <c r="A136" s="2509"/>
      <c r="D136" s="2510"/>
      <c r="K136" s="231"/>
      <c r="L136" s="231"/>
    </row>
    <row r="137" spans="1:12" s="2325" customFormat="1">
      <c r="A137" s="2509"/>
      <c r="D137" s="2510"/>
      <c r="K137" s="231"/>
      <c r="L137" s="231"/>
    </row>
    <row r="138" spans="1:12" s="2325" customFormat="1">
      <c r="A138" s="2509"/>
      <c r="D138" s="2510"/>
      <c r="K138" s="231"/>
      <c r="L138" s="231"/>
    </row>
    <row r="139" spans="1:12" s="2325" customFormat="1">
      <c r="A139" s="2509"/>
      <c r="D139" s="2510"/>
      <c r="K139" s="231"/>
      <c r="L139" s="231"/>
    </row>
    <row r="140" spans="1:12" s="2325" customFormat="1">
      <c r="A140" s="2509"/>
      <c r="D140" s="2510"/>
      <c r="K140" s="231"/>
      <c r="L140" s="231"/>
    </row>
    <row r="141" spans="1:12" s="2325" customFormat="1">
      <c r="A141" s="2509"/>
      <c r="D141" s="2510"/>
      <c r="K141" s="231"/>
      <c r="L141" s="231"/>
    </row>
    <row r="142" spans="1:12" s="2325" customFormat="1">
      <c r="A142" s="2509"/>
      <c r="D142" s="2510"/>
      <c r="K142" s="231"/>
      <c r="L142" s="231"/>
    </row>
    <row r="143" spans="1:12" s="2325" customFormat="1">
      <c r="A143" s="2509"/>
      <c r="D143" s="2510"/>
      <c r="K143" s="231"/>
      <c r="L143" s="231"/>
    </row>
    <row r="144" spans="1:12" s="2325" customFormat="1">
      <c r="A144" s="2509"/>
      <c r="D144" s="2510"/>
      <c r="K144" s="231"/>
      <c r="L144" s="231"/>
    </row>
    <row r="145" spans="1:12" s="2325" customFormat="1">
      <c r="A145" s="2509"/>
      <c r="D145" s="2510"/>
      <c r="K145" s="231"/>
      <c r="L145" s="231"/>
    </row>
    <row r="146" spans="1:12" s="2325" customFormat="1">
      <c r="A146" s="2509"/>
      <c r="D146" s="2510"/>
      <c r="K146" s="231"/>
      <c r="L146" s="231"/>
    </row>
    <row r="147" spans="1:12" s="2325" customFormat="1">
      <c r="A147" s="2509"/>
      <c r="D147" s="2510"/>
      <c r="K147" s="231"/>
      <c r="L147" s="231"/>
    </row>
    <row r="148" spans="1:12" s="2325" customFormat="1">
      <c r="A148" s="2509"/>
      <c r="D148" s="2510"/>
      <c r="K148" s="231"/>
      <c r="L148" s="231"/>
    </row>
    <row r="149" spans="1:12" s="2325" customFormat="1">
      <c r="A149" s="2509"/>
      <c r="D149" s="2510"/>
      <c r="K149" s="231"/>
      <c r="L149" s="231"/>
    </row>
    <row r="150" spans="1:12" s="2325" customFormat="1">
      <c r="A150" s="2509"/>
      <c r="D150" s="2510"/>
      <c r="K150" s="231"/>
      <c r="L150" s="231"/>
    </row>
    <row r="151" spans="1:12" s="2325" customFormat="1">
      <c r="A151" s="2509"/>
      <c r="D151" s="2510"/>
      <c r="K151" s="231"/>
      <c r="L151" s="231"/>
    </row>
    <row r="152" spans="1:12" s="2325" customFormat="1">
      <c r="A152" s="2509"/>
      <c r="D152" s="2510"/>
      <c r="K152" s="231"/>
      <c r="L152" s="231"/>
    </row>
    <row r="153" spans="1:12" s="2325" customFormat="1">
      <c r="A153" s="2509"/>
      <c r="D153" s="2510"/>
      <c r="K153" s="231"/>
      <c r="L153" s="231"/>
    </row>
    <row r="154" spans="1:12" s="2325" customFormat="1">
      <c r="A154" s="2509"/>
      <c r="D154" s="2510"/>
      <c r="K154" s="231"/>
      <c r="L154" s="231"/>
    </row>
    <row r="155" spans="1:12" s="2325" customFormat="1">
      <c r="A155" s="2509"/>
      <c r="D155" s="2510"/>
      <c r="K155" s="231"/>
      <c r="L155" s="231"/>
    </row>
    <row r="156" spans="1:12" s="2325" customFormat="1">
      <c r="A156" s="2509"/>
      <c r="D156" s="2510"/>
      <c r="K156" s="231"/>
      <c r="L156" s="231"/>
    </row>
    <row r="157" spans="1:12" s="2325" customFormat="1">
      <c r="A157" s="2509"/>
      <c r="D157" s="2510"/>
      <c r="K157" s="231"/>
      <c r="L157" s="231"/>
    </row>
    <row r="158" spans="1:12" s="2325" customFormat="1">
      <c r="A158" s="2509"/>
      <c r="D158" s="2510"/>
      <c r="K158" s="231"/>
      <c r="L158" s="231"/>
    </row>
    <row r="159" spans="1:12" s="2325" customFormat="1">
      <c r="A159" s="2509"/>
      <c r="D159" s="2510"/>
      <c r="K159" s="231"/>
      <c r="L159" s="231"/>
    </row>
    <row r="160" spans="1:12" s="2325" customFormat="1">
      <c r="A160" s="2509"/>
      <c r="D160" s="2510"/>
      <c r="K160" s="231"/>
      <c r="L160" s="231"/>
    </row>
    <row r="161" spans="1:12" s="2325" customFormat="1">
      <c r="A161" s="2509"/>
      <c r="D161" s="2510"/>
      <c r="K161" s="231"/>
      <c r="L161" s="231"/>
    </row>
    <row r="162" spans="1:12" s="2325" customFormat="1">
      <c r="A162" s="2509"/>
      <c r="D162" s="2510"/>
      <c r="K162" s="231"/>
      <c r="L162" s="231"/>
    </row>
    <row r="163" spans="1:12" s="2325" customFormat="1">
      <c r="A163" s="2509"/>
      <c r="D163" s="2510"/>
      <c r="K163" s="231"/>
      <c r="L163" s="231"/>
    </row>
    <row r="164" spans="1:12" s="2325" customFormat="1">
      <c r="A164" s="2509"/>
      <c r="D164" s="2510"/>
      <c r="K164" s="231"/>
      <c r="L164" s="231"/>
    </row>
    <row r="165" spans="1:12" s="2325" customFormat="1">
      <c r="A165" s="2509"/>
      <c r="D165" s="2510"/>
      <c r="K165" s="231"/>
      <c r="L165" s="231"/>
    </row>
    <row r="166" spans="1:12" s="2325" customFormat="1">
      <c r="A166" s="2509"/>
      <c r="D166" s="2510"/>
      <c r="K166" s="231"/>
      <c r="L166" s="231"/>
    </row>
    <row r="167" spans="1:12" s="2325" customFormat="1">
      <c r="A167" s="2509"/>
      <c r="D167" s="2510"/>
      <c r="K167" s="231"/>
      <c r="L167" s="231"/>
    </row>
    <row r="168" spans="1:12" s="2325" customFormat="1">
      <c r="A168" s="2509"/>
      <c r="D168" s="2510"/>
      <c r="K168" s="231"/>
      <c r="L168" s="231"/>
    </row>
    <row r="169" spans="1:12" s="2325" customFormat="1">
      <c r="A169" s="2509"/>
      <c r="D169" s="2510"/>
      <c r="K169" s="231"/>
      <c r="L169" s="231"/>
    </row>
    <row r="170" spans="1:12" s="2325" customFormat="1">
      <c r="A170" s="2509"/>
      <c r="D170" s="2510"/>
      <c r="K170" s="231"/>
      <c r="L170" s="231"/>
    </row>
    <row r="171" spans="1:12" s="2325" customFormat="1">
      <c r="A171" s="2509"/>
      <c r="D171" s="2510"/>
      <c r="K171" s="231"/>
      <c r="L171" s="231"/>
    </row>
    <row r="172" spans="1:12" s="2325" customFormat="1">
      <c r="A172" s="2509"/>
      <c r="D172" s="2510"/>
      <c r="K172" s="231"/>
      <c r="L172" s="231"/>
    </row>
    <row r="173" spans="1:12" s="2325" customFormat="1">
      <c r="A173" s="2509"/>
      <c r="D173" s="2510"/>
      <c r="K173" s="231"/>
      <c r="L173" s="231"/>
    </row>
    <row r="174" spans="1:12" s="2325" customFormat="1">
      <c r="A174" s="2509"/>
      <c r="D174" s="2510"/>
      <c r="K174" s="231"/>
      <c r="L174" s="231"/>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K20" sqref="K20"/>
    </sheetView>
  </sheetViews>
  <sheetFormatPr defaultColWidth="9" defaultRowHeight="14.25"/>
  <cols>
    <col min="1" max="1" width="9.5" style="2257" customWidth="1"/>
    <col min="2" max="2" width="24.5" style="2258" customWidth="1"/>
    <col min="3" max="3" width="24.5" style="2259" customWidth="1"/>
    <col min="4" max="4" width="2.625" style="2259" customWidth="1"/>
    <col min="5" max="5" width="5.875" style="2259" customWidth="1"/>
    <col min="6" max="6" width="27" style="2258" customWidth="1"/>
    <col min="7" max="7" width="27" style="2260"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56"/>
    <col min="30" max="16384" width="9" style="2257"/>
  </cols>
  <sheetData>
    <row r="1" spans="1:29" s="2255" customFormat="1" ht="18.75">
      <c r="A1" s="3072" t="s">
        <v>653</v>
      </c>
      <c r="B1" s="3073"/>
      <c r="C1" s="3073"/>
      <c r="D1" s="3073"/>
      <c r="E1" s="3073"/>
      <c r="F1" s="3073"/>
      <c r="G1" s="3073"/>
      <c r="H1" s="2264"/>
      <c r="I1" s="2312"/>
      <c r="J1" s="2264"/>
      <c r="K1" s="2264"/>
      <c r="L1" s="2312"/>
      <c r="M1" s="2264"/>
      <c r="N1" s="2264"/>
      <c r="O1" s="2312"/>
      <c r="P1" s="2264"/>
      <c r="Q1" s="2319"/>
      <c r="R1" s="2320"/>
      <c r="S1" s="2321"/>
      <c r="T1" s="2321"/>
      <c r="U1" s="2321"/>
      <c r="V1" s="2321"/>
      <c r="W1" s="2321"/>
      <c r="X1" s="2321"/>
      <c r="Y1" s="2321"/>
      <c r="Z1" s="2321"/>
      <c r="AA1" s="2321"/>
      <c r="AB1" s="2321"/>
      <c r="AC1" s="2321"/>
    </row>
    <row r="2" spans="1:29" ht="15">
      <c r="A2" s="2265"/>
      <c r="B2" s="2266"/>
      <c r="C2" s="2267" t="s">
        <v>654</v>
      </c>
      <c r="D2" s="2268"/>
      <c r="E2" s="2269"/>
      <c r="F2" s="2270"/>
      <c r="G2" s="2267" t="s">
        <v>655</v>
      </c>
      <c r="H2" s="2256"/>
      <c r="I2" s="2256"/>
      <c r="J2" s="2256"/>
      <c r="K2" s="2256"/>
      <c r="L2" s="2256"/>
      <c r="M2" s="2256"/>
      <c r="N2" s="2256"/>
      <c r="O2" s="2256"/>
      <c r="P2" s="2256"/>
      <c r="Q2" s="2256"/>
      <c r="R2" s="2256"/>
    </row>
    <row r="3" spans="1:29" ht="54">
      <c r="A3" s="908" t="s">
        <v>656</v>
      </c>
      <c r="B3" s="2271" t="s">
        <v>657</v>
      </c>
      <c r="C3" s="2272" t="s">
        <v>658</v>
      </c>
      <c r="D3" s="2273"/>
      <c r="E3" s="921" t="s">
        <v>656</v>
      </c>
      <c r="F3" s="2274" t="s">
        <v>659</v>
      </c>
      <c r="G3" s="2275" t="s">
        <v>660</v>
      </c>
      <c r="H3" s="2256"/>
      <c r="I3" s="2256"/>
      <c r="J3" s="2256"/>
      <c r="K3" s="2256"/>
      <c r="L3" s="2256"/>
      <c r="M3" s="2256"/>
      <c r="N3" s="2256"/>
      <c r="O3" s="2256"/>
      <c r="P3" s="2256"/>
      <c r="Q3" s="2256"/>
      <c r="R3" s="2256"/>
    </row>
    <row r="4" spans="1:29" ht="41.25">
      <c r="A4" s="921"/>
      <c r="B4" s="1075" t="s">
        <v>661</v>
      </c>
      <c r="C4" s="2276" t="s">
        <v>662</v>
      </c>
      <c r="D4" s="2273"/>
      <c r="E4" s="2277"/>
      <c r="F4" s="2211" t="s">
        <v>663</v>
      </c>
      <c r="G4" s="2278" t="s">
        <v>664</v>
      </c>
      <c r="H4" s="2256"/>
      <c r="I4" s="2256"/>
      <c r="J4" s="2256"/>
      <c r="K4" s="2256"/>
      <c r="L4" s="2256"/>
      <c r="M4" s="2256"/>
      <c r="N4" s="2256"/>
      <c r="O4" s="2256"/>
      <c r="P4" s="2256"/>
      <c r="Q4" s="2256"/>
      <c r="R4" s="2256"/>
    </row>
    <row r="5" spans="1:29" ht="41.25">
      <c r="A5" s="921"/>
      <c r="B5" s="1075" t="s">
        <v>665</v>
      </c>
      <c r="C5" s="2276" t="s">
        <v>666</v>
      </c>
      <c r="D5" s="2273"/>
      <c r="E5" s="2277"/>
      <c r="F5" s="1075" t="s">
        <v>667</v>
      </c>
      <c r="G5" s="2278" t="s">
        <v>664</v>
      </c>
      <c r="H5" s="2256"/>
      <c r="I5" s="2256"/>
      <c r="J5" s="2256"/>
      <c r="K5" s="2256"/>
      <c r="L5" s="2256"/>
      <c r="M5" s="2256"/>
      <c r="N5" s="2256"/>
      <c r="O5" s="2256"/>
      <c r="P5" s="2256"/>
      <c r="Q5" s="2256"/>
      <c r="R5" s="2256"/>
    </row>
    <row r="6" spans="1:29" ht="54">
      <c r="A6" s="921"/>
      <c r="B6" s="1075" t="s">
        <v>663</v>
      </c>
      <c r="C6" s="2279" t="s">
        <v>668</v>
      </c>
      <c r="D6" s="2273"/>
      <c r="E6" s="2277"/>
      <c r="F6" s="1075" t="s">
        <v>669</v>
      </c>
      <c r="G6" s="2278" t="s">
        <v>238</v>
      </c>
      <c r="H6" s="2256"/>
      <c r="I6" s="2256"/>
      <c r="J6" s="2256"/>
      <c r="K6" s="2256"/>
      <c r="L6" s="2256"/>
      <c r="M6" s="2256"/>
      <c r="N6" s="2256"/>
      <c r="O6" s="2256"/>
      <c r="P6" s="2256"/>
      <c r="Q6" s="2256"/>
      <c r="R6" s="2256"/>
    </row>
    <row r="7" spans="1:29" ht="27">
      <c r="A7" s="921"/>
      <c r="B7" s="1075" t="s">
        <v>667</v>
      </c>
      <c r="C7" s="2279" t="s">
        <v>670</v>
      </c>
      <c r="D7" s="2280"/>
      <c r="E7" s="2281"/>
      <c r="F7" s="2282" t="s">
        <v>671</v>
      </c>
      <c r="G7" s="2283" t="s">
        <v>664</v>
      </c>
      <c r="H7" s="2256"/>
      <c r="I7" s="2256"/>
      <c r="J7" s="2256"/>
      <c r="K7" s="2256"/>
      <c r="L7" s="2256"/>
      <c r="M7" s="2256"/>
      <c r="N7" s="2256"/>
      <c r="O7" s="2256"/>
      <c r="P7" s="2256"/>
      <c r="Q7" s="2256"/>
      <c r="R7" s="2256"/>
    </row>
    <row r="8" spans="1:29" ht="27">
      <c r="A8" s="921"/>
      <c r="B8" s="1075" t="s">
        <v>669</v>
      </c>
      <c r="C8" s="2279" t="s">
        <v>672</v>
      </c>
      <c r="D8" s="2280"/>
      <c r="E8" s="2280"/>
      <c r="F8" s="1033"/>
      <c r="G8" s="1033"/>
      <c r="H8" s="2256"/>
      <c r="I8" s="2256"/>
      <c r="J8" s="2256"/>
      <c r="K8" s="2256"/>
      <c r="L8" s="2256"/>
      <c r="M8" s="2256"/>
      <c r="N8" s="2256"/>
      <c r="O8" s="2256"/>
      <c r="P8" s="2256"/>
      <c r="Q8" s="2256"/>
      <c r="R8" s="2256"/>
    </row>
    <row r="9" spans="1:29" ht="27">
      <c r="A9" s="921"/>
      <c r="B9" s="1075" t="s">
        <v>673</v>
      </c>
      <c r="C9" s="2276" t="s">
        <v>674</v>
      </c>
      <c r="D9" s="2273"/>
      <c r="E9" s="2280"/>
      <c r="F9" s="1033"/>
      <c r="G9" s="1033"/>
      <c r="H9" s="2256"/>
      <c r="I9" s="2256"/>
      <c r="J9" s="2256"/>
      <c r="K9" s="2256"/>
      <c r="L9" s="2256"/>
      <c r="M9" s="2256"/>
      <c r="N9" s="2256"/>
      <c r="O9" s="2256"/>
      <c r="P9" s="2256"/>
      <c r="Q9" s="2256"/>
      <c r="R9" s="2256"/>
    </row>
    <row r="10" spans="1:29" s="874" customFormat="1" ht="15">
      <c r="A10" s="2284"/>
      <c r="B10" s="2285" t="s">
        <v>675</v>
      </c>
      <c r="C10" s="2286"/>
      <c r="D10" s="2273"/>
      <c r="E10" s="2273"/>
      <c r="F10" s="1033"/>
      <c r="G10" s="1033"/>
      <c r="H10" s="2287"/>
      <c r="I10" s="2313"/>
      <c r="J10" s="2314"/>
      <c r="K10" s="2287"/>
      <c r="L10" s="2313"/>
      <c r="M10" s="2314"/>
      <c r="N10" s="2287"/>
      <c r="O10" s="2313"/>
      <c r="P10" s="2314"/>
      <c r="Q10" s="2287"/>
      <c r="R10" s="2313"/>
      <c r="S10" s="2256"/>
      <c r="T10" s="2256"/>
      <c r="U10" s="2256"/>
      <c r="V10" s="2256"/>
      <c r="W10" s="2256"/>
      <c r="X10" s="2256"/>
      <c r="Y10" s="2256"/>
      <c r="Z10" s="2256"/>
      <c r="AA10" s="2256"/>
      <c r="AB10" s="2256"/>
      <c r="AC10" s="2256"/>
    </row>
    <row r="11" spans="1:29" s="874" customFormat="1" ht="15">
      <c r="A11" s="2288"/>
      <c r="B11" s="2280"/>
      <c r="C11" s="2273"/>
      <c r="D11" s="2273"/>
      <c r="E11" s="2273"/>
      <c r="F11" s="2280"/>
      <c r="G11" s="1169"/>
      <c r="H11" s="2287"/>
      <c r="I11" s="2313"/>
      <c r="J11" s="2314"/>
      <c r="K11" s="2287"/>
      <c r="L11" s="2313"/>
      <c r="M11" s="2314"/>
      <c r="N11" s="2287"/>
      <c r="O11" s="2313"/>
      <c r="P11" s="2314"/>
      <c r="Q11" s="2287"/>
      <c r="R11" s="2313"/>
      <c r="S11" s="2256"/>
      <c r="T11" s="2256"/>
      <c r="U11" s="2256"/>
      <c r="V11" s="2256"/>
      <c r="W11" s="2256"/>
      <c r="X11" s="2256"/>
      <c r="Y11" s="2256"/>
      <c r="Z11" s="2256"/>
      <c r="AA11" s="2256"/>
      <c r="AB11" s="2256"/>
      <c r="AC11" s="2256"/>
    </row>
    <row r="12" spans="1:29" s="2255" customFormat="1" ht="18">
      <c r="A12" s="2288"/>
      <c r="B12" s="2280"/>
      <c r="C12" s="2273"/>
      <c r="D12" s="2289"/>
      <c r="E12" s="2273"/>
      <c r="F12" s="2280"/>
      <c r="G12" s="1169"/>
      <c r="H12" s="2290"/>
      <c r="I12" s="2315"/>
      <c r="J12" s="2290"/>
      <c r="K12" s="2290"/>
      <c r="L12" s="2316"/>
      <c r="M12" s="2290"/>
      <c r="N12" s="2317"/>
      <c r="O12" s="2318"/>
      <c r="P12" s="2317"/>
      <c r="Q12" s="2317"/>
      <c r="R12" s="2320"/>
      <c r="S12" s="2321"/>
      <c r="T12" s="2321"/>
      <c r="U12" s="2321"/>
      <c r="V12" s="2321"/>
      <c r="W12" s="2321"/>
      <c r="X12" s="2321"/>
      <c r="Y12" s="2321"/>
      <c r="Z12" s="2321"/>
      <c r="AA12" s="2321"/>
      <c r="AB12" s="2321"/>
      <c r="AC12" s="2321"/>
    </row>
    <row r="13" spans="1:29" ht="18.75">
      <c r="A13" s="2291" t="s">
        <v>676</v>
      </c>
      <c r="B13" s="2289"/>
      <c r="C13" s="2289"/>
      <c r="D13" s="2292"/>
      <c r="E13" s="2289"/>
      <c r="F13" s="2289"/>
      <c r="G13" s="2289"/>
    </row>
    <row r="14" spans="1:29" ht="15">
      <c r="A14" s="2293"/>
      <c r="B14" s="2294"/>
      <c r="C14" s="2295" t="s">
        <v>654</v>
      </c>
      <c r="D14" s="2273"/>
      <c r="E14" s="2296"/>
      <c r="F14" s="2296"/>
      <c r="G14" s="2267" t="s">
        <v>655</v>
      </c>
    </row>
    <row r="15" spans="1:29" ht="57">
      <c r="A15" s="1307" t="s">
        <v>656</v>
      </c>
      <c r="B15" s="2297" t="s">
        <v>657</v>
      </c>
      <c r="C15" s="2298" t="str">
        <f>C3</f>
        <v>估价对象周边居住用地比例、居住小区规模和社区发展完善程度，综合评价居住社区成熟度一般</v>
      </c>
      <c r="D15" s="2273"/>
      <c r="E15" s="2299" t="s">
        <v>656</v>
      </c>
      <c r="F15" s="2297" t="s">
        <v>659</v>
      </c>
      <c r="G15" s="911" t="str">
        <f>G3</f>
        <v>较好</v>
      </c>
    </row>
    <row r="16" spans="1:29" ht="42.75">
      <c r="A16" s="1315"/>
      <c r="B16" s="2300" t="s">
        <v>661</v>
      </c>
      <c r="C16" s="2301" t="str">
        <f>C4</f>
        <v>估价对象位于XX商圈，周边商业氛围成熟，人流量大，商业繁华度好</v>
      </c>
      <c r="D16" s="2273"/>
      <c r="E16" s="2302"/>
      <c r="F16" s="2303" t="s">
        <v>663</v>
      </c>
      <c r="G16" s="915" t="str">
        <f>G4</f>
        <v>一般</v>
      </c>
    </row>
    <row r="17" spans="1:18" ht="42.75">
      <c r="A17" s="1315"/>
      <c r="B17" s="2300" t="s">
        <v>665</v>
      </c>
      <c r="C17" s="2301" t="str">
        <f>C5</f>
        <v>估价对象位于XX商圈，周边办公楼项目较多，入驻率高，办公集聚程度较好</v>
      </c>
      <c r="D17" s="2280"/>
      <c r="E17" s="2302"/>
      <c r="F17" s="2303" t="s">
        <v>677</v>
      </c>
      <c r="G17" s="2304" t="s">
        <v>660</v>
      </c>
    </row>
    <row r="18" spans="1:18" ht="57">
      <c r="A18" s="1315"/>
      <c r="B18" s="2303" t="s">
        <v>663</v>
      </c>
      <c r="C18" s="915" t="str">
        <f>C6</f>
        <v>估价对象周边道路状况、公共交通通达情况、停车便捷程度，综合评价交通便捷度较好</v>
      </c>
      <c r="D18" s="2280"/>
      <c r="E18" s="2302"/>
      <c r="F18" s="2303" t="s">
        <v>671</v>
      </c>
      <c r="G18" s="915" t="str">
        <f>G7</f>
        <v>一般</v>
      </c>
    </row>
    <row r="19" spans="1:18" ht="15">
      <c r="A19" s="1315"/>
      <c r="B19" s="2303" t="s">
        <v>677</v>
      </c>
      <c r="C19" s="1961"/>
      <c r="D19" s="2273"/>
      <c r="E19" s="2302"/>
      <c r="F19" s="1075" t="s">
        <v>667</v>
      </c>
      <c r="G19" s="915" t="str">
        <f>G5</f>
        <v>一般</v>
      </c>
    </row>
    <row r="20" spans="1:18" ht="28.5">
      <c r="A20" s="1315"/>
      <c r="B20" s="2303" t="s">
        <v>678</v>
      </c>
      <c r="C20" s="2301" t="str">
        <f>C9</f>
        <v>区域自然环境：；人文环境；综合评价环境状况一般</v>
      </c>
      <c r="D20" s="2280"/>
      <c r="E20" s="2302"/>
      <c r="F20" s="1075" t="s">
        <v>669</v>
      </c>
      <c r="G20" s="915" t="str">
        <f>G6</f>
        <v>七通</v>
      </c>
    </row>
    <row r="21" spans="1:18" ht="28.5">
      <c r="A21" s="1315"/>
      <c r="B21" s="1075" t="s">
        <v>667</v>
      </c>
      <c r="C21" s="915" t="str">
        <f>C7</f>
        <v>估价对象所在区域公共配套设施齐备情况</v>
      </c>
      <c r="D21" s="2273"/>
      <c r="E21" s="2302"/>
      <c r="F21" s="2303" t="s">
        <v>679</v>
      </c>
      <c r="G21" s="2305"/>
    </row>
    <row r="22" spans="1:18" ht="13.5" customHeight="1">
      <c r="A22" s="1315"/>
      <c r="B22" s="1075" t="s">
        <v>669</v>
      </c>
      <c r="C22" s="915" t="str">
        <f>C8</f>
        <v>估价对象所在区域基础设施水平</v>
      </c>
      <c r="D22" s="2273"/>
      <c r="E22" s="2302"/>
      <c r="F22" s="2303" t="s">
        <v>675</v>
      </c>
      <c r="G22" s="1961"/>
    </row>
    <row r="23" spans="1:18" s="2256" customFormat="1" ht="15">
      <c r="A23" s="1315"/>
      <c r="B23" s="2303" t="s">
        <v>679</v>
      </c>
      <c r="C23" s="2305"/>
      <c r="D23" s="2261"/>
      <c r="E23" s="2306"/>
      <c r="F23" s="2307" t="s">
        <v>680</v>
      </c>
      <c r="G23" s="2308"/>
      <c r="H23" s="2261"/>
      <c r="I23" s="2262"/>
      <c r="J23" s="2261"/>
      <c r="K23" s="2261"/>
      <c r="L23" s="2262"/>
      <c r="M23" s="2261"/>
      <c r="N23" s="2261"/>
      <c r="O23" s="2262"/>
      <c r="P23" s="2261"/>
      <c r="Q23" s="2261"/>
      <c r="R23" s="2263"/>
    </row>
    <row r="24" spans="1:18" s="2256" customFormat="1" ht="15">
      <c r="A24" s="2309"/>
      <c r="B24" s="2307" t="s">
        <v>675</v>
      </c>
      <c r="C24" s="967">
        <f>C10</f>
        <v>0</v>
      </c>
      <c r="D24" s="2261"/>
      <c r="E24" s="2310"/>
      <c r="F24" s="2310"/>
      <c r="G24" s="2311"/>
      <c r="H24" s="2261"/>
      <c r="I24" s="2262"/>
      <c r="J24" s="2261"/>
      <c r="K24" s="2261"/>
      <c r="L24" s="2262"/>
      <c r="M24" s="2261"/>
      <c r="N24" s="2261"/>
      <c r="O24" s="2262"/>
      <c r="P24" s="2261"/>
      <c r="Q24" s="2261"/>
      <c r="R24" s="2263"/>
    </row>
    <row r="25" spans="1:18" s="2256" customFormat="1">
      <c r="B25" s="2261"/>
      <c r="C25" s="2261"/>
      <c r="D25" s="2261"/>
      <c r="H25" s="2261"/>
      <c r="I25" s="2262"/>
      <c r="J25" s="2261"/>
      <c r="K25" s="2261"/>
      <c r="L25" s="2262"/>
      <c r="M25" s="2261"/>
      <c r="N25" s="2261"/>
      <c r="O25" s="2262"/>
      <c r="P25" s="2261"/>
      <c r="Q25" s="2261"/>
      <c r="R25" s="2263"/>
    </row>
    <row r="26" spans="1:18" s="2256" customFormat="1">
      <c r="B26" s="2261"/>
      <c r="C26" s="2261"/>
      <c r="D26" s="2261"/>
      <c r="H26" s="2261"/>
      <c r="I26" s="2262"/>
      <c r="J26" s="2261"/>
      <c r="K26" s="2261"/>
      <c r="L26" s="2262"/>
      <c r="M26" s="2261"/>
      <c r="N26" s="2261"/>
      <c r="O26" s="2262"/>
      <c r="P26" s="2261"/>
      <c r="Q26" s="2261"/>
      <c r="R26" s="2263"/>
    </row>
    <row r="27" spans="1:18" s="2256" customFormat="1">
      <c r="B27" s="2261"/>
      <c r="C27" s="2261"/>
      <c r="D27" s="2261"/>
      <c r="H27" s="2261"/>
      <c r="I27" s="2262"/>
      <c r="J27" s="2261"/>
      <c r="K27" s="2261"/>
      <c r="L27" s="2262"/>
      <c r="M27" s="2261"/>
      <c r="N27" s="2261"/>
      <c r="O27" s="2262"/>
      <c r="P27" s="2261"/>
      <c r="Q27" s="2261"/>
      <c r="R27" s="2263"/>
    </row>
    <row r="28" spans="1:18" s="2256" customFormat="1">
      <c r="B28" s="2261"/>
      <c r="C28" s="2261"/>
      <c r="D28" s="2261"/>
      <c r="H28" s="2261"/>
      <c r="I28" s="2262"/>
      <c r="J28" s="2261"/>
      <c r="K28" s="2261"/>
      <c r="L28" s="2262"/>
      <c r="M28" s="2261"/>
      <c r="N28" s="2261"/>
      <c r="O28" s="2262"/>
      <c r="P28" s="2261"/>
      <c r="Q28" s="2261"/>
      <c r="R28" s="2263"/>
    </row>
    <row r="29" spans="1:18" s="2256" customFormat="1">
      <c r="B29" s="2261"/>
      <c r="C29" s="2261"/>
      <c r="D29" s="2261"/>
      <c r="H29" s="2261"/>
      <c r="I29" s="2262"/>
      <c r="J29" s="2261"/>
      <c r="K29" s="2261"/>
      <c r="L29" s="2262"/>
      <c r="M29" s="2261"/>
      <c r="N29" s="2261"/>
      <c r="O29" s="2262"/>
      <c r="P29" s="2261"/>
      <c r="Q29" s="2261"/>
      <c r="R29" s="2263"/>
    </row>
    <row r="30" spans="1:18" s="2256" customFormat="1">
      <c r="B30" s="2261"/>
      <c r="C30" s="2261"/>
      <c r="D30" s="2261"/>
      <c r="H30" s="2261"/>
      <c r="I30" s="2262"/>
      <c r="J30" s="2261"/>
      <c r="K30" s="2261"/>
      <c r="L30" s="2262"/>
      <c r="M30" s="2261"/>
      <c r="N30" s="2261"/>
      <c r="O30" s="2262"/>
      <c r="P30" s="2261"/>
      <c r="Q30" s="2261"/>
      <c r="R30" s="2263"/>
    </row>
    <row r="31" spans="1:18" s="2256" customFormat="1">
      <c r="B31" s="2261"/>
      <c r="C31" s="2261"/>
      <c r="D31" s="2261"/>
      <c r="H31" s="2261"/>
      <c r="I31" s="2262"/>
      <c r="J31" s="2261"/>
      <c r="K31" s="2261"/>
      <c r="L31" s="2262"/>
      <c r="M31" s="2261"/>
      <c r="N31" s="2261"/>
      <c r="O31" s="2262"/>
      <c r="P31" s="2261"/>
      <c r="Q31" s="2261"/>
      <c r="R31" s="2263"/>
    </row>
    <row r="32" spans="1:18" s="2256" customFormat="1">
      <c r="B32" s="2261"/>
      <c r="C32" s="2261"/>
      <c r="D32" s="2261"/>
      <c r="H32" s="2261"/>
      <c r="I32" s="2262"/>
      <c r="J32" s="2261"/>
      <c r="K32" s="2261"/>
      <c r="L32" s="2262"/>
      <c r="M32" s="2261"/>
      <c r="N32" s="2261"/>
      <c r="O32" s="2262"/>
      <c r="P32" s="2261"/>
      <c r="Q32" s="2261"/>
      <c r="R32" s="2263"/>
    </row>
    <row r="33" spans="2:18" s="2256" customFormat="1">
      <c r="B33" s="2261"/>
      <c r="C33" s="2261"/>
      <c r="D33" s="2261"/>
      <c r="H33" s="2261"/>
      <c r="I33" s="2262"/>
      <c r="J33" s="2261"/>
      <c r="K33" s="2261"/>
      <c r="L33" s="2262"/>
      <c r="M33" s="2261"/>
      <c r="N33" s="2261"/>
      <c r="O33" s="2262"/>
      <c r="P33" s="2261"/>
      <c r="Q33" s="2261"/>
      <c r="R33" s="2263"/>
    </row>
    <row r="34" spans="2:18" s="2256" customFormat="1">
      <c r="B34" s="2261"/>
      <c r="C34" s="2261"/>
      <c r="D34" s="2261"/>
      <c r="H34" s="2261"/>
      <c r="I34" s="2262"/>
      <c r="J34" s="2261"/>
      <c r="K34" s="2261"/>
      <c r="L34" s="2262"/>
      <c r="M34" s="2261"/>
      <c r="N34" s="2261"/>
      <c r="O34" s="2262"/>
      <c r="P34" s="2261"/>
      <c r="Q34" s="2261"/>
      <c r="R34" s="2263"/>
    </row>
    <row r="35" spans="2:18" s="2256" customFormat="1">
      <c r="B35" s="2261"/>
      <c r="C35" s="2261"/>
      <c r="D35" s="2261"/>
      <c r="H35" s="2261"/>
      <c r="I35" s="2262"/>
      <c r="J35" s="2261"/>
      <c r="K35" s="2261"/>
      <c r="L35" s="2262"/>
      <c r="M35" s="2261"/>
      <c r="N35" s="2261"/>
      <c r="O35" s="2262"/>
      <c r="P35" s="2261"/>
      <c r="Q35" s="2261"/>
      <c r="R35" s="2263"/>
    </row>
    <row r="36" spans="2:18" s="2256" customFormat="1">
      <c r="B36" s="2261"/>
      <c r="C36" s="2261"/>
      <c r="D36" s="2261"/>
      <c r="H36" s="2261"/>
      <c r="I36" s="2262"/>
      <c r="J36" s="2261"/>
      <c r="K36" s="2261"/>
      <c r="L36" s="2262"/>
      <c r="M36" s="2261"/>
      <c r="N36" s="2261"/>
      <c r="O36" s="2262"/>
      <c r="P36" s="2261"/>
      <c r="Q36" s="2261"/>
      <c r="R36" s="2263"/>
    </row>
    <row r="37" spans="2:18" s="2256" customFormat="1">
      <c r="B37" s="2261"/>
      <c r="C37" s="2261"/>
      <c r="D37" s="2261"/>
      <c r="H37" s="2261"/>
      <c r="I37" s="2262"/>
      <c r="J37" s="2261"/>
      <c r="K37" s="2261"/>
      <c r="L37" s="2262"/>
      <c r="M37" s="2261"/>
      <c r="N37" s="2261"/>
      <c r="O37" s="2262"/>
      <c r="P37" s="2261"/>
      <c r="Q37" s="2261"/>
      <c r="R37" s="2263"/>
    </row>
    <row r="38" spans="2:18" s="2256" customFormat="1">
      <c r="B38" s="2261"/>
      <c r="C38" s="2261"/>
      <c r="D38" s="2261"/>
      <c r="E38" s="2261"/>
      <c r="F38" s="2261"/>
      <c r="G38" s="2262"/>
      <c r="H38" s="2261"/>
      <c r="I38" s="2262"/>
      <c r="J38" s="2261"/>
      <c r="K38" s="2261"/>
      <c r="L38" s="2262"/>
      <c r="M38" s="2261"/>
      <c r="N38" s="2261"/>
      <c r="O38" s="2262"/>
      <c r="P38" s="2261"/>
      <c r="Q38" s="2261"/>
      <c r="R38" s="2263"/>
    </row>
    <row r="39" spans="2:18" s="2256" customFormat="1">
      <c r="B39" s="2261"/>
      <c r="C39" s="2261"/>
      <c r="D39" s="2261"/>
      <c r="E39" s="2261"/>
      <c r="F39" s="2261"/>
      <c r="G39" s="2262"/>
      <c r="H39" s="2261"/>
      <c r="I39" s="2262"/>
      <c r="J39" s="2261"/>
      <c r="K39" s="2261"/>
      <c r="L39" s="2262"/>
      <c r="M39" s="2261"/>
      <c r="N39" s="2261"/>
      <c r="O39" s="2262"/>
      <c r="P39" s="2261"/>
      <c r="Q39" s="2261"/>
      <c r="R39" s="2263"/>
    </row>
    <row r="40" spans="2:18" s="2256" customFormat="1">
      <c r="B40" s="2261"/>
      <c r="C40" s="2261"/>
      <c r="D40" s="2261"/>
      <c r="E40" s="2261"/>
      <c r="F40" s="2261"/>
      <c r="G40" s="2262"/>
      <c r="H40" s="2261"/>
      <c r="I40" s="2262"/>
      <c r="J40" s="2261"/>
      <c r="K40" s="2261"/>
      <c r="L40" s="2262"/>
      <c r="M40" s="2261"/>
      <c r="N40" s="2261"/>
      <c r="O40" s="2262"/>
      <c r="P40" s="2261"/>
      <c r="Q40" s="2261"/>
      <c r="R40" s="2263"/>
    </row>
    <row r="41" spans="2:18" s="2256" customFormat="1">
      <c r="B41" s="2261"/>
      <c r="C41" s="2261"/>
      <c r="D41" s="2261"/>
      <c r="E41" s="2261"/>
      <c r="F41" s="2261"/>
      <c r="G41" s="2262"/>
      <c r="H41" s="2261"/>
      <c r="I41" s="2262"/>
      <c r="J41" s="2261"/>
      <c r="K41" s="2261"/>
      <c r="L41" s="2262"/>
      <c r="M41" s="2261"/>
      <c r="N41" s="2261"/>
      <c r="O41" s="2262"/>
      <c r="P41" s="2261"/>
      <c r="Q41" s="2261"/>
      <c r="R41" s="2263"/>
    </row>
    <row r="42" spans="2:18" s="2256" customFormat="1">
      <c r="B42" s="2261"/>
      <c r="C42" s="2261"/>
      <c r="D42" s="2261"/>
      <c r="E42" s="2261"/>
      <c r="F42" s="2261"/>
      <c r="G42" s="2262"/>
      <c r="H42" s="2261"/>
      <c r="I42" s="2262"/>
      <c r="J42" s="2261"/>
      <c r="K42" s="2261"/>
      <c r="L42" s="2262"/>
      <c r="M42" s="2261"/>
      <c r="N42" s="2261"/>
      <c r="O42" s="2262"/>
      <c r="P42" s="2261"/>
      <c r="Q42" s="2261"/>
      <c r="R42" s="2263"/>
    </row>
    <row r="43" spans="2:18" s="2256" customFormat="1">
      <c r="B43" s="2261"/>
      <c r="C43" s="2261"/>
      <c r="D43" s="2261"/>
      <c r="E43" s="2261"/>
      <c r="F43" s="2261"/>
      <c r="G43" s="2262"/>
      <c r="H43" s="2261"/>
      <c r="I43" s="2262"/>
      <c r="J43" s="2261"/>
      <c r="K43" s="2261"/>
      <c r="L43" s="2262"/>
      <c r="M43" s="2261"/>
      <c r="N43" s="2261"/>
      <c r="O43" s="2262"/>
      <c r="P43" s="2261"/>
      <c r="Q43" s="2261"/>
      <c r="R43" s="2263"/>
    </row>
    <row r="44" spans="2:18" s="2256" customFormat="1">
      <c r="B44" s="2261"/>
      <c r="C44" s="2261"/>
      <c r="D44" s="2261"/>
      <c r="E44" s="2261"/>
      <c r="F44" s="2261"/>
      <c r="G44" s="2262"/>
      <c r="H44" s="2261"/>
      <c r="I44" s="2262"/>
      <c r="J44" s="2261"/>
      <c r="K44" s="2261"/>
      <c r="L44" s="2262"/>
      <c r="M44" s="2261"/>
      <c r="N44" s="2261"/>
      <c r="O44" s="2262"/>
      <c r="P44" s="2261"/>
      <c r="Q44" s="2261"/>
      <c r="R44" s="2263"/>
    </row>
    <row r="45" spans="2:18" s="2256" customFormat="1">
      <c r="B45" s="2261"/>
      <c r="C45" s="2261"/>
      <c r="D45" s="2261"/>
      <c r="E45" s="2261"/>
      <c r="F45" s="2261"/>
      <c r="G45" s="2262"/>
      <c r="H45" s="2261"/>
      <c r="I45" s="2262"/>
      <c r="J45" s="2261"/>
      <c r="K45" s="2261"/>
      <c r="L45" s="2262"/>
      <c r="M45" s="2261"/>
      <c r="N45" s="2261"/>
      <c r="O45" s="2262"/>
      <c r="P45" s="2261"/>
      <c r="Q45" s="2261"/>
      <c r="R45" s="2263"/>
    </row>
    <row r="46" spans="2:18" s="2256" customFormat="1">
      <c r="B46" s="2261"/>
      <c r="C46" s="2261"/>
      <c r="D46" s="2261"/>
      <c r="E46" s="2261"/>
      <c r="F46" s="2261"/>
      <c r="G46" s="2262"/>
      <c r="H46" s="2261"/>
      <c r="I46" s="2262"/>
      <c r="J46" s="2261"/>
      <c r="K46" s="2261"/>
      <c r="L46" s="2262"/>
      <c r="M46" s="2261"/>
      <c r="N46" s="2261"/>
      <c r="O46" s="2262"/>
      <c r="P46" s="2261"/>
      <c r="Q46" s="2261"/>
      <c r="R46" s="2263"/>
    </row>
    <row r="47" spans="2:18" s="2256" customFormat="1">
      <c r="B47" s="2261"/>
      <c r="C47" s="2261"/>
      <c r="D47" s="2261"/>
      <c r="E47" s="2261"/>
      <c r="F47" s="2261"/>
      <c r="G47" s="2262"/>
      <c r="H47" s="2261"/>
      <c r="I47" s="2262"/>
      <c r="J47" s="2261"/>
      <c r="K47" s="2261"/>
      <c r="L47" s="2262"/>
      <c r="M47" s="2261"/>
      <c r="N47" s="2261"/>
      <c r="O47" s="2262"/>
      <c r="P47" s="2261"/>
      <c r="Q47" s="2261"/>
      <c r="R47" s="2263"/>
    </row>
    <row r="48" spans="2:18" s="2256" customFormat="1">
      <c r="B48" s="2261"/>
      <c r="C48" s="2261"/>
      <c r="D48" s="2261"/>
      <c r="E48" s="2261"/>
      <c r="F48" s="2261"/>
      <c r="G48" s="2262"/>
      <c r="H48" s="2261"/>
      <c r="I48" s="2262"/>
      <c r="J48" s="2261"/>
      <c r="K48" s="2261"/>
      <c r="L48" s="2262"/>
      <c r="M48" s="2261"/>
      <c r="N48" s="2261"/>
      <c r="O48" s="2262"/>
      <c r="P48" s="2261"/>
      <c r="Q48" s="2261"/>
      <c r="R48" s="2263"/>
    </row>
    <row r="49" spans="2:18" s="2256" customFormat="1">
      <c r="B49" s="2261"/>
      <c r="C49" s="2261"/>
      <c r="D49" s="2261"/>
      <c r="E49" s="2261"/>
      <c r="F49" s="2261"/>
      <c r="G49" s="2262"/>
      <c r="H49" s="2261"/>
      <c r="I49" s="2262"/>
      <c r="J49" s="2261"/>
      <c r="K49" s="2261"/>
      <c r="L49" s="2262"/>
      <c r="M49" s="2261"/>
      <c r="N49" s="2261"/>
      <c r="O49" s="2262"/>
      <c r="P49" s="2261"/>
      <c r="Q49" s="2261"/>
      <c r="R49" s="2263"/>
    </row>
    <row r="50" spans="2:18" s="2256" customFormat="1">
      <c r="B50" s="2261"/>
      <c r="C50" s="2261"/>
      <c r="D50" s="2261"/>
      <c r="E50" s="2261"/>
      <c r="F50" s="2261"/>
      <c r="G50" s="2262"/>
      <c r="H50" s="2261"/>
      <c r="I50" s="2262"/>
      <c r="J50" s="2261"/>
      <c r="K50" s="2261"/>
      <c r="L50" s="2262"/>
      <c r="M50" s="2261"/>
      <c r="N50" s="2261"/>
      <c r="O50" s="2262"/>
      <c r="P50" s="2261"/>
      <c r="Q50" s="2261"/>
      <c r="R50" s="2263"/>
    </row>
    <row r="51" spans="2:18" s="2256" customFormat="1">
      <c r="B51" s="2261"/>
      <c r="C51" s="2261"/>
      <c r="D51" s="2261"/>
      <c r="E51" s="2261"/>
      <c r="F51" s="2261"/>
      <c r="G51" s="2262"/>
      <c r="H51" s="2261"/>
      <c r="I51" s="2262"/>
      <c r="J51" s="2261"/>
      <c r="K51" s="2261"/>
      <c r="L51" s="2262"/>
      <c r="M51" s="2261"/>
      <c r="N51" s="2261"/>
      <c r="O51" s="2262"/>
      <c r="P51" s="2261"/>
      <c r="Q51" s="2261"/>
      <c r="R51" s="2263"/>
    </row>
    <row r="52" spans="2:18" s="2256" customFormat="1">
      <c r="B52" s="2261"/>
      <c r="C52" s="2261"/>
      <c r="D52" s="2261"/>
      <c r="E52" s="2261"/>
      <c r="F52" s="2261"/>
      <c r="G52" s="2262"/>
      <c r="H52" s="2261"/>
      <c r="I52" s="2262"/>
      <c r="J52" s="2261"/>
      <c r="K52" s="2261"/>
      <c r="L52" s="2262"/>
      <c r="M52" s="2261"/>
      <c r="N52" s="2261"/>
      <c r="O52" s="2262"/>
      <c r="P52" s="2261"/>
      <c r="Q52" s="2261"/>
      <c r="R52" s="2263"/>
    </row>
    <row r="53" spans="2:18" s="2256" customFormat="1">
      <c r="B53" s="2261"/>
      <c r="C53" s="2261"/>
      <c r="D53" s="2261"/>
      <c r="E53" s="2261"/>
      <c r="F53" s="2261"/>
      <c r="G53" s="2262"/>
      <c r="H53" s="2261"/>
      <c r="I53" s="2262"/>
      <c r="J53" s="2261"/>
      <c r="K53" s="2261"/>
      <c r="L53" s="2262"/>
      <c r="M53" s="2261"/>
      <c r="N53" s="2261"/>
      <c r="O53" s="2262"/>
      <c r="P53" s="2261"/>
      <c r="Q53" s="2261"/>
      <c r="R53" s="2263"/>
    </row>
    <row r="54" spans="2:18" s="2256" customFormat="1">
      <c r="B54" s="2261"/>
      <c r="C54" s="2261"/>
      <c r="D54" s="2261"/>
      <c r="E54" s="2261"/>
      <c r="F54" s="2261"/>
      <c r="G54" s="2262"/>
      <c r="H54" s="2261"/>
      <c r="I54" s="2262"/>
      <c r="J54" s="2261"/>
      <c r="K54" s="2261"/>
      <c r="L54" s="2262"/>
      <c r="M54" s="2261"/>
      <c r="N54" s="2261"/>
      <c r="O54" s="2262"/>
      <c r="P54" s="2261"/>
      <c r="Q54" s="2261"/>
      <c r="R54" s="2263"/>
    </row>
    <row r="55" spans="2:18" s="2256" customFormat="1">
      <c r="B55" s="2261"/>
      <c r="C55" s="2261"/>
      <c r="D55" s="2261"/>
      <c r="E55" s="2261"/>
      <c r="F55" s="2261"/>
      <c r="G55" s="2262"/>
      <c r="H55" s="2261"/>
      <c r="I55" s="2262"/>
      <c r="J55" s="2261"/>
      <c r="K55" s="2261"/>
      <c r="L55" s="2262"/>
      <c r="M55" s="2261"/>
      <c r="N55" s="2261"/>
      <c r="O55" s="2262"/>
      <c r="P55" s="2261"/>
      <c r="Q55" s="2261"/>
      <c r="R55" s="2263"/>
    </row>
    <row r="56" spans="2:18" s="2256" customFormat="1">
      <c r="B56" s="2261"/>
      <c r="C56" s="2261"/>
      <c r="D56" s="2261"/>
      <c r="E56" s="2261"/>
      <c r="F56" s="2261"/>
      <c r="G56" s="2262"/>
      <c r="H56" s="2261"/>
      <c r="I56" s="2262"/>
      <c r="J56" s="2261"/>
      <c r="K56" s="2261"/>
      <c r="L56" s="2262"/>
      <c r="M56" s="2261"/>
      <c r="N56" s="2261"/>
      <c r="O56" s="2262"/>
      <c r="P56" s="2261"/>
      <c r="Q56" s="2261"/>
      <c r="R56" s="2263"/>
    </row>
    <row r="57" spans="2:18" s="2256" customFormat="1">
      <c r="B57" s="2261"/>
      <c r="C57" s="2261"/>
      <c r="D57" s="2261"/>
      <c r="E57" s="2261"/>
      <c r="F57" s="2261"/>
      <c r="G57" s="2262"/>
      <c r="H57" s="2261"/>
      <c r="I57" s="2262"/>
      <c r="J57" s="2261"/>
      <c r="K57" s="2261"/>
      <c r="L57" s="2262"/>
      <c r="M57" s="2261"/>
      <c r="N57" s="2261"/>
      <c r="O57" s="2262"/>
      <c r="P57" s="2261"/>
      <c r="Q57" s="2261"/>
      <c r="R57" s="2263"/>
    </row>
    <row r="58" spans="2:18" s="2256" customFormat="1">
      <c r="B58" s="2261"/>
      <c r="C58" s="2261"/>
      <c r="D58" s="2261"/>
      <c r="E58" s="2261"/>
      <c r="F58" s="2261"/>
      <c r="G58" s="2262"/>
      <c r="H58" s="2261"/>
      <c r="I58" s="2262"/>
      <c r="J58" s="2261"/>
      <c r="K58" s="2261"/>
      <c r="L58" s="2262"/>
      <c r="M58" s="2261"/>
      <c r="N58" s="2261"/>
      <c r="O58" s="2262"/>
      <c r="P58" s="2261"/>
      <c r="Q58" s="2261"/>
      <c r="R58" s="2263"/>
    </row>
    <row r="59" spans="2:18" s="2256" customFormat="1">
      <c r="B59" s="2261"/>
      <c r="C59" s="2261"/>
      <c r="D59" s="2261"/>
      <c r="E59" s="2261"/>
      <c r="F59" s="2261"/>
      <c r="G59" s="2262"/>
      <c r="H59" s="2261"/>
      <c r="I59" s="2262"/>
      <c r="J59" s="2261"/>
      <c r="K59" s="2261"/>
      <c r="L59" s="2262"/>
      <c r="M59" s="2261"/>
      <c r="N59" s="2261"/>
      <c r="O59" s="2262"/>
      <c r="P59" s="2261"/>
      <c r="Q59" s="2261"/>
      <c r="R59" s="2263"/>
    </row>
    <row r="60" spans="2:18" s="2256" customFormat="1">
      <c r="B60" s="2261"/>
      <c r="C60" s="2261"/>
      <c r="D60" s="2261"/>
      <c r="E60" s="2261"/>
      <c r="F60" s="2261"/>
      <c r="G60" s="2262"/>
      <c r="H60" s="2261"/>
      <c r="I60" s="2262"/>
      <c r="J60" s="2261"/>
      <c r="K60" s="2261"/>
      <c r="L60" s="2262"/>
      <c r="M60" s="2261"/>
      <c r="N60" s="2261"/>
      <c r="O60" s="2262"/>
      <c r="P60" s="2261"/>
      <c r="Q60" s="2261"/>
      <c r="R60" s="2263"/>
    </row>
    <row r="61" spans="2:18" s="2256" customFormat="1">
      <c r="B61" s="2261"/>
      <c r="C61" s="2261"/>
      <c r="D61" s="2261"/>
      <c r="E61" s="2261"/>
      <c r="F61" s="2261"/>
      <c r="G61" s="2262"/>
      <c r="H61" s="2261"/>
      <c r="I61" s="2262"/>
      <c r="J61" s="2261"/>
      <c r="K61" s="2261"/>
      <c r="L61" s="2262"/>
      <c r="M61" s="2261"/>
      <c r="N61" s="2261"/>
      <c r="O61" s="2262"/>
      <c r="P61" s="2261"/>
      <c r="Q61" s="2261"/>
      <c r="R61" s="2263"/>
    </row>
    <row r="62" spans="2:18" s="2256" customFormat="1">
      <c r="B62" s="2261"/>
      <c r="C62" s="2261"/>
      <c r="D62" s="2261"/>
      <c r="E62" s="2261"/>
      <c r="F62" s="2261"/>
      <c r="G62" s="2262"/>
      <c r="H62" s="2261"/>
      <c r="I62" s="2262"/>
      <c r="J62" s="2261"/>
      <c r="K62" s="2261"/>
      <c r="L62" s="2262"/>
      <c r="M62" s="2261"/>
      <c r="N62" s="2261"/>
      <c r="O62" s="2262"/>
      <c r="P62" s="2261"/>
      <c r="Q62" s="2261"/>
      <c r="R62" s="2263"/>
    </row>
    <row r="63" spans="2:18" s="2256" customFormat="1">
      <c r="B63" s="2261"/>
      <c r="C63" s="2261"/>
      <c r="D63" s="2261"/>
      <c r="E63" s="2261"/>
      <c r="F63" s="2261"/>
      <c r="G63" s="2262"/>
      <c r="H63" s="2261"/>
      <c r="I63" s="2262"/>
      <c r="J63" s="2261"/>
      <c r="K63" s="2261"/>
      <c r="L63" s="2262"/>
      <c r="M63" s="2261"/>
      <c r="N63" s="2261"/>
      <c r="O63" s="2262"/>
      <c r="P63" s="2261"/>
      <c r="Q63" s="2261"/>
      <c r="R63" s="2263"/>
    </row>
    <row r="64" spans="2:18" s="2256" customFormat="1">
      <c r="B64" s="2261"/>
      <c r="C64" s="2261"/>
      <c r="D64" s="2261"/>
      <c r="E64" s="2261"/>
      <c r="F64" s="2261"/>
      <c r="G64" s="2262"/>
      <c r="H64" s="2261"/>
      <c r="I64" s="2262"/>
      <c r="J64" s="2261"/>
      <c r="K64" s="2261"/>
      <c r="L64" s="2262"/>
      <c r="M64" s="2261"/>
      <c r="N64" s="2261"/>
      <c r="O64" s="2262"/>
      <c r="P64" s="2261"/>
      <c r="Q64" s="2261"/>
      <c r="R64" s="2263"/>
    </row>
    <row r="65" spans="2:18" s="2256" customFormat="1">
      <c r="B65" s="2261"/>
      <c r="C65" s="2261"/>
      <c r="D65" s="2261"/>
      <c r="E65" s="2261"/>
      <c r="F65" s="2261"/>
      <c r="G65" s="2262"/>
      <c r="H65" s="2261"/>
      <c r="I65" s="2262"/>
      <c r="J65" s="2261"/>
      <c r="K65" s="2261"/>
      <c r="L65" s="2262"/>
      <c r="M65" s="2261"/>
      <c r="N65" s="2261"/>
      <c r="O65" s="2262"/>
      <c r="P65" s="2261"/>
      <c r="Q65" s="2261"/>
      <c r="R65" s="2263"/>
    </row>
    <row r="66" spans="2:18" s="2256" customFormat="1">
      <c r="B66" s="2261"/>
      <c r="C66" s="2261"/>
      <c r="D66" s="2261"/>
      <c r="E66" s="2261"/>
      <c r="F66" s="2261"/>
      <c r="G66" s="2262"/>
      <c r="H66" s="2261"/>
      <c r="I66" s="2262"/>
      <c r="J66" s="2261"/>
      <c r="K66" s="2261"/>
      <c r="L66" s="2262"/>
      <c r="M66" s="2261"/>
      <c r="N66" s="2261"/>
      <c r="O66" s="2262"/>
      <c r="P66" s="2261"/>
      <c r="Q66" s="2261"/>
      <c r="R66" s="2263"/>
    </row>
    <row r="67" spans="2:18" s="2256" customFormat="1">
      <c r="B67" s="2261"/>
      <c r="C67" s="2261"/>
      <c r="D67" s="2261"/>
      <c r="E67" s="2261"/>
      <c r="F67" s="2261"/>
      <c r="G67" s="2262"/>
      <c r="H67" s="2261"/>
      <c r="I67" s="2262"/>
      <c r="J67" s="2261"/>
      <c r="K67" s="2261"/>
      <c r="L67" s="2262"/>
      <c r="M67" s="2261"/>
      <c r="N67" s="2261"/>
      <c r="O67" s="2262"/>
      <c r="P67" s="2261"/>
      <c r="Q67" s="2261"/>
      <c r="R67" s="2263"/>
    </row>
    <row r="68" spans="2:18" s="2256" customFormat="1">
      <c r="B68" s="2261"/>
      <c r="C68" s="2261"/>
      <c r="D68" s="2261"/>
      <c r="E68" s="2261"/>
      <c r="F68" s="2261"/>
      <c r="G68" s="2262"/>
      <c r="H68" s="2261"/>
      <c r="I68" s="2262"/>
      <c r="J68" s="2261"/>
      <c r="K68" s="2261"/>
      <c r="L68" s="2262"/>
      <c r="M68" s="2261"/>
      <c r="N68" s="2261"/>
      <c r="O68" s="2262"/>
      <c r="P68" s="2261"/>
      <c r="Q68" s="2261"/>
      <c r="R68" s="2263"/>
    </row>
    <row r="69" spans="2:18" s="2256" customFormat="1">
      <c r="B69" s="2261"/>
      <c r="C69" s="2261"/>
      <c r="D69" s="2261"/>
      <c r="E69" s="2261"/>
      <c r="F69" s="2261"/>
      <c r="G69" s="2262"/>
      <c r="H69" s="2261"/>
      <c r="I69" s="2262"/>
      <c r="J69" s="2261"/>
      <c r="K69" s="2261"/>
      <c r="L69" s="2262"/>
      <c r="M69" s="2261"/>
      <c r="N69" s="2261"/>
      <c r="O69" s="2262"/>
      <c r="P69" s="2261"/>
      <c r="Q69" s="2261"/>
      <c r="R69" s="2263"/>
    </row>
    <row r="70" spans="2:18" s="2256" customFormat="1">
      <c r="B70" s="2261"/>
      <c r="C70" s="2261"/>
      <c r="D70" s="2261"/>
      <c r="E70" s="2261"/>
      <c r="F70" s="2261"/>
      <c r="G70" s="2262"/>
      <c r="H70" s="2261"/>
      <c r="I70" s="2262"/>
      <c r="J70" s="2261"/>
      <c r="K70" s="2261"/>
      <c r="L70" s="2262"/>
      <c r="M70" s="2261"/>
      <c r="N70" s="2261"/>
      <c r="O70" s="2262"/>
      <c r="P70" s="2261"/>
      <c r="Q70" s="2261"/>
      <c r="R70" s="2263"/>
    </row>
    <row r="71" spans="2:18" s="2256" customFormat="1">
      <c r="B71" s="2261"/>
      <c r="C71" s="2261"/>
      <c r="D71" s="2261"/>
      <c r="E71" s="2261"/>
      <c r="F71" s="2261"/>
      <c r="G71" s="2262"/>
      <c r="H71" s="2261"/>
      <c r="I71" s="2262"/>
      <c r="J71" s="2261"/>
      <c r="K71" s="2261"/>
      <c r="L71" s="2262"/>
      <c r="M71" s="2261"/>
      <c r="N71" s="2261"/>
      <c r="O71" s="2262"/>
      <c r="P71" s="2261"/>
      <c r="Q71" s="2261"/>
      <c r="R71" s="2263"/>
    </row>
    <row r="72" spans="2:18" s="2256" customFormat="1">
      <c r="B72" s="2261"/>
      <c r="C72" s="2261"/>
      <c r="D72" s="2261"/>
      <c r="E72" s="2261"/>
      <c r="F72" s="2261"/>
      <c r="G72" s="2262"/>
      <c r="H72" s="2261"/>
      <c r="I72" s="2262"/>
      <c r="J72" s="2261"/>
      <c r="K72" s="2261"/>
      <c r="L72" s="2262"/>
      <c r="M72" s="2261"/>
      <c r="N72" s="2261"/>
      <c r="O72" s="2262"/>
      <c r="P72" s="2261"/>
      <c r="Q72" s="2261"/>
      <c r="R72" s="2263"/>
    </row>
    <row r="73" spans="2:18" s="2256" customFormat="1">
      <c r="B73" s="2261"/>
      <c r="C73" s="2261"/>
      <c r="D73" s="2261"/>
      <c r="E73" s="2261"/>
      <c r="F73" s="2261"/>
      <c r="G73" s="2262"/>
      <c r="H73" s="2261"/>
      <c r="I73" s="2262"/>
      <c r="J73" s="2261"/>
      <c r="K73" s="2261"/>
      <c r="L73" s="2262"/>
      <c r="M73" s="2261"/>
      <c r="N73" s="2261"/>
      <c r="O73" s="2262"/>
      <c r="P73" s="2261"/>
      <c r="Q73" s="2261"/>
      <c r="R73" s="2263"/>
    </row>
    <row r="74" spans="2:18" s="2256" customFormat="1">
      <c r="B74" s="2261"/>
      <c r="C74" s="2261"/>
      <c r="D74" s="2261"/>
      <c r="E74" s="2261"/>
      <c r="F74" s="2261"/>
      <c r="G74" s="2262"/>
      <c r="H74" s="2261"/>
      <c r="I74" s="2262"/>
      <c r="J74" s="2261"/>
      <c r="K74" s="2261"/>
      <c r="L74" s="2262"/>
      <c r="M74" s="2261"/>
      <c r="N74" s="2261"/>
      <c r="O74" s="2262"/>
      <c r="P74" s="2261"/>
      <c r="Q74" s="2261"/>
      <c r="R74" s="2263"/>
    </row>
    <row r="75" spans="2:18" s="2256" customFormat="1">
      <c r="B75" s="2261"/>
      <c r="C75" s="2261"/>
      <c r="D75" s="2261"/>
      <c r="E75" s="2261"/>
      <c r="F75" s="2261"/>
      <c r="G75" s="2262"/>
      <c r="H75" s="2261"/>
      <c r="I75" s="2262"/>
      <c r="J75" s="2261"/>
      <c r="K75" s="2261"/>
      <c r="L75" s="2262"/>
      <c r="M75" s="2261"/>
      <c r="N75" s="2261"/>
      <c r="O75" s="2262"/>
      <c r="P75" s="2261"/>
      <c r="Q75" s="2261"/>
      <c r="R75" s="2263"/>
    </row>
    <row r="76" spans="2:18" s="2256" customFormat="1">
      <c r="B76" s="2261"/>
      <c r="C76" s="2261"/>
      <c r="D76" s="2261"/>
      <c r="E76" s="2261"/>
      <c r="F76" s="2261"/>
      <c r="G76" s="2262"/>
      <c r="H76" s="2261"/>
      <c r="I76" s="2262"/>
      <c r="J76" s="2261"/>
      <c r="K76" s="2261"/>
      <c r="L76" s="2262"/>
      <c r="M76" s="2261"/>
      <c r="N76" s="2261"/>
      <c r="O76" s="2262"/>
      <c r="P76" s="2261"/>
      <c r="Q76" s="2261"/>
      <c r="R76" s="2263"/>
    </row>
    <row r="77" spans="2:18" s="2256" customFormat="1">
      <c r="B77" s="2261"/>
      <c r="C77" s="2261"/>
      <c r="D77" s="2261"/>
      <c r="E77" s="2261"/>
      <c r="F77" s="2261"/>
      <c r="G77" s="2262"/>
      <c r="H77" s="2261"/>
      <c r="I77" s="2262"/>
      <c r="J77" s="2261"/>
      <c r="K77" s="2261"/>
      <c r="L77" s="2262"/>
      <c r="M77" s="2261"/>
      <c r="N77" s="2261"/>
      <c r="O77" s="2262"/>
      <c r="P77" s="2261"/>
      <c r="Q77" s="2261"/>
      <c r="R77" s="2263"/>
    </row>
    <row r="78" spans="2:18" s="2256" customFormat="1">
      <c r="B78" s="2261"/>
      <c r="C78" s="2261"/>
      <c r="D78" s="2261"/>
      <c r="E78" s="2261"/>
      <c r="F78" s="2261"/>
      <c r="G78" s="2262"/>
      <c r="H78" s="2261"/>
      <c r="I78" s="2262"/>
      <c r="J78" s="2261"/>
      <c r="K78" s="2261"/>
      <c r="L78" s="2262"/>
      <c r="M78" s="2261"/>
      <c r="N78" s="2261"/>
      <c r="O78" s="2262"/>
      <c r="P78" s="2261"/>
      <c r="Q78" s="2261"/>
      <c r="R78" s="2263"/>
    </row>
    <row r="79" spans="2:18" s="2256" customFormat="1">
      <c r="B79" s="2261"/>
      <c r="C79" s="2261"/>
      <c r="D79" s="2261"/>
      <c r="E79" s="2261"/>
      <c r="F79" s="2261"/>
      <c r="G79" s="2262"/>
      <c r="H79" s="2261"/>
      <c r="I79" s="2262"/>
      <c r="J79" s="2261"/>
      <c r="K79" s="2261"/>
      <c r="L79" s="2262"/>
      <c r="M79" s="2261"/>
      <c r="N79" s="2261"/>
      <c r="O79" s="2262"/>
      <c r="P79" s="2261"/>
      <c r="Q79" s="2261"/>
      <c r="R79" s="2263"/>
    </row>
    <row r="80" spans="2:18" s="2256" customFormat="1">
      <c r="B80" s="2261"/>
      <c r="C80" s="2261"/>
      <c r="D80" s="2261"/>
      <c r="E80" s="2261"/>
      <c r="F80" s="2261"/>
      <c r="G80" s="2262"/>
      <c r="H80" s="2261"/>
      <c r="I80" s="2262"/>
      <c r="J80" s="2261"/>
      <c r="K80" s="2261"/>
      <c r="L80" s="2262"/>
      <c r="M80" s="2261"/>
      <c r="N80" s="2261"/>
      <c r="O80" s="2262"/>
      <c r="P80" s="2261"/>
      <c r="Q80" s="2261"/>
      <c r="R80" s="2263"/>
    </row>
    <row r="81" spans="2:18" s="2256" customFormat="1">
      <c r="B81" s="2261"/>
      <c r="C81" s="2261"/>
      <c r="D81" s="2261"/>
      <c r="E81" s="2261"/>
      <c r="F81" s="2261"/>
      <c r="G81" s="2262"/>
      <c r="H81" s="2261"/>
      <c r="I81" s="2262"/>
      <c r="J81" s="2261"/>
      <c r="K81" s="2261"/>
      <c r="L81" s="2262"/>
      <c r="M81" s="2261"/>
      <c r="N81" s="2261"/>
      <c r="O81" s="2262"/>
      <c r="P81" s="2261"/>
      <c r="Q81" s="2261"/>
      <c r="R81" s="2263"/>
    </row>
    <row r="82" spans="2:18" s="2256" customFormat="1">
      <c r="B82" s="2261"/>
      <c r="C82" s="2261"/>
      <c r="D82" s="2261"/>
      <c r="E82" s="2261"/>
      <c r="F82" s="2261"/>
      <c r="G82" s="2262"/>
      <c r="H82" s="2261"/>
      <c r="I82" s="2262"/>
      <c r="J82" s="2261"/>
      <c r="K82" s="2261"/>
      <c r="L82" s="2262"/>
      <c r="M82" s="2261"/>
      <c r="N82" s="2261"/>
      <c r="O82" s="2262"/>
      <c r="P82" s="2261"/>
      <c r="Q82" s="2261"/>
      <c r="R82" s="2263"/>
    </row>
    <row r="83" spans="2:18" s="2256" customFormat="1">
      <c r="B83" s="2261"/>
      <c r="C83" s="2261"/>
      <c r="D83" s="2261"/>
      <c r="E83" s="2261"/>
      <c r="F83" s="2261"/>
      <c r="G83" s="2262"/>
      <c r="H83" s="2261"/>
      <c r="I83" s="2262"/>
      <c r="J83" s="2261"/>
      <c r="K83" s="2261"/>
      <c r="L83" s="2262"/>
      <c r="M83" s="2261"/>
      <c r="N83" s="2261"/>
      <c r="O83" s="2262"/>
      <c r="P83" s="2261"/>
      <c r="Q83" s="2261"/>
      <c r="R83" s="2263"/>
    </row>
    <row r="84" spans="2:18" s="2256" customFormat="1">
      <c r="B84" s="2261"/>
      <c r="C84" s="2261"/>
      <c r="D84" s="2261"/>
      <c r="E84" s="2261"/>
      <c r="F84" s="2261"/>
      <c r="G84" s="2262"/>
      <c r="H84" s="2261"/>
      <c r="I84" s="2262"/>
      <c r="J84" s="2261"/>
      <c r="K84" s="2261"/>
      <c r="L84" s="2262"/>
      <c r="M84" s="2261"/>
      <c r="N84" s="2261"/>
      <c r="O84" s="2262"/>
      <c r="P84" s="2261"/>
      <c r="Q84" s="2261"/>
      <c r="R84" s="2263"/>
    </row>
    <row r="85" spans="2:18" s="2256" customFormat="1">
      <c r="B85" s="2261"/>
      <c r="C85" s="2261"/>
      <c r="D85" s="2261"/>
      <c r="E85" s="2261"/>
      <c r="F85" s="2261"/>
      <c r="G85" s="2262"/>
      <c r="H85" s="2261"/>
      <c r="I85" s="2262"/>
      <c r="J85" s="2261"/>
      <c r="K85" s="2261"/>
      <c r="L85" s="2262"/>
      <c r="M85" s="2261"/>
      <c r="N85" s="2261"/>
      <c r="O85" s="2262"/>
      <c r="P85" s="2261"/>
      <c r="Q85" s="2261"/>
      <c r="R85" s="2263"/>
    </row>
    <row r="86" spans="2:18" s="2256" customFormat="1">
      <c r="B86" s="2261"/>
      <c r="C86" s="2261"/>
      <c r="D86" s="2261"/>
      <c r="E86" s="2261"/>
      <c r="F86" s="2261"/>
      <c r="G86" s="2262"/>
      <c r="H86" s="2261"/>
      <c r="I86" s="2262"/>
      <c r="J86" s="2261"/>
      <c r="K86" s="2261"/>
      <c r="L86" s="2262"/>
      <c r="M86" s="2261"/>
      <c r="N86" s="2261"/>
      <c r="O86" s="2262"/>
      <c r="P86" s="2261"/>
      <c r="Q86" s="2261"/>
      <c r="R86" s="2263"/>
    </row>
    <row r="87" spans="2:18" s="2256" customFormat="1">
      <c r="B87" s="2261"/>
      <c r="C87" s="2261"/>
      <c r="D87" s="2261"/>
      <c r="E87" s="2261"/>
      <c r="F87" s="2261"/>
      <c r="G87" s="2262"/>
      <c r="H87" s="2261"/>
      <c r="I87" s="2262"/>
      <c r="J87" s="2261"/>
      <c r="K87" s="2261"/>
      <c r="L87" s="2262"/>
      <c r="M87" s="2261"/>
      <c r="N87" s="2261"/>
      <c r="O87" s="2262"/>
      <c r="P87" s="2261"/>
      <c r="Q87" s="2261"/>
      <c r="R87" s="2263"/>
    </row>
    <row r="88" spans="2:18" s="2256" customFormat="1">
      <c r="B88" s="2261"/>
      <c r="C88" s="2261"/>
      <c r="D88" s="2261"/>
      <c r="E88" s="2261"/>
      <c r="F88" s="2261"/>
      <c r="G88" s="2262"/>
      <c r="H88" s="2261"/>
      <c r="I88" s="2262"/>
      <c r="J88" s="2261"/>
      <c r="K88" s="2261"/>
      <c r="L88" s="2262"/>
      <c r="M88" s="2261"/>
      <c r="N88" s="2261"/>
      <c r="O88" s="2262"/>
      <c r="P88" s="2261"/>
      <c r="Q88" s="2261"/>
      <c r="R88" s="2263"/>
    </row>
    <row r="89" spans="2:18" s="2256" customFormat="1">
      <c r="B89" s="2261"/>
      <c r="C89" s="2261"/>
      <c r="D89" s="2261"/>
      <c r="E89" s="2261"/>
      <c r="F89" s="2261"/>
      <c r="G89" s="2262"/>
      <c r="H89" s="2261"/>
      <c r="I89" s="2262"/>
      <c r="J89" s="2261"/>
      <c r="K89" s="2261"/>
      <c r="L89" s="2262"/>
      <c r="M89" s="2261"/>
      <c r="N89" s="2261"/>
      <c r="O89" s="2262"/>
      <c r="P89" s="2261"/>
      <c r="Q89" s="2261"/>
      <c r="R89" s="2263"/>
    </row>
    <row r="90" spans="2:18" s="2256" customFormat="1">
      <c r="B90" s="2261"/>
      <c r="C90" s="2261"/>
      <c r="D90" s="2261"/>
      <c r="E90" s="2261"/>
      <c r="F90" s="2261"/>
      <c r="G90" s="2262"/>
      <c r="H90" s="2261"/>
      <c r="I90" s="2262"/>
      <c r="J90" s="2261"/>
      <c r="K90" s="2261"/>
      <c r="L90" s="2262"/>
      <c r="M90" s="2261"/>
      <c r="N90" s="2261"/>
      <c r="O90" s="2262"/>
      <c r="P90" s="2261"/>
      <c r="Q90" s="2261"/>
      <c r="R90" s="2263"/>
    </row>
    <row r="91" spans="2:18" s="2256" customFormat="1">
      <c r="B91" s="2261"/>
      <c r="C91" s="2261"/>
      <c r="D91" s="2261"/>
      <c r="E91" s="2261"/>
      <c r="F91" s="2261"/>
      <c r="G91" s="2262"/>
      <c r="H91" s="2261"/>
      <c r="I91" s="2262"/>
      <c r="J91" s="2261"/>
      <c r="K91" s="2261"/>
      <c r="L91" s="2262"/>
      <c r="M91" s="2261"/>
      <c r="N91" s="2261"/>
      <c r="O91" s="2262"/>
      <c r="P91" s="2261"/>
      <c r="Q91" s="2261"/>
      <c r="R91" s="2263"/>
    </row>
    <row r="92" spans="2:18" s="2256" customFormat="1">
      <c r="B92" s="2261"/>
      <c r="C92" s="2261"/>
      <c r="D92" s="2261"/>
      <c r="E92" s="2261"/>
      <c r="F92" s="2261"/>
      <c r="G92" s="2262"/>
      <c r="H92" s="2261"/>
      <c r="I92" s="2262"/>
      <c r="J92" s="2261"/>
      <c r="K92" s="2261"/>
      <c r="L92" s="2262"/>
      <c r="M92" s="2261"/>
      <c r="N92" s="2261"/>
      <c r="O92" s="2262"/>
      <c r="P92" s="2261"/>
      <c r="Q92" s="2261"/>
      <c r="R92" s="2263"/>
    </row>
    <row r="93" spans="2:18" s="2256" customFormat="1">
      <c r="B93" s="2261"/>
      <c r="C93" s="2261"/>
      <c r="D93" s="2261"/>
      <c r="E93" s="2261"/>
      <c r="F93" s="2261"/>
      <c r="G93" s="2262"/>
      <c r="H93" s="2261"/>
      <c r="I93" s="2262"/>
      <c r="J93" s="2261"/>
      <c r="K93" s="2261"/>
      <c r="L93" s="2262"/>
      <c r="M93" s="2261"/>
      <c r="N93" s="2261"/>
      <c r="O93" s="2262"/>
      <c r="P93" s="2261"/>
      <c r="Q93" s="2261"/>
      <c r="R93" s="2263"/>
    </row>
    <row r="94" spans="2:18" s="2256" customFormat="1">
      <c r="B94" s="2261"/>
      <c r="C94" s="2261"/>
      <c r="D94" s="2261"/>
      <c r="E94" s="2261"/>
      <c r="F94" s="2261"/>
      <c r="G94" s="2262"/>
      <c r="H94" s="2261"/>
      <c r="I94" s="2262"/>
      <c r="J94" s="2261"/>
      <c r="K94" s="2261"/>
      <c r="L94" s="2262"/>
      <c r="M94" s="2261"/>
      <c r="N94" s="2261"/>
      <c r="O94" s="2262"/>
      <c r="P94" s="2261"/>
      <c r="Q94" s="2261"/>
      <c r="R94" s="2263"/>
    </row>
    <row r="95" spans="2:18" s="2256" customFormat="1">
      <c r="B95" s="2261"/>
      <c r="C95" s="2261"/>
      <c r="D95" s="2261"/>
      <c r="E95" s="2261"/>
      <c r="F95" s="2261"/>
      <c r="G95" s="2262"/>
      <c r="H95" s="2261"/>
      <c r="I95" s="2262"/>
      <c r="J95" s="2261"/>
      <c r="K95" s="2261"/>
      <c r="L95" s="2262"/>
      <c r="M95" s="2261"/>
      <c r="N95" s="2261"/>
      <c r="O95" s="2262"/>
      <c r="P95" s="2261"/>
      <c r="Q95" s="2261"/>
      <c r="R95" s="2263"/>
    </row>
    <row r="96" spans="2:18" s="2256" customFormat="1">
      <c r="B96" s="2261"/>
      <c r="C96" s="2261"/>
      <c r="D96" s="2261"/>
      <c r="E96" s="2261"/>
      <c r="F96" s="2261"/>
      <c r="G96" s="2262"/>
      <c r="H96" s="2261"/>
      <c r="I96" s="2262"/>
      <c r="J96" s="2261"/>
      <c r="K96" s="2261"/>
      <c r="L96" s="2262"/>
      <c r="M96" s="2261"/>
      <c r="N96" s="2261"/>
      <c r="O96" s="2262"/>
      <c r="P96" s="2261"/>
      <c r="Q96" s="2261"/>
      <c r="R96" s="2263"/>
    </row>
    <row r="97" spans="2:18" s="2256" customFormat="1">
      <c r="B97" s="2261"/>
      <c r="C97" s="2261"/>
      <c r="D97" s="2261"/>
      <c r="E97" s="2261"/>
      <c r="F97" s="2261"/>
      <c r="G97" s="2262"/>
      <c r="H97" s="2261"/>
      <c r="I97" s="2262"/>
      <c r="J97" s="2261"/>
      <c r="K97" s="2261"/>
      <c r="L97" s="2262"/>
      <c r="M97" s="2261"/>
      <c r="N97" s="2261"/>
      <c r="O97" s="2262"/>
      <c r="P97" s="2261"/>
      <c r="Q97" s="2261"/>
      <c r="R97" s="2263"/>
    </row>
    <row r="98" spans="2:18" s="2256" customFormat="1">
      <c r="B98" s="2261"/>
      <c r="C98" s="2261"/>
      <c r="D98" s="2261"/>
      <c r="E98" s="2261"/>
      <c r="F98" s="2261"/>
      <c r="G98" s="2262"/>
      <c r="H98" s="2261"/>
      <c r="I98" s="2262"/>
      <c r="J98" s="2261"/>
      <c r="K98" s="2261"/>
      <c r="L98" s="2262"/>
      <c r="M98" s="2261"/>
      <c r="N98" s="2261"/>
      <c r="O98" s="2262"/>
      <c r="P98" s="2261"/>
      <c r="Q98" s="2261"/>
      <c r="R98" s="2263"/>
    </row>
    <row r="99" spans="2:18" s="2256" customFormat="1">
      <c r="B99" s="2261"/>
      <c r="C99" s="2261"/>
      <c r="D99" s="2261"/>
      <c r="E99" s="2261"/>
      <c r="F99" s="2261"/>
      <c r="G99" s="2262"/>
      <c r="H99" s="2261"/>
      <c r="I99" s="2262"/>
      <c r="J99" s="2261"/>
      <c r="K99" s="2261"/>
      <c r="L99" s="2262"/>
      <c r="M99" s="2261"/>
      <c r="N99" s="2261"/>
      <c r="O99" s="2262"/>
      <c r="P99" s="2261"/>
      <c r="Q99" s="2261"/>
      <c r="R99" s="2263"/>
    </row>
    <row r="100" spans="2:18" s="2256" customFormat="1">
      <c r="B100" s="2261"/>
      <c r="C100" s="2261"/>
      <c r="D100" s="2261"/>
      <c r="E100" s="2261"/>
      <c r="F100" s="2261"/>
      <c r="G100" s="2262"/>
      <c r="H100" s="2261"/>
      <c r="I100" s="2262"/>
      <c r="J100" s="2261"/>
      <c r="K100" s="2261"/>
      <c r="L100" s="2262"/>
      <c r="M100" s="2261"/>
      <c r="N100" s="2261"/>
      <c r="O100" s="2262"/>
      <c r="P100" s="2261"/>
      <c r="Q100" s="2261"/>
      <c r="R100" s="2263"/>
    </row>
    <row r="101" spans="2:18" s="2256" customFormat="1">
      <c r="B101" s="2261"/>
      <c r="C101" s="2261"/>
      <c r="D101" s="2261"/>
      <c r="E101" s="2261"/>
      <c r="F101" s="2261"/>
      <c r="G101" s="2262"/>
      <c r="H101" s="2261"/>
      <c r="I101" s="2262"/>
      <c r="J101" s="2261"/>
      <c r="K101" s="2261"/>
      <c r="L101" s="2262"/>
      <c r="M101" s="2261"/>
      <c r="N101" s="2261"/>
      <c r="O101" s="2262"/>
      <c r="P101" s="2261"/>
      <c r="Q101" s="2261"/>
      <c r="R101" s="2263"/>
    </row>
    <row r="102" spans="2:18" s="2256" customFormat="1">
      <c r="B102" s="2261"/>
      <c r="C102" s="2261"/>
      <c r="D102" s="2261"/>
      <c r="E102" s="2261"/>
      <c r="F102" s="2261"/>
      <c r="G102" s="2262"/>
      <c r="H102" s="2261"/>
      <c r="I102" s="2262"/>
      <c r="J102" s="2261"/>
      <c r="K102" s="2261"/>
      <c r="L102" s="2262"/>
      <c r="M102" s="2261"/>
      <c r="N102" s="2261"/>
      <c r="O102" s="2262"/>
      <c r="P102" s="2261"/>
      <c r="Q102" s="2261"/>
      <c r="R102" s="2263"/>
    </row>
    <row r="103" spans="2:18" s="2256" customFormat="1">
      <c r="B103" s="2261"/>
      <c r="C103" s="2261"/>
      <c r="D103" s="2261"/>
      <c r="E103" s="2261"/>
      <c r="F103" s="2261"/>
      <c r="G103" s="2262"/>
      <c r="H103" s="2261"/>
      <c r="I103" s="2262"/>
      <c r="J103" s="2261"/>
      <c r="K103" s="2261"/>
      <c r="L103" s="2262"/>
      <c r="M103" s="2261"/>
      <c r="N103" s="2261"/>
      <c r="O103" s="2262"/>
      <c r="P103" s="2261"/>
      <c r="Q103" s="2261"/>
      <c r="R103" s="2263"/>
    </row>
    <row r="104" spans="2:18" s="2256" customFormat="1">
      <c r="B104" s="2261"/>
      <c r="C104" s="2261"/>
      <c r="D104" s="2261"/>
      <c r="E104" s="2261"/>
      <c r="F104" s="2261"/>
      <c r="G104" s="2262"/>
      <c r="H104" s="2261"/>
      <c r="I104" s="2262"/>
      <c r="J104" s="2261"/>
      <c r="K104" s="2261"/>
      <c r="L104" s="2262"/>
      <c r="M104" s="2261"/>
      <c r="N104" s="2261"/>
      <c r="O104" s="2262"/>
      <c r="P104" s="2261"/>
      <c r="Q104" s="2261"/>
      <c r="R104" s="2263"/>
    </row>
    <row r="105" spans="2:18" s="2256" customFormat="1">
      <c r="B105" s="2261"/>
      <c r="C105" s="2261"/>
      <c r="D105" s="2261"/>
      <c r="E105" s="2261"/>
      <c r="F105" s="2261"/>
      <c r="G105" s="2262"/>
      <c r="H105" s="2261"/>
      <c r="I105" s="2262"/>
      <c r="J105" s="2261"/>
      <c r="K105" s="2261"/>
      <c r="L105" s="2262"/>
      <c r="M105" s="2261"/>
      <c r="N105" s="2261"/>
      <c r="O105" s="2262"/>
      <c r="P105" s="2261"/>
      <c r="Q105" s="2261"/>
      <c r="R105" s="2263"/>
    </row>
    <row r="106" spans="2:18" s="2256" customFormat="1">
      <c r="B106" s="2261"/>
      <c r="C106" s="2261"/>
      <c r="D106" s="2261"/>
      <c r="E106" s="2261"/>
      <c r="F106" s="2261"/>
      <c r="G106" s="2262"/>
      <c r="H106" s="2261"/>
      <c r="I106" s="2262"/>
      <c r="J106" s="2261"/>
      <c r="K106" s="2261"/>
      <c r="L106" s="2262"/>
      <c r="M106" s="2261"/>
      <c r="N106" s="2261"/>
      <c r="O106" s="2262"/>
      <c r="P106" s="2261"/>
      <c r="Q106" s="2261"/>
      <c r="R106" s="2263"/>
    </row>
    <row r="107" spans="2:18" s="2256" customFormat="1">
      <c r="B107" s="2261"/>
      <c r="C107" s="2261"/>
      <c r="D107" s="2261"/>
      <c r="E107" s="2261"/>
      <c r="F107" s="2261"/>
      <c r="G107" s="2262"/>
      <c r="H107" s="2261"/>
      <c r="I107" s="2262"/>
      <c r="J107" s="2261"/>
      <c r="K107" s="2261"/>
      <c r="L107" s="2262"/>
      <c r="M107" s="2261"/>
      <c r="N107" s="2261"/>
      <c r="O107" s="2262"/>
      <c r="P107" s="2261"/>
      <c r="Q107" s="2261"/>
      <c r="R107" s="2263"/>
    </row>
    <row r="108" spans="2:18" s="2256" customFormat="1">
      <c r="B108" s="2261"/>
      <c r="C108" s="2261"/>
      <c r="D108" s="2261"/>
      <c r="E108" s="2261"/>
      <c r="F108" s="2261"/>
      <c r="G108" s="2262"/>
      <c r="H108" s="2261"/>
      <c r="I108" s="2262"/>
      <c r="J108" s="2261"/>
      <c r="K108" s="2261"/>
      <c r="L108" s="2262"/>
      <c r="M108" s="2261"/>
      <c r="N108" s="2261"/>
      <c r="O108" s="2262"/>
      <c r="P108" s="2261"/>
      <c r="Q108" s="2261"/>
      <c r="R108" s="2263"/>
    </row>
    <row r="109" spans="2:18" s="2256" customFormat="1">
      <c r="B109" s="2261"/>
      <c r="C109" s="2261"/>
      <c r="D109" s="2261"/>
      <c r="E109" s="2261"/>
      <c r="F109" s="2261"/>
      <c r="G109" s="2262"/>
      <c r="H109" s="2261"/>
      <c r="I109" s="2262"/>
      <c r="J109" s="2261"/>
      <c r="K109" s="2261"/>
      <c r="L109" s="2262"/>
      <c r="M109" s="2261"/>
      <c r="N109" s="2261"/>
      <c r="O109" s="2262"/>
      <c r="P109" s="2261"/>
      <c r="Q109" s="2261"/>
      <c r="R109" s="2263"/>
    </row>
    <row r="110" spans="2:18" s="2256" customFormat="1">
      <c r="B110" s="2261"/>
      <c r="C110" s="2261"/>
      <c r="D110" s="2261"/>
      <c r="E110" s="2261"/>
      <c r="F110" s="2261"/>
      <c r="G110" s="2262"/>
      <c r="H110" s="2261"/>
      <c r="I110" s="2262"/>
      <c r="J110" s="2261"/>
      <c r="K110" s="2261"/>
      <c r="L110" s="2262"/>
      <c r="M110" s="2261"/>
      <c r="N110" s="2261"/>
      <c r="O110" s="2262"/>
      <c r="P110" s="2261"/>
      <c r="Q110" s="2261"/>
      <c r="R110" s="2263"/>
    </row>
    <row r="111" spans="2:18" s="2256" customFormat="1">
      <c r="B111" s="2261"/>
      <c r="C111" s="2261"/>
      <c r="D111" s="2261"/>
      <c r="E111" s="2261"/>
      <c r="F111" s="2261"/>
      <c r="G111" s="2262"/>
      <c r="H111" s="2261"/>
      <c r="I111" s="2262"/>
      <c r="J111" s="2261"/>
      <c r="K111" s="2261"/>
      <c r="L111" s="2262"/>
      <c r="M111" s="2261"/>
      <c r="N111" s="2261"/>
      <c r="O111" s="2262"/>
      <c r="P111" s="2261"/>
      <c r="Q111" s="2261"/>
      <c r="R111" s="2263"/>
    </row>
    <row r="112" spans="2:18" s="2256" customFormat="1">
      <c r="B112" s="2261"/>
      <c r="C112" s="2261"/>
      <c r="D112" s="2261"/>
      <c r="E112" s="2261"/>
      <c r="F112" s="2261"/>
      <c r="G112" s="2262"/>
      <c r="H112" s="2261"/>
      <c r="I112" s="2262"/>
      <c r="J112" s="2261"/>
      <c r="K112" s="2261"/>
      <c r="L112" s="2262"/>
      <c r="M112" s="2261"/>
      <c r="N112" s="2261"/>
      <c r="O112" s="2262"/>
      <c r="P112" s="2261"/>
      <c r="Q112" s="2261"/>
      <c r="R112" s="2263"/>
    </row>
    <row r="113" spans="2:18" s="2256" customFormat="1">
      <c r="B113" s="2261"/>
      <c r="C113" s="2261"/>
      <c r="D113" s="2261"/>
      <c r="E113" s="2261"/>
      <c r="F113" s="2261"/>
      <c r="G113" s="2262"/>
      <c r="H113" s="2261"/>
      <c r="I113" s="2262"/>
      <c r="J113" s="2261"/>
      <c r="K113" s="2261"/>
      <c r="L113" s="2262"/>
      <c r="M113" s="2261"/>
      <c r="N113" s="2261"/>
      <c r="O113" s="2262"/>
      <c r="P113" s="2261"/>
      <c r="Q113" s="2261"/>
      <c r="R113" s="2263"/>
    </row>
    <row r="114" spans="2:18" s="2256" customFormat="1">
      <c r="B114" s="2261"/>
      <c r="C114" s="2261"/>
      <c r="D114" s="2261"/>
      <c r="E114" s="2261"/>
      <c r="F114" s="2261"/>
      <c r="G114" s="2262"/>
      <c r="H114" s="2261"/>
      <c r="I114" s="2262"/>
      <c r="J114" s="2261"/>
      <c r="K114" s="2261"/>
      <c r="L114" s="2262"/>
      <c r="M114" s="2261"/>
      <c r="N114" s="2261"/>
      <c r="O114" s="2262"/>
      <c r="P114" s="2261"/>
      <c r="Q114" s="2261"/>
      <c r="R114" s="2263"/>
    </row>
    <row r="115" spans="2:18" s="2256" customFormat="1">
      <c r="B115" s="2261"/>
      <c r="C115" s="2261"/>
      <c r="D115" s="2261"/>
      <c r="E115" s="2261"/>
      <c r="F115" s="2261"/>
      <c r="G115" s="2262"/>
      <c r="H115" s="2261"/>
      <c r="I115" s="2262"/>
      <c r="J115" s="2261"/>
      <c r="K115" s="2261"/>
      <c r="L115" s="2262"/>
      <c r="M115" s="2261"/>
      <c r="N115" s="2261"/>
      <c r="O115" s="2262"/>
      <c r="P115" s="2261"/>
      <c r="Q115" s="2261"/>
      <c r="R115" s="2263"/>
    </row>
    <row r="116" spans="2:18" s="2256" customFormat="1">
      <c r="B116" s="2261"/>
      <c r="C116" s="2261"/>
      <c r="D116" s="2261"/>
      <c r="E116" s="2261"/>
      <c r="F116" s="2261"/>
      <c r="G116" s="2262"/>
      <c r="H116" s="2261"/>
      <c r="I116" s="2262"/>
      <c r="J116" s="2261"/>
      <c r="K116" s="2261"/>
      <c r="L116" s="2262"/>
      <c r="M116" s="2261"/>
      <c r="N116" s="2261"/>
      <c r="O116" s="2262"/>
      <c r="P116" s="2261"/>
      <c r="Q116" s="2261"/>
      <c r="R116" s="2263"/>
    </row>
    <row r="117" spans="2:18" s="2256" customFormat="1">
      <c r="B117" s="2261"/>
      <c r="C117" s="2261"/>
      <c r="D117" s="2261"/>
      <c r="E117" s="2261"/>
      <c r="F117" s="2261"/>
      <c r="G117" s="2262"/>
      <c r="H117" s="2261"/>
      <c r="I117" s="2262"/>
      <c r="J117" s="2261"/>
      <c r="K117" s="2261"/>
      <c r="L117" s="2262"/>
      <c r="M117" s="2261"/>
      <c r="N117" s="2261"/>
      <c r="O117" s="2262"/>
      <c r="P117" s="2261"/>
      <c r="Q117" s="2261"/>
      <c r="R117" s="2263"/>
    </row>
    <row r="118" spans="2:18" s="2256" customFormat="1">
      <c r="B118" s="2261"/>
      <c r="C118" s="2261"/>
      <c r="D118" s="2261"/>
      <c r="E118" s="2261"/>
      <c r="F118" s="2261"/>
      <c r="G118" s="2262"/>
      <c r="H118" s="2261"/>
      <c r="I118" s="2262"/>
      <c r="J118" s="2261"/>
      <c r="K118" s="2261"/>
      <c r="L118" s="2262"/>
      <c r="M118" s="2261"/>
      <c r="N118" s="2261"/>
      <c r="O118" s="2262"/>
      <c r="P118" s="2261"/>
      <c r="Q118" s="2261"/>
      <c r="R118" s="2263"/>
    </row>
    <row r="119" spans="2:18" s="2256" customFormat="1">
      <c r="B119" s="2261"/>
      <c r="C119" s="2261"/>
      <c r="D119" s="2261"/>
      <c r="E119" s="2261"/>
      <c r="F119" s="2261"/>
      <c r="G119" s="2262"/>
      <c r="H119" s="2261"/>
      <c r="I119" s="2262"/>
      <c r="J119" s="2261"/>
      <c r="K119" s="2261"/>
      <c r="L119" s="2262"/>
      <c r="M119" s="2261"/>
      <c r="N119" s="2261"/>
      <c r="O119" s="2262"/>
      <c r="P119" s="2261"/>
      <c r="Q119" s="2261"/>
      <c r="R119" s="2263"/>
    </row>
    <row r="120" spans="2:18" s="2256" customFormat="1">
      <c r="B120" s="2261"/>
      <c r="C120" s="2261"/>
      <c r="D120" s="2261"/>
      <c r="E120" s="2261"/>
      <c r="F120" s="2261"/>
      <c r="G120" s="2262"/>
      <c r="H120" s="2261"/>
      <c r="I120" s="2262"/>
      <c r="J120" s="2261"/>
      <c r="K120" s="2261"/>
      <c r="L120" s="2262"/>
      <c r="M120" s="2261"/>
      <c r="N120" s="2261"/>
      <c r="O120" s="2262"/>
      <c r="P120" s="2261"/>
      <c r="Q120" s="2261"/>
      <c r="R120" s="2263"/>
    </row>
    <row r="121" spans="2:18" s="2256" customFormat="1">
      <c r="B121" s="2261"/>
      <c r="C121" s="2261"/>
      <c r="D121" s="2261"/>
      <c r="E121" s="2261"/>
      <c r="F121" s="2261"/>
      <c r="G121" s="2262"/>
      <c r="H121" s="2261"/>
      <c r="I121" s="2262"/>
      <c r="J121" s="2261"/>
      <c r="K121" s="2261"/>
      <c r="L121" s="2262"/>
      <c r="M121" s="2261"/>
      <c r="N121" s="2261"/>
      <c r="O121" s="2262"/>
      <c r="P121" s="2261"/>
      <c r="Q121" s="2261"/>
      <c r="R121" s="2263"/>
    </row>
    <row r="122" spans="2:18" s="2256" customFormat="1">
      <c r="B122" s="2261"/>
      <c r="C122" s="2261"/>
      <c r="D122" s="2261"/>
      <c r="E122" s="2261"/>
      <c r="F122" s="2261"/>
      <c r="G122" s="2262"/>
      <c r="H122" s="2261"/>
      <c r="I122" s="2262"/>
      <c r="J122" s="2261"/>
      <c r="K122" s="2261"/>
      <c r="L122" s="2262"/>
      <c r="M122" s="2261"/>
      <c r="N122" s="2261"/>
      <c r="O122" s="2262"/>
      <c r="P122" s="2261"/>
      <c r="Q122" s="2261"/>
      <c r="R122" s="2263"/>
    </row>
    <row r="123" spans="2:18" s="2256" customFormat="1">
      <c r="B123" s="2261"/>
      <c r="C123" s="2261"/>
      <c r="D123" s="2261"/>
      <c r="E123" s="2261"/>
      <c r="F123" s="2261"/>
      <c r="G123" s="2262"/>
      <c r="H123" s="2261"/>
      <c r="I123" s="2262"/>
      <c r="J123" s="2261"/>
      <c r="K123" s="2261"/>
      <c r="L123" s="2262"/>
      <c r="M123" s="2261"/>
      <c r="N123" s="2261"/>
      <c r="O123" s="2262"/>
      <c r="P123" s="2261"/>
      <c r="Q123" s="2261"/>
      <c r="R123" s="2263"/>
    </row>
    <row r="124" spans="2:18" s="2256" customFormat="1">
      <c r="B124" s="2261"/>
      <c r="C124" s="2261"/>
      <c r="D124" s="2261"/>
      <c r="E124" s="2261"/>
      <c r="F124" s="2261"/>
      <c r="G124" s="2262"/>
      <c r="H124" s="2261"/>
      <c r="I124" s="2262"/>
      <c r="J124" s="2261"/>
      <c r="K124" s="2261"/>
      <c r="L124" s="2262"/>
      <c r="M124" s="2261"/>
      <c r="N124" s="2261"/>
      <c r="O124" s="2262"/>
      <c r="P124" s="2261"/>
      <c r="Q124" s="2261"/>
      <c r="R124" s="2263"/>
    </row>
    <row r="125" spans="2:18" s="2256" customFormat="1">
      <c r="B125" s="2261"/>
      <c r="C125" s="2261"/>
      <c r="D125" s="2261"/>
      <c r="E125" s="2261"/>
      <c r="F125" s="2261"/>
      <c r="G125" s="2262"/>
      <c r="H125" s="2261"/>
      <c r="I125" s="2262"/>
      <c r="J125" s="2261"/>
      <c r="K125" s="2261"/>
      <c r="L125" s="2262"/>
      <c r="M125" s="2261"/>
      <c r="N125" s="2261"/>
      <c r="O125" s="2262"/>
      <c r="P125" s="2261"/>
      <c r="Q125" s="2261"/>
      <c r="R125" s="2263"/>
    </row>
    <row r="126" spans="2:18" s="2256" customFormat="1">
      <c r="B126" s="2261"/>
      <c r="C126" s="2261"/>
      <c r="D126" s="2261"/>
      <c r="E126" s="2261"/>
      <c r="F126" s="2261"/>
      <c r="G126" s="2262"/>
      <c r="H126" s="2261"/>
      <c r="I126" s="2262"/>
      <c r="J126" s="2261"/>
      <c r="K126" s="2261"/>
      <c r="L126" s="2262"/>
      <c r="M126" s="2261"/>
      <c r="N126" s="2261"/>
      <c r="O126" s="2262"/>
      <c r="P126" s="2261"/>
      <c r="Q126" s="2261"/>
      <c r="R126" s="2263"/>
    </row>
    <row r="127" spans="2:18" s="2256" customFormat="1">
      <c r="B127" s="2261"/>
      <c r="C127" s="2261"/>
      <c r="D127" s="2261"/>
      <c r="E127" s="2261"/>
      <c r="F127" s="2261"/>
      <c r="G127" s="2262"/>
      <c r="H127" s="2261"/>
      <c r="I127" s="2262"/>
      <c r="J127" s="2261"/>
      <c r="K127" s="2261"/>
      <c r="L127" s="2262"/>
      <c r="M127" s="2261"/>
      <c r="N127" s="2261"/>
      <c r="O127" s="2262"/>
      <c r="P127" s="2261"/>
      <c r="Q127" s="2261"/>
      <c r="R127" s="2263"/>
    </row>
    <row r="128" spans="2:18" s="2256" customFormat="1">
      <c r="B128" s="2261"/>
      <c r="C128" s="2261"/>
      <c r="D128" s="2261"/>
      <c r="E128" s="2261"/>
      <c r="F128" s="2261"/>
      <c r="G128" s="2262"/>
      <c r="H128" s="2261"/>
      <c r="I128" s="2262"/>
      <c r="J128" s="2261"/>
      <c r="K128" s="2261"/>
      <c r="L128" s="2262"/>
      <c r="M128" s="2261"/>
      <c r="N128" s="2261"/>
      <c r="O128" s="2262"/>
      <c r="P128" s="2261"/>
      <c r="Q128" s="2261"/>
      <c r="R128" s="2263"/>
    </row>
    <row r="129" spans="2:18" s="2256" customFormat="1">
      <c r="B129" s="2261"/>
      <c r="C129" s="2261"/>
      <c r="D129" s="2261"/>
      <c r="E129" s="2261"/>
      <c r="F129" s="2261"/>
      <c r="G129" s="2262"/>
      <c r="H129" s="2261"/>
      <c r="I129" s="2262"/>
      <c r="J129" s="2261"/>
      <c r="K129" s="2261"/>
      <c r="L129" s="2262"/>
      <c r="M129" s="2261"/>
      <c r="N129" s="2261"/>
      <c r="O129" s="2262"/>
      <c r="P129" s="2261"/>
      <c r="Q129" s="2261"/>
      <c r="R129" s="2263"/>
    </row>
    <row r="130" spans="2:18" s="2256" customFormat="1">
      <c r="B130" s="2261"/>
      <c r="C130" s="2261"/>
      <c r="D130" s="2261"/>
      <c r="E130" s="2261"/>
      <c r="F130" s="2261"/>
      <c r="G130" s="2262"/>
      <c r="H130" s="2261"/>
      <c r="I130" s="2262"/>
      <c r="J130" s="2261"/>
      <c r="K130" s="2261"/>
      <c r="L130" s="2262"/>
      <c r="M130" s="2261"/>
      <c r="N130" s="2261"/>
      <c r="O130" s="2262"/>
      <c r="P130" s="2261"/>
      <c r="Q130" s="2261"/>
      <c r="R130" s="2263"/>
    </row>
    <row r="131" spans="2:18" s="2256" customFormat="1">
      <c r="B131" s="2261"/>
      <c r="C131" s="2261"/>
      <c r="D131" s="2261"/>
      <c r="E131" s="2261"/>
      <c r="F131" s="2261"/>
      <c r="G131" s="2262"/>
      <c r="H131" s="2261"/>
      <c r="I131" s="2262"/>
      <c r="J131" s="2261"/>
      <c r="K131" s="2261"/>
      <c r="L131" s="2262"/>
      <c r="M131" s="2261"/>
      <c r="N131" s="2261"/>
      <c r="O131" s="2262"/>
      <c r="P131" s="2261"/>
      <c r="Q131" s="2261"/>
      <c r="R131" s="2263"/>
    </row>
    <row r="132" spans="2:18" s="2256" customFormat="1">
      <c r="B132" s="2261"/>
      <c r="C132" s="2261"/>
      <c r="D132" s="2261"/>
      <c r="E132" s="2261"/>
      <c r="F132" s="2261"/>
      <c r="G132" s="2262"/>
      <c r="H132" s="2261"/>
      <c r="I132" s="2262"/>
      <c r="J132" s="2261"/>
      <c r="K132" s="2261"/>
      <c r="L132" s="2262"/>
      <c r="M132" s="2261"/>
      <c r="N132" s="2261"/>
      <c r="O132" s="2262"/>
      <c r="P132" s="2261"/>
      <c r="Q132" s="2261"/>
      <c r="R132" s="2263"/>
    </row>
    <row r="133" spans="2:18" s="2256" customFormat="1">
      <c r="B133" s="2261"/>
      <c r="C133" s="2261"/>
      <c r="D133" s="2261"/>
      <c r="E133" s="2261"/>
      <c r="F133" s="2261"/>
      <c r="G133" s="2262"/>
      <c r="H133" s="2261"/>
      <c r="I133" s="2262"/>
      <c r="J133" s="2261"/>
      <c r="K133" s="2261"/>
      <c r="L133" s="2262"/>
      <c r="M133" s="2261"/>
      <c r="N133" s="2261"/>
      <c r="O133" s="2262"/>
      <c r="P133" s="2261"/>
      <c r="Q133" s="2261"/>
      <c r="R133" s="2263"/>
    </row>
    <row r="134" spans="2:18" s="2256" customFormat="1">
      <c r="B134" s="2261"/>
      <c r="C134" s="2261"/>
      <c r="D134" s="2261"/>
      <c r="E134" s="2261"/>
      <c r="F134" s="2261"/>
      <c r="G134" s="2262"/>
      <c r="H134" s="2261"/>
      <c r="I134" s="2262"/>
      <c r="J134" s="2261"/>
      <c r="K134" s="2261"/>
      <c r="L134" s="2262"/>
      <c r="M134" s="2261"/>
      <c r="N134" s="2261"/>
      <c r="O134" s="2262"/>
      <c r="P134" s="2261"/>
      <c r="Q134" s="2261"/>
      <c r="R134" s="2263"/>
    </row>
    <row r="135" spans="2:18" s="2256" customFormat="1">
      <c r="B135" s="2261"/>
      <c r="C135" s="2261"/>
      <c r="D135" s="2261"/>
      <c r="E135" s="2261"/>
      <c r="F135" s="2261"/>
      <c r="G135" s="2262"/>
      <c r="H135" s="2261"/>
      <c r="I135" s="2262"/>
      <c r="J135" s="2261"/>
      <c r="K135" s="2261"/>
      <c r="L135" s="2262"/>
      <c r="M135" s="2261"/>
      <c r="N135" s="2261"/>
      <c r="O135" s="2262"/>
      <c r="P135" s="2261"/>
      <c r="Q135" s="2261"/>
      <c r="R135" s="2263"/>
    </row>
    <row r="136" spans="2:18" s="2256" customFormat="1">
      <c r="B136" s="2261"/>
      <c r="C136" s="2261"/>
      <c r="D136" s="2261"/>
      <c r="E136" s="2261"/>
      <c r="F136" s="2261"/>
      <c r="G136" s="2262"/>
      <c r="H136" s="2261"/>
      <c r="I136" s="2262"/>
      <c r="J136" s="2261"/>
      <c r="K136" s="2261"/>
      <c r="L136" s="2262"/>
      <c r="M136" s="2261"/>
      <c r="N136" s="2261"/>
      <c r="O136" s="2262"/>
      <c r="P136" s="2261"/>
      <c r="Q136" s="2261"/>
      <c r="R136" s="2263"/>
    </row>
    <row r="137" spans="2:18" s="2256" customFormat="1">
      <c r="B137" s="2261"/>
      <c r="C137" s="2261"/>
      <c r="D137" s="2261"/>
      <c r="E137" s="2261"/>
      <c r="F137" s="2261"/>
      <c r="G137" s="2262"/>
      <c r="H137" s="2261"/>
      <c r="I137" s="2262"/>
      <c r="J137" s="2261"/>
      <c r="K137" s="2261"/>
      <c r="L137" s="2262"/>
      <c r="M137" s="2261"/>
      <c r="N137" s="2261"/>
      <c r="O137" s="2262"/>
      <c r="P137" s="2261"/>
      <c r="Q137" s="2261"/>
      <c r="R137" s="2263"/>
    </row>
    <row r="138" spans="2:18" s="2256" customFormat="1">
      <c r="B138" s="2261"/>
      <c r="C138" s="2261"/>
      <c r="D138" s="2261"/>
      <c r="E138" s="2261"/>
      <c r="F138" s="2261"/>
      <c r="G138" s="2262"/>
      <c r="H138" s="2261"/>
      <c r="I138" s="2262"/>
      <c r="J138" s="2261"/>
      <c r="K138" s="2261"/>
      <c r="L138" s="2262"/>
      <c r="M138" s="2261"/>
      <c r="N138" s="2261"/>
      <c r="O138" s="2262"/>
      <c r="P138" s="2261"/>
      <c r="Q138" s="2261"/>
      <c r="R138" s="2263"/>
    </row>
    <row r="139" spans="2:18" s="2256" customFormat="1">
      <c r="B139" s="2261"/>
      <c r="C139" s="2261"/>
      <c r="D139" s="2261"/>
      <c r="E139" s="2261"/>
      <c r="F139" s="2261"/>
      <c r="G139" s="2262"/>
      <c r="H139" s="2261"/>
      <c r="I139" s="2262"/>
      <c r="J139" s="2261"/>
      <c r="K139" s="2261"/>
      <c r="L139" s="2262"/>
      <c r="M139" s="2261"/>
      <c r="N139" s="2261"/>
      <c r="O139" s="2262"/>
      <c r="P139" s="2261"/>
      <c r="Q139" s="2261"/>
      <c r="R139" s="2263"/>
    </row>
    <row r="140" spans="2:18" s="2256" customFormat="1">
      <c r="B140" s="2261"/>
      <c r="C140" s="2261"/>
      <c r="D140" s="2261"/>
      <c r="E140" s="2261"/>
      <c r="F140" s="2261"/>
      <c r="G140" s="2262"/>
      <c r="H140" s="2261"/>
      <c r="I140" s="2262"/>
      <c r="J140" s="2261"/>
      <c r="K140" s="2261"/>
      <c r="L140" s="2262"/>
      <c r="M140" s="2261"/>
      <c r="N140" s="2261"/>
      <c r="O140" s="2262"/>
      <c r="P140" s="2261"/>
      <c r="Q140" s="2261"/>
      <c r="R140" s="2263"/>
    </row>
    <row r="141" spans="2:18" s="2256" customFormat="1">
      <c r="B141" s="2261"/>
      <c r="C141" s="2261"/>
      <c r="D141" s="2261"/>
      <c r="E141" s="2261"/>
      <c r="F141" s="2261"/>
      <c r="G141" s="2262"/>
      <c r="H141" s="2261"/>
      <c r="I141" s="2262"/>
      <c r="J141" s="2261"/>
      <c r="K141" s="2261"/>
      <c r="L141" s="2262"/>
      <c r="M141" s="2261"/>
      <c r="N141" s="2261"/>
      <c r="O141" s="2262"/>
      <c r="P141" s="2261"/>
      <c r="Q141" s="2261"/>
      <c r="R141" s="2263"/>
    </row>
    <row r="142" spans="2:18" s="2256" customFormat="1">
      <c r="B142" s="2261"/>
      <c r="C142" s="2261"/>
      <c r="D142" s="2261"/>
      <c r="E142" s="2261"/>
      <c r="F142" s="2261"/>
      <c r="G142" s="2262"/>
      <c r="H142" s="2261"/>
      <c r="I142" s="2262"/>
      <c r="J142" s="2261"/>
      <c r="K142" s="2261"/>
      <c r="L142" s="2262"/>
      <c r="M142" s="2261"/>
      <c r="N142" s="2261"/>
      <c r="O142" s="2262"/>
      <c r="P142" s="2261"/>
      <c r="Q142" s="2261"/>
      <c r="R142" s="2263"/>
    </row>
    <row r="143" spans="2:18" s="2256" customFormat="1">
      <c r="B143" s="2261"/>
      <c r="C143" s="2261"/>
      <c r="D143" s="2261"/>
      <c r="E143" s="2261"/>
      <c r="F143" s="2261"/>
      <c r="G143" s="2262"/>
      <c r="H143" s="2261"/>
      <c r="I143" s="2262"/>
      <c r="J143" s="2261"/>
      <c r="K143" s="2261"/>
      <c r="L143" s="2262"/>
      <c r="M143" s="2261"/>
      <c r="N143" s="2261"/>
      <c r="O143" s="2262"/>
      <c r="P143" s="2261"/>
      <c r="Q143" s="2261"/>
      <c r="R143" s="2263"/>
    </row>
    <row r="144" spans="2:18" s="2256" customFormat="1">
      <c r="B144" s="2261"/>
      <c r="C144" s="2261"/>
      <c r="D144" s="2261"/>
      <c r="E144" s="2261"/>
      <c r="F144" s="2261"/>
      <c r="G144" s="2262"/>
      <c r="H144" s="2261"/>
      <c r="I144" s="2262"/>
      <c r="J144" s="2261"/>
      <c r="K144" s="2261"/>
      <c r="L144" s="2262"/>
      <c r="M144" s="2261"/>
      <c r="N144" s="2261"/>
      <c r="O144" s="2262"/>
      <c r="P144" s="2261"/>
      <c r="Q144" s="2261"/>
      <c r="R144" s="2263"/>
    </row>
    <row r="145" spans="2:18" s="2256" customFormat="1">
      <c r="B145" s="2261"/>
      <c r="C145" s="2261"/>
      <c r="D145" s="2261"/>
      <c r="E145" s="2261"/>
      <c r="F145" s="2261"/>
      <c r="G145" s="2262"/>
      <c r="H145" s="2261"/>
      <c r="I145" s="2262"/>
      <c r="J145" s="2261"/>
      <c r="K145" s="2261"/>
      <c r="L145" s="2262"/>
      <c r="M145" s="2261"/>
      <c r="N145" s="2261"/>
      <c r="O145" s="2262"/>
      <c r="P145" s="2261"/>
      <c r="Q145" s="2261"/>
      <c r="R145" s="2263"/>
    </row>
    <row r="146" spans="2:18" s="2256" customFormat="1">
      <c r="B146" s="2261"/>
      <c r="C146" s="2261"/>
      <c r="D146" s="2261"/>
      <c r="E146" s="2261"/>
      <c r="F146" s="2261"/>
      <c r="G146" s="2262"/>
      <c r="H146" s="2261"/>
      <c r="I146" s="2262"/>
      <c r="J146" s="2261"/>
      <c r="K146" s="2261"/>
      <c r="L146" s="2262"/>
      <c r="M146" s="2261"/>
      <c r="N146" s="2261"/>
      <c r="O146" s="2262"/>
      <c r="P146" s="2261"/>
      <c r="Q146" s="2261"/>
      <c r="R146" s="2263"/>
    </row>
    <row r="147" spans="2:18" s="2256" customFormat="1">
      <c r="B147" s="2261"/>
      <c r="C147" s="2261"/>
      <c r="D147" s="2261"/>
      <c r="E147" s="2261"/>
      <c r="F147" s="2261"/>
      <c r="G147" s="2262"/>
      <c r="H147" s="2261"/>
      <c r="I147" s="2262"/>
      <c r="J147" s="2261"/>
      <c r="K147" s="2261"/>
      <c r="L147" s="2262"/>
      <c r="M147" s="2261"/>
      <c r="N147" s="2261"/>
      <c r="O147" s="2262"/>
      <c r="P147" s="2261"/>
      <c r="Q147" s="2261"/>
      <c r="R147" s="2263"/>
    </row>
    <row r="148" spans="2:18" s="2256" customFormat="1">
      <c r="B148" s="2261"/>
      <c r="C148" s="2261"/>
      <c r="D148" s="2261"/>
      <c r="E148" s="2261"/>
      <c r="F148" s="2261"/>
      <c r="G148" s="2262"/>
      <c r="H148" s="2261"/>
      <c r="I148" s="2262"/>
      <c r="J148" s="2261"/>
      <c r="K148" s="2261"/>
      <c r="L148" s="2262"/>
      <c r="M148" s="2261"/>
      <c r="N148" s="2261"/>
      <c r="O148" s="2262"/>
      <c r="P148" s="2261"/>
      <c r="Q148" s="2261"/>
      <c r="R148" s="2263"/>
    </row>
    <row r="149" spans="2:18" s="2256" customFormat="1">
      <c r="B149" s="2261"/>
      <c r="C149" s="2261"/>
      <c r="D149" s="2261"/>
      <c r="E149" s="2261"/>
      <c r="F149" s="2261"/>
      <c r="G149" s="2262"/>
      <c r="H149" s="2261"/>
      <c r="I149" s="2262"/>
      <c r="J149" s="2261"/>
      <c r="K149" s="2261"/>
      <c r="L149" s="2262"/>
      <c r="M149" s="2261"/>
      <c r="N149" s="2261"/>
      <c r="O149" s="2262"/>
      <c r="P149" s="2261"/>
      <c r="Q149" s="2261"/>
      <c r="R149" s="2263"/>
    </row>
    <row r="150" spans="2:18" s="2256" customFormat="1">
      <c r="B150" s="2261"/>
      <c r="C150" s="2261"/>
      <c r="D150" s="2261"/>
      <c r="E150" s="2261"/>
      <c r="F150" s="2261"/>
      <c r="G150" s="2262"/>
      <c r="H150" s="2261"/>
      <c r="I150" s="2262"/>
      <c r="J150" s="2261"/>
      <c r="K150" s="2261"/>
      <c r="L150" s="2262"/>
      <c r="M150" s="2261"/>
      <c r="N150" s="2261"/>
      <c r="O150" s="2262"/>
      <c r="P150" s="2261"/>
      <c r="Q150" s="2261"/>
      <c r="R150" s="2263"/>
    </row>
    <row r="151" spans="2:18" s="2256" customFormat="1">
      <c r="B151" s="2261"/>
      <c r="C151" s="2261"/>
      <c r="D151" s="2261"/>
      <c r="E151" s="2261"/>
      <c r="F151" s="2261"/>
      <c r="G151" s="2262"/>
      <c r="H151" s="2261"/>
      <c r="I151" s="2262"/>
      <c r="J151" s="2261"/>
      <c r="K151" s="2261"/>
      <c r="L151" s="2262"/>
      <c r="M151" s="2261"/>
      <c r="N151" s="2261"/>
      <c r="O151" s="2262"/>
      <c r="P151" s="2261"/>
      <c r="Q151" s="2261"/>
      <c r="R151" s="2263"/>
    </row>
    <row r="152" spans="2:18" s="2256" customFormat="1">
      <c r="B152" s="2261"/>
      <c r="C152" s="2261"/>
      <c r="D152" s="2261"/>
      <c r="E152" s="2261"/>
      <c r="F152" s="2261"/>
      <c r="G152" s="2262"/>
      <c r="H152" s="2261"/>
      <c r="I152" s="2262"/>
      <c r="J152" s="2261"/>
      <c r="K152" s="2261"/>
      <c r="L152" s="2262"/>
      <c r="M152" s="2261"/>
      <c r="N152" s="2261"/>
      <c r="O152" s="2262"/>
      <c r="P152" s="2261"/>
      <c r="Q152" s="2261"/>
      <c r="R152" s="2263"/>
    </row>
    <row r="153" spans="2:18" s="2256" customFormat="1">
      <c r="B153" s="2261"/>
      <c r="C153" s="2261"/>
      <c r="D153" s="2261"/>
      <c r="E153" s="2261"/>
      <c r="F153" s="2261"/>
      <c r="G153" s="2262"/>
      <c r="H153" s="2261"/>
      <c r="I153" s="2262"/>
      <c r="J153" s="2261"/>
      <c r="K153" s="2261"/>
      <c r="L153" s="2262"/>
      <c r="M153" s="2261"/>
      <c r="N153" s="2261"/>
      <c r="O153" s="2262"/>
      <c r="P153" s="2261"/>
      <c r="Q153" s="2261"/>
      <c r="R153" s="2263"/>
    </row>
    <row r="154" spans="2:18" s="2256" customFormat="1">
      <c r="B154" s="2261"/>
      <c r="C154" s="2261"/>
      <c r="D154" s="2261"/>
      <c r="E154" s="2261"/>
      <c r="F154" s="2261"/>
      <c r="G154" s="2262"/>
      <c r="H154" s="2261"/>
      <c r="I154" s="2262"/>
      <c r="J154" s="2261"/>
      <c r="K154" s="2261"/>
      <c r="L154" s="2262"/>
      <c r="M154" s="2261"/>
      <c r="N154" s="2261"/>
      <c r="O154" s="2262"/>
      <c r="P154" s="2261"/>
      <c r="Q154" s="2261"/>
      <c r="R154" s="2263"/>
    </row>
    <row r="155" spans="2:18" s="2256" customFormat="1">
      <c r="B155" s="2261"/>
      <c r="C155" s="2261"/>
      <c r="D155" s="2261"/>
      <c r="E155" s="2261"/>
      <c r="F155" s="2261"/>
      <c r="G155" s="2262"/>
      <c r="H155" s="2261"/>
      <c r="I155" s="2262"/>
      <c r="J155" s="2261"/>
      <c r="K155" s="2261"/>
      <c r="L155" s="2262"/>
      <c r="M155" s="2261"/>
      <c r="N155" s="2261"/>
      <c r="O155" s="2262"/>
      <c r="P155" s="2261"/>
      <c r="Q155" s="2261"/>
      <c r="R155" s="2263"/>
    </row>
    <row r="156" spans="2:18" s="2256" customFormat="1">
      <c r="B156" s="2261"/>
      <c r="C156" s="2261"/>
      <c r="D156" s="2261"/>
      <c r="E156" s="2261"/>
      <c r="F156" s="2261"/>
      <c r="G156" s="2262"/>
      <c r="H156" s="2261"/>
      <c r="I156" s="2262"/>
      <c r="J156" s="2261"/>
      <c r="K156" s="2261"/>
      <c r="L156" s="2262"/>
      <c r="M156" s="2261"/>
      <c r="N156" s="2261"/>
      <c r="O156" s="2262"/>
      <c r="P156" s="2261"/>
      <c r="Q156" s="2261"/>
      <c r="R156" s="2263"/>
    </row>
    <row r="157" spans="2:18" s="2256" customFormat="1">
      <c r="B157" s="2261"/>
      <c r="C157" s="2261"/>
      <c r="D157" s="2261"/>
      <c r="E157" s="2261"/>
      <c r="F157" s="2261"/>
      <c r="G157" s="2262"/>
      <c r="H157" s="2261"/>
      <c r="I157" s="2262"/>
      <c r="J157" s="2261"/>
      <c r="K157" s="2261"/>
      <c r="L157" s="2262"/>
      <c r="M157" s="2261"/>
      <c r="N157" s="2261"/>
      <c r="O157" s="2262"/>
      <c r="P157" s="2261"/>
      <c r="Q157" s="2261"/>
      <c r="R157" s="2263"/>
    </row>
    <row r="158" spans="2:18" s="2256" customFormat="1">
      <c r="B158" s="2261"/>
      <c r="C158" s="2261"/>
      <c r="D158" s="2261"/>
      <c r="E158" s="2261"/>
      <c r="F158" s="2261"/>
      <c r="G158" s="2262"/>
      <c r="H158" s="2261"/>
      <c r="I158" s="2262"/>
      <c r="J158" s="2261"/>
      <c r="K158" s="2261"/>
      <c r="L158" s="2262"/>
      <c r="M158" s="2261"/>
      <c r="N158" s="2261"/>
      <c r="O158" s="2262"/>
      <c r="P158" s="2261"/>
      <c r="Q158" s="2261"/>
      <c r="R158" s="2263"/>
    </row>
    <row r="159" spans="2:18" s="2256" customFormat="1">
      <c r="B159" s="2261"/>
      <c r="C159" s="2261"/>
      <c r="D159" s="2261"/>
      <c r="E159" s="2261"/>
      <c r="F159" s="2261"/>
      <c r="G159" s="2262"/>
      <c r="H159" s="2261"/>
      <c r="I159" s="2262"/>
      <c r="J159" s="2261"/>
      <c r="K159" s="2261"/>
      <c r="L159" s="2262"/>
      <c r="M159" s="2261"/>
      <c r="N159" s="2261"/>
      <c r="O159" s="2262"/>
      <c r="P159" s="2261"/>
      <c r="Q159" s="2261"/>
      <c r="R159" s="2263"/>
    </row>
    <row r="160" spans="2:18" s="2256" customFormat="1">
      <c r="B160" s="2261"/>
      <c r="C160" s="2261"/>
      <c r="D160" s="2261"/>
      <c r="E160" s="2261"/>
      <c r="F160" s="2261"/>
      <c r="G160" s="2262"/>
      <c r="H160" s="2261"/>
      <c r="I160" s="2262"/>
      <c r="J160" s="2261"/>
      <c r="K160" s="2261"/>
      <c r="L160" s="2262"/>
      <c r="M160" s="2261"/>
      <c r="N160" s="2261"/>
      <c r="O160" s="2262"/>
      <c r="P160" s="2261"/>
      <c r="Q160" s="2261"/>
      <c r="R160" s="2263"/>
    </row>
    <row r="161" spans="2:18" s="2256" customFormat="1">
      <c r="B161" s="2261"/>
      <c r="C161" s="2261"/>
      <c r="D161" s="2261"/>
      <c r="E161" s="2261"/>
      <c r="F161" s="2261"/>
      <c r="G161" s="2262"/>
      <c r="H161" s="2261"/>
      <c r="I161" s="2262"/>
      <c r="J161" s="2261"/>
      <c r="K161" s="2261"/>
      <c r="L161" s="2262"/>
      <c r="M161" s="2261"/>
      <c r="N161" s="2261"/>
      <c r="O161" s="2262"/>
      <c r="P161" s="2261"/>
      <c r="Q161" s="2261"/>
      <c r="R161" s="2263"/>
    </row>
    <row r="162" spans="2:18" s="2256" customFormat="1">
      <c r="B162" s="2261"/>
      <c r="C162" s="2261"/>
      <c r="D162" s="2261"/>
      <c r="E162" s="2261"/>
      <c r="F162" s="2261"/>
      <c r="G162" s="2262"/>
      <c r="H162" s="2261"/>
      <c r="I162" s="2262"/>
      <c r="J162" s="2261"/>
      <c r="K162" s="2261"/>
      <c r="L162" s="2262"/>
      <c r="M162" s="2261"/>
      <c r="N162" s="2261"/>
      <c r="O162" s="2262"/>
      <c r="P162" s="2261"/>
      <c r="Q162" s="2261"/>
      <c r="R162" s="2263"/>
    </row>
    <row r="163" spans="2:18" s="2256" customFormat="1">
      <c r="B163" s="2261"/>
      <c r="C163" s="2261"/>
      <c r="D163" s="2261"/>
      <c r="E163" s="2261"/>
      <c r="F163" s="2261"/>
      <c r="G163" s="2262"/>
      <c r="H163" s="2261"/>
      <c r="I163" s="2262"/>
      <c r="J163" s="2261"/>
      <c r="K163" s="2261"/>
      <c r="L163" s="2262"/>
      <c r="M163" s="2261"/>
      <c r="N163" s="2261"/>
      <c r="O163" s="2262"/>
      <c r="P163" s="2261"/>
      <c r="Q163" s="2261"/>
      <c r="R163" s="2263"/>
    </row>
    <row r="164" spans="2:18" s="2256" customFormat="1">
      <c r="B164" s="2261"/>
      <c r="C164" s="2261"/>
      <c r="D164" s="2261"/>
      <c r="E164" s="2261"/>
      <c r="F164" s="2261"/>
      <c r="G164" s="2262"/>
      <c r="H164" s="2261"/>
      <c r="I164" s="2262"/>
      <c r="J164" s="2261"/>
      <c r="K164" s="2261"/>
      <c r="L164" s="2262"/>
      <c r="M164" s="2261"/>
      <c r="N164" s="2261"/>
      <c r="O164" s="2262"/>
      <c r="P164" s="2261"/>
      <c r="Q164" s="2261"/>
      <c r="R164" s="2263"/>
    </row>
    <row r="165" spans="2:18" s="2256" customFormat="1">
      <c r="B165" s="2261"/>
      <c r="C165" s="2261"/>
      <c r="D165" s="2261"/>
      <c r="E165" s="2261"/>
      <c r="F165" s="2261"/>
      <c r="G165" s="2262"/>
      <c r="H165" s="2261"/>
      <c r="I165" s="2262"/>
      <c r="J165" s="2261"/>
      <c r="K165" s="2261"/>
      <c r="L165" s="2262"/>
      <c r="M165" s="2261"/>
      <c r="N165" s="2261"/>
      <c r="O165" s="2262"/>
      <c r="P165" s="2261"/>
      <c r="Q165" s="2261"/>
      <c r="R165" s="2263"/>
    </row>
    <row r="166" spans="2:18" s="2256" customFormat="1">
      <c r="B166" s="2261"/>
      <c r="C166" s="2261"/>
      <c r="D166" s="2261"/>
      <c r="E166" s="2261"/>
      <c r="F166" s="2261"/>
      <c r="G166" s="2262"/>
      <c r="H166" s="2261"/>
      <c r="I166" s="2262"/>
      <c r="J166" s="2261"/>
      <c r="K166" s="2261"/>
      <c r="L166" s="2262"/>
      <c r="M166" s="2261"/>
      <c r="N166" s="2261"/>
      <c r="O166" s="2262"/>
      <c r="P166" s="2261"/>
      <c r="Q166" s="2261"/>
      <c r="R166" s="2263"/>
    </row>
    <row r="167" spans="2:18" s="2256" customFormat="1">
      <c r="B167" s="2261"/>
      <c r="C167" s="2261"/>
      <c r="D167" s="2261"/>
      <c r="E167" s="2261"/>
      <c r="F167" s="2261"/>
      <c r="G167" s="2262"/>
      <c r="H167" s="2261"/>
      <c r="I167" s="2262"/>
      <c r="J167" s="2261"/>
      <c r="K167" s="2261"/>
      <c r="L167" s="2262"/>
      <c r="M167" s="2261"/>
      <c r="N167" s="2261"/>
      <c r="O167" s="2262"/>
      <c r="P167" s="2261"/>
      <c r="Q167" s="2261"/>
      <c r="R167" s="2263"/>
    </row>
    <row r="168" spans="2:18" s="2256" customFormat="1">
      <c r="B168" s="2261"/>
      <c r="C168" s="2261"/>
      <c r="D168" s="2261"/>
      <c r="E168" s="2261"/>
      <c r="F168" s="2261"/>
      <c r="G168" s="2262"/>
      <c r="H168" s="2261"/>
      <c r="I168" s="2262"/>
      <c r="J168" s="2261"/>
      <c r="K168" s="2261"/>
      <c r="L168" s="2262"/>
      <c r="M168" s="2261"/>
      <c r="N168" s="2261"/>
      <c r="O168" s="2262"/>
      <c r="P168" s="2261"/>
      <c r="Q168" s="2261"/>
      <c r="R168" s="2263"/>
    </row>
    <row r="169" spans="2:18" s="2256" customFormat="1">
      <c r="B169" s="2261"/>
      <c r="C169" s="2261"/>
      <c r="D169" s="2261"/>
      <c r="E169" s="2261"/>
      <c r="F169" s="2261"/>
      <c r="G169" s="2262"/>
      <c r="H169" s="2261"/>
      <c r="I169" s="2262"/>
      <c r="J169" s="2261"/>
      <c r="K169" s="2261"/>
      <c r="L169" s="2262"/>
      <c r="M169" s="2261"/>
      <c r="N169" s="2261"/>
      <c r="O169" s="2262"/>
      <c r="P169" s="2261"/>
      <c r="Q169" s="2261"/>
      <c r="R169" s="2263"/>
    </row>
    <row r="170" spans="2:18" s="2256" customFormat="1">
      <c r="B170" s="2261"/>
      <c r="C170" s="2261"/>
      <c r="D170" s="2261"/>
      <c r="E170" s="2261"/>
      <c r="F170" s="2261"/>
      <c r="G170" s="2262"/>
      <c r="H170" s="2261"/>
      <c r="I170" s="2262"/>
      <c r="J170" s="2261"/>
      <c r="K170" s="2261"/>
      <c r="L170" s="2262"/>
      <c r="M170" s="2261"/>
      <c r="N170" s="2261"/>
      <c r="O170" s="2262"/>
      <c r="P170" s="2261"/>
      <c r="Q170" s="2261"/>
      <c r="R170" s="2263"/>
    </row>
    <row r="171" spans="2:18" s="2256" customFormat="1">
      <c r="B171" s="2261"/>
      <c r="C171" s="2261"/>
      <c r="D171" s="2261"/>
      <c r="E171" s="2261"/>
      <c r="F171" s="2261"/>
      <c r="G171" s="2262"/>
      <c r="H171" s="2261"/>
      <c r="I171" s="2262"/>
      <c r="J171" s="2261"/>
      <c r="K171" s="2261"/>
      <c r="L171" s="2262"/>
      <c r="M171" s="2261"/>
      <c r="N171" s="2261"/>
      <c r="O171" s="2262"/>
      <c r="P171" s="2261"/>
      <c r="Q171" s="2261"/>
      <c r="R171" s="2263"/>
    </row>
    <row r="172" spans="2:18" s="2256" customFormat="1">
      <c r="B172" s="2261"/>
      <c r="C172" s="2261"/>
      <c r="D172" s="2261"/>
      <c r="E172" s="2261"/>
      <c r="F172" s="2261"/>
      <c r="G172" s="2262"/>
      <c r="H172" s="2261"/>
      <c r="I172" s="2262"/>
      <c r="J172" s="2261"/>
      <c r="K172" s="2261"/>
      <c r="L172" s="2262"/>
      <c r="M172" s="2261"/>
      <c r="N172" s="2261"/>
      <c r="O172" s="2262"/>
      <c r="P172" s="2261"/>
      <c r="Q172" s="2261"/>
      <c r="R172" s="2263"/>
    </row>
    <row r="173" spans="2:18" s="2256" customFormat="1">
      <c r="B173" s="2261"/>
      <c r="C173" s="2261"/>
      <c r="D173" s="2261"/>
      <c r="E173" s="2261"/>
      <c r="F173" s="2261"/>
      <c r="G173" s="2262"/>
      <c r="H173" s="2261"/>
      <c r="I173" s="2262"/>
      <c r="J173" s="2261"/>
      <c r="K173" s="2261"/>
      <c r="L173" s="2262"/>
      <c r="M173" s="2261"/>
      <c r="N173" s="2261"/>
      <c r="O173" s="2262"/>
      <c r="P173" s="2261"/>
      <c r="Q173" s="2261"/>
      <c r="R173" s="2263"/>
    </row>
    <row r="174" spans="2:18" s="2256" customFormat="1">
      <c r="B174" s="2261"/>
      <c r="C174" s="2261"/>
      <c r="D174" s="2261"/>
      <c r="E174" s="2261"/>
      <c r="F174" s="2261"/>
      <c r="G174" s="2262"/>
      <c r="H174" s="2261"/>
      <c r="I174" s="2262"/>
      <c r="J174" s="2261"/>
      <c r="K174" s="2261"/>
      <c r="L174" s="2262"/>
      <c r="M174" s="2261"/>
      <c r="N174" s="2261"/>
      <c r="O174" s="2262"/>
      <c r="P174" s="2261"/>
      <c r="Q174" s="2261"/>
      <c r="R174" s="2263"/>
    </row>
    <row r="175" spans="2:18" s="2256" customFormat="1">
      <c r="B175" s="2261"/>
      <c r="C175" s="2261"/>
      <c r="D175" s="2261"/>
      <c r="E175" s="2261"/>
      <c r="F175" s="2261"/>
      <c r="G175" s="2262"/>
      <c r="H175" s="2261"/>
      <c r="I175" s="2262"/>
      <c r="J175" s="2261"/>
      <c r="K175" s="2261"/>
      <c r="L175" s="2262"/>
      <c r="M175" s="2261"/>
      <c r="N175" s="2261"/>
      <c r="O175" s="2262"/>
      <c r="P175" s="2261"/>
      <c r="Q175" s="2261"/>
      <c r="R175" s="2263"/>
    </row>
    <row r="176" spans="2:18" s="2256" customFormat="1">
      <c r="B176" s="2261"/>
      <c r="C176" s="2261"/>
      <c r="D176" s="2261"/>
      <c r="E176" s="2261"/>
      <c r="F176" s="2261"/>
      <c r="G176" s="2262"/>
      <c r="H176" s="2261"/>
      <c r="I176" s="2262"/>
      <c r="J176" s="2261"/>
      <c r="K176" s="2261"/>
      <c r="L176" s="2262"/>
      <c r="M176" s="2261"/>
      <c r="N176" s="2261"/>
      <c r="O176" s="2262"/>
      <c r="P176" s="2261"/>
      <c r="Q176" s="2261"/>
      <c r="R176" s="2263"/>
    </row>
    <row r="177" spans="1:18" s="2256" customFormat="1">
      <c r="B177" s="2261"/>
      <c r="C177" s="2261"/>
      <c r="D177" s="2261"/>
      <c r="E177" s="2261"/>
      <c r="F177" s="2261"/>
      <c r="G177" s="2262"/>
      <c r="H177" s="2261"/>
      <c r="I177" s="2262"/>
      <c r="J177" s="2261"/>
      <c r="K177" s="2261"/>
      <c r="L177" s="2262"/>
      <c r="M177" s="2261"/>
      <c r="N177" s="2261"/>
      <c r="O177" s="2262"/>
      <c r="P177" s="2261"/>
      <c r="Q177" s="2261"/>
      <c r="R177" s="2263"/>
    </row>
    <row r="178" spans="1:18" s="2256" customFormat="1">
      <c r="B178" s="2261"/>
      <c r="C178" s="2261"/>
      <c r="D178" s="2261"/>
      <c r="E178" s="2261"/>
      <c r="F178" s="2261"/>
      <c r="G178" s="2262"/>
      <c r="H178" s="2261"/>
      <c r="I178" s="2262"/>
      <c r="J178" s="2261"/>
      <c r="K178" s="2261"/>
      <c r="L178" s="2262"/>
      <c r="M178" s="2261"/>
      <c r="N178" s="2261"/>
      <c r="O178" s="2262"/>
      <c r="P178" s="2261"/>
      <c r="Q178" s="2261"/>
      <c r="R178" s="2263"/>
    </row>
    <row r="179" spans="1:18" s="2256" customFormat="1">
      <c r="B179" s="2261"/>
      <c r="C179" s="2261"/>
      <c r="D179" s="2261"/>
      <c r="E179" s="2261"/>
      <c r="F179" s="2261"/>
      <c r="G179" s="2262"/>
      <c r="H179" s="2261"/>
      <c r="I179" s="2262"/>
      <c r="J179" s="2261"/>
      <c r="K179" s="2261"/>
      <c r="L179" s="2262"/>
      <c r="M179" s="2261"/>
      <c r="N179" s="2261"/>
      <c r="O179" s="2262"/>
      <c r="P179" s="2261"/>
      <c r="Q179" s="2261"/>
      <c r="R179" s="2263"/>
    </row>
    <row r="180" spans="1:18" s="2256" customFormat="1">
      <c r="B180" s="2261"/>
      <c r="C180" s="2261"/>
      <c r="D180" s="2261"/>
      <c r="E180" s="2261"/>
      <c r="F180" s="2261"/>
      <c r="G180" s="2262"/>
      <c r="H180" s="2261"/>
      <c r="I180" s="2262"/>
      <c r="J180" s="2261"/>
      <c r="K180" s="2261"/>
      <c r="L180" s="2262"/>
      <c r="M180" s="2261"/>
      <c r="N180" s="2261"/>
      <c r="O180" s="2262"/>
      <c r="P180" s="2261"/>
      <c r="Q180" s="2261"/>
      <c r="R180" s="2263"/>
    </row>
    <row r="181" spans="1:18" s="2256" customFormat="1">
      <c r="B181" s="2261"/>
      <c r="C181" s="2261"/>
      <c r="D181" s="2261"/>
      <c r="E181" s="2261"/>
      <c r="F181" s="2261"/>
      <c r="G181" s="2262"/>
      <c r="H181" s="2261"/>
      <c r="I181" s="2262"/>
      <c r="J181" s="2261"/>
      <c r="K181" s="2261"/>
      <c r="L181" s="2262"/>
      <c r="M181" s="2261"/>
      <c r="N181" s="2261"/>
      <c r="O181" s="2262"/>
      <c r="P181" s="2261"/>
      <c r="Q181" s="2261"/>
      <c r="R181" s="2263"/>
    </row>
    <row r="182" spans="1:18" s="2256" customFormat="1">
      <c r="B182" s="2261"/>
      <c r="C182" s="2261"/>
      <c r="D182" s="2261"/>
      <c r="E182" s="2261"/>
      <c r="F182" s="2261"/>
      <c r="G182" s="2262"/>
      <c r="H182" s="2261"/>
      <c r="I182" s="2262"/>
      <c r="J182" s="2261"/>
      <c r="K182" s="2261"/>
      <c r="L182" s="2262"/>
      <c r="M182" s="2261"/>
      <c r="N182" s="2261"/>
      <c r="O182" s="2262"/>
      <c r="P182" s="2261"/>
      <c r="Q182" s="2261"/>
      <c r="R182" s="2263"/>
    </row>
    <row r="183" spans="1:18" s="2256" customFormat="1">
      <c r="B183" s="2261"/>
      <c r="C183" s="2261"/>
      <c r="D183" s="2261"/>
      <c r="E183" s="2261"/>
      <c r="F183" s="2261"/>
      <c r="G183" s="2262"/>
      <c r="H183" s="2261"/>
      <c r="I183" s="2262"/>
      <c r="J183" s="2261"/>
      <c r="K183" s="2261"/>
      <c r="L183" s="2262"/>
      <c r="M183" s="2261"/>
      <c r="N183" s="2261"/>
      <c r="O183" s="2262"/>
      <c r="P183" s="2261"/>
      <c r="Q183" s="2261"/>
      <c r="R183" s="2263"/>
    </row>
    <row r="184" spans="1:18" s="2256" customFormat="1">
      <c r="B184" s="2261"/>
      <c r="C184" s="2261"/>
      <c r="D184" s="2261"/>
      <c r="E184" s="2261"/>
      <c r="F184" s="2261"/>
      <c r="G184" s="2262"/>
      <c r="H184" s="2261"/>
      <c r="I184" s="2262"/>
      <c r="J184" s="2261"/>
      <c r="K184" s="2261"/>
      <c r="L184" s="2262"/>
      <c r="M184" s="2261"/>
      <c r="N184" s="2261"/>
      <c r="O184" s="2262"/>
      <c r="P184" s="2261"/>
      <c r="Q184" s="2261"/>
      <c r="R184" s="2263"/>
    </row>
    <row r="185" spans="1:18" s="2256"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56"/>
      <c r="B186" s="2261"/>
      <c r="C186" s="2261"/>
      <c r="E186" s="2261"/>
      <c r="F186" s="2261"/>
      <c r="G186" s="2262"/>
    </row>
    <row r="187" spans="1:18">
      <c r="A187" s="2256"/>
      <c r="B187" s="2261"/>
      <c r="C187" s="2261"/>
      <c r="E187" s="2261"/>
      <c r="F187" s="2261"/>
      <c r="G187" s="2262"/>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N34" sqref="N34"/>
    </sheetView>
  </sheetViews>
  <sheetFormatPr defaultColWidth="9" defaultRowHeight="13.5"/>
  <cols>
    <col min="1" max="1" width="23.375" style="2244" customWidth="1"/>
    <col min="2" max="9" width="15.75" style="2244" customWidth="1"/>
    <col min="10" max="16384" width="9" style="2244"/>
  </cols>
  <sheetData>
    <row r="1" spans="1:10" ht="16.5">
      <c r="A1" s="2245" t="s">
        <v>681</v>
      </c>
      <c r="B1" s="2245">
        <f>SUM(B14:B23)</f>
        <v>63025.2</v>
      </c>
      <c r="C1" s="2246"/>
      <c r="D1" s="2246"/>
      <c r="E1" s="2246"/>
      <c r="F1" s="2246"/>
      <c r="G1" s="2247"/>
    </row>
    <row r="2" spans="1:10" ht="16.5">
      <c r="A2" s="2245" t="s">
        <v>682</v>
      </c>
      <c r="B2" s="2245">
        <f>SUM(C14:C23)</f>
        <v>92973</v>
      </c>
      <c r="C2" s="2246"/>
      <c r="D2" s="2246"/>
      <c r="E2" s="2246"/>
      <c r="F2" s="2246"/>
      <c r="G2" s="2247"/>
    </row>
    <row r="3" spans="1:10" ht="16.5">
      <c r="A3" s="2245" t="s">
        <v>683</v>
      </c>
      <c r="B3" s="2248">
        <f>项目基本情况!D3</f>
        <v>44393</v>
      </c>
      <c r="C3" s="2246"/>
      <c r="D3" s="2246"/>
      <c r="E3" s="2246"/>
      <c r="F3" s="2246"/>
      <c r="G3" s="2247"/>
    </row>
    <row r="4" spans="1:10" ht="33">
      <c r="A4" s="2245" t="s">
        <v>684</v>
      </c>
      <c r="B4" s="2245" t="s">
        <v>685</v>
      </c>
      <c r="C4" s="2245" t="s">
        <v>686</v>
      </c>
      <c r="D4" s="2245" t="s">
        <v>687</v>
      </c>
      <c r="E4" s="2246"/>
      <c r="F4" s="2247"/>
      <c r="G4" s="2247"/>
    </row>
    <row r="5" spans="1:10" ht="16.5">
      <c r="A5" s="2245" t="s">
        <v>688</v>
      </c>
      <c r="B5" s="2245">
        <f ca="1">SUM(D14:D23)</f>
        <v>10040</v>
      </c>
      <c r="C5" s="2245">
        <f ca="1">ROUND(B5*10000/$B$1,0)</f>
        <v>1593</v>
      </c>
      <c r="D5" s="2245">
        <f ca="1">ROUND(B5*10000/$B$2,0)</f>
        <v>1080</v>
      </c>
      <c r="E5" s="2246"/>
      <c r="F5" s="2247"/>
      <c r="G5" s="2247"/>
    </row>
    <row r="6" spans="1:10" ht="16.5">
      <c r="A6" s="2245" t="s">
        <v>689</v>
      </c>
      <c r="B6" s="2245">
        <f ca="1">SUM(G14:G23)</f>
        <v>10040</v>
      </c>
      <c r="C6" s="2245">
        <f ca="1">ROUND(B6*10000/$B$1,0)</f>
        <v>1593</v>
      </c>
      <c r="D6" s="2245">
        <f ca="1">ROUND(B6*10000/$B$2,0)</f>
        <v>1080</v>
      </c>
      <c r="E6" s="2246"/>
      <c r="F6" s="2247"/>
      <c r="G6" s="2247"/>
    </row>
    <row r="7" spans="1:10" ht="16.5">
      <c r="A7" s="2245" t="s">
        <v>690</v>
      </c>
      <c r="B7" s="2245">
        <f>SUM(H14:H23)</f>
        <v>0</v>
      </c>
      <c r="C7" s="2245">
        <f>ROUND(B7*10000/$B$1,0)</f>
        <v>0</v>
      </c>
      <c r="D7" s="2245">
        <f>ROUND(B7*10000/$B$2,0)</f>
        <v>0</v>
      </c>
      <c r="E7" s="2246"/>
      <c r="F7" s="2247"/>
      <c r="G7" s="2247"/>
    </row>
    <row r="8" spans="1:10" ht="16.5">
      <c r="A8" s="2245" t="s">
        <v>329</v>
      </c>
      <c r="B8" s="2245">
        <f>SUM(I14:I23)</f>
        <v>0</v>
      </c>
      <c r="C8" s="2245">
        <f>ROUND(B8*10000/$B$1,0)</f>
        <v>0</v>
      </c>
      <c r="D8" s="2245">
        <f>ROUND(B8*10000/$B$2,0)</f>
        <v>0</v>
      </c>
      <c r="E8" s="2246"/>
      <c r="F8" s="2247"/>
      <c r="G8" s="2247"/>
    </row>
    <row r="9" spans="1:10" ht="16.5">
      <c r="A9" s="2245" t="s">
        <v>691</v>
      </c>
      <c r="B9" s="2249"/>
      <c r="C9" s="2246"/>
      <c r="D9" s="2246"/>
      <c r="E9" s="2246"/>
      <c r="F9" s="2247"/>
      <c r="G9" s="2247"/>
    </row>
    <row r="10" spans="1:10" ht="16.5">
      <c r="A10" s="2245" t="s">
        <v>692</v>
      </c>
      <c r="B10" s="2249"/>
      <c r="C10" s="2246"/>
      <c r="D10" s="2246"/>
      <c r="E10" s="2246"/>
      <c r="F10" s="2247"/>
      <c r="G10" s="2247"/>
    </row>
    <row r="11" spans="1:10" ht="16.5">
      <c r="A11" s="2245" t="s">
        <v>693</v>
      </c>
      <c r="B11" s="2249"/>
      <c r="C11" s="2246"/>
      <c r="D11" s="2246"/>
      <c r="E11" s="2246"/>
      <c r="F11" s="2247"/>
      <c r="G11" s="2247"/>
    </row>
    <row r="12" spans="1:10" ht="16.5">
      <c r="A12" s="2246"/>
      <c r="B12" s="2246"/>
      <c r="C12" s="2246"/>
      <c r="D12" s="2246"/>
      <c r="E12" s="2246"/>
      <c r="F12" s="2247"/>
      <c r="G12" s="2247"/>
    </row>
    <row r="13" spans="1:10" ht="33">
      <c r="A13" s="2250" t="s">
        <v>694</v>
      </c>
      <c r="B13" s="2251" t="s">
        <v>681</v>
      </c>
      <c r="C13" s="2251" t="s">
        <v>682</v>
      </c>
      <c r="D13" s="2251" t="s">
        <v>695</v>
      </c>
      <c r="E13" s="2245" t="s">
        <v>686</v>
      </c>
      <c r="F13" s="2245" t="s">
        <v>687</v>
      </c>
      <c r="G13" s="2251" t="s">
        <v>696</v>
      </c>
      <c r="H13" s="2251" t="s">
        <v>697</v>
      </c>
      <c r="I13" s="2251" t="s">
        <v>698</v>
      </c>
      <c r="J13" s="2247"/>
    </row>
    <row r="14" spans="1:10" ht="16.5">
      <c r="A14" s="2252" t="s">
        <v>699</v>
      </c>
      <c r="B14" s="2251">
        <f>结果表!B118</f>
        <v>34364.589999999997</v>
      </c>
      <c r="C14" s="2251">
        <f>结果表!C118</f>
        <v>50693.68</v>
      </c>
      <c r="D14" s="2251">
        <f ca="1">结果表!H118</f>
        <v>1430</v>
      </c>
      <c r="E14" s="2251">
        <f ca="1">ROUND(D14*10000/B14,0)</f>
        <v>416</v>
      </c>
      <c r="F14" s="2251">
        <f ca="1">ROUND(D14*10000/C14,0)</f>
        <v>282</v>
      </c>
      <c r="G14" s="2251">
        <f ca="1">结果表!D122</f>
        <v>1430</v>
      </c>
      <c r="H14" s="2251" t="str">
        <f>结果表!D124</f>
        <v>——</v>
      </c>
      <c r="I14" s="2251" t="str">
        <f>结果表!D126</f>
        <v>——</v>
      </c>
      <c r="J14" s="2247"/>
    </row>
    <row r="15" spans="1:10" ht="16.5">
      <c r="A15" s="2252" t="s">
        <v>700</v>
      </c>
      <c r="B15" s="2253">
        <f>[1]系统读取表!$B$14</f>
        <v>28660.61</v>
      </c>
      <c r="C15" s="2253">
        <f>[1]系统读取表!$C$14</f>
        <v>42279.32</v>
      </c>
      <c r="D15" s="2253">
        <f ca="1">[1]系统读取表!$D$14</f>
        <v>8610</v>
      </c>
      <c r="E15" s="2251">
        <f t="shared" ref="E15:E23" ca="1" si="0">ROUND(D15*10000/B15,0)</f>
        <v>3004</v>
      </c>
      <c r="F15" s="2251">
        <f t="shared" ref="F15:F23" ca="1" si="1">ROUND(D15*10000/C15,0)</f>
        <v>2036</v>
      </c>
      <c r="G15" s="2253">
        <f ca="1">[1]系统读取表!$G$14</f>
        <v>8610</v>
      </c>
      <c r="H15" s="2253"/>
      <c r="I15" s="2253"/>
      <c r="J15" s="2247"/>
    </row>
    <row r="16" spans="1:10" ht="16.5">
      <c r="A16" s="2252" t="s">
        <v>701</v>
      </c>
      <c r="B16" s="2253"/>
      <c r="C16" s="2253"/>
      <c r="D16" s="2253"/>
      <c r="E16" s="2251" t="e">
        <f t="shared" si="0"/>
        <v>#DIV/0!</v>
      </c>
      <c r="F16" s="2251" t="e">
        <f t="shared" si="1"/>
        <v>#DIV/0!</v>
      </c>
      <c r="G16" s="2254"/>
      <c r="H16" s="2254"/>
      <c r="I16" s="2253"/>
    </row>
    <row r="17" spans="1:9" ht="16.5">
      <c r="A17" s="2252" t="s">
        <v>702</v>
      </c>
      <c r="B17" s="2253"/>
      <c r="C17" s="2253"/>
      <c r="D17" s="2253"/>
      <c r="E17" s="2251" t="e">
        <f t="shared" si="0"/>
        <v>#DIV/0!</v>
      </c>
      <c r="F17" s="2251" t="e">
        <f t="shared" si="1"/>
        <v>#DIV/0!</v>
      </c>
      <c r="G17" s="2254"/>
      <c r="H17" s="2254"/>
      <c r="I17" s="2253"/>
    </row>
    <row r="18" spans="1:9" ht="16.5">
      <c r="A18" s="2252" t="s">
        <v>703</v>
      </c>
      <c r="B18" s="2253"/>
      <c r="C18" s="2253"/>
      <c r="D18" s="2253"/>
      <c r="E18" s="2251" t="e">
        <f t="shared" si="0"/>
        <v>#DIV/0!</v>
      </c>
      <c r="F18" s="2251" t="e">
        <f t="shared" si="1"/>
        <v>#DIV/0!</v>
      </c>
      <c r="G18" s="2253"/>
      <c r="H18" s="2253"/>
      <c r="I18" s="2253"/>
    </row>
    <row r="19" spans="1:9" ht="16.5">
      <c r="A19" s="2252" t="s">
        <v>704</v>
      </c>
      <c r="B19" s="2253"/>
      <c r="C19" s="2253"/>
      <c r="D19" s="2253"/>
      <c r="E19" s="2251" t="e">
        <f t="shared" si="0"/>
        <v>#DIV/0!</v>
      </c>
      <c r="F19" s="2251" t="e">
        <f t="shared" si="1"/>
        <v>#DIV/0!</v>
      </c>
      <c r="G19" s="2253"/>
      <c r="H19" s="2253"/>
      <c r="I19" s="2253"/>
    </row>
    <row r="20" spans="1:9" ht="16.5">
      <c r="A20" s="2252" t="s">
        <v>705</v>
      </c>
      <c r="B20" s="2253"/>
      <c r="C20" s="2253"/>
      <c r="D20" s="2253"/>
      <c r="E20" s="2251" t="e">
        <f t="shared" si="0"/>
        <v>#DIV/0!</v>
      </c>
      <c r="F20" s="2251" t="e">
        <f t="shared" si="1"/>
        <v>#DIV/0!</v>
      </c>
      <c r="G20" s="2253"/>
      <c r="H20" s="2253"/>
      <c r="I20" s="2253"/>
    </row>
    <row r="21" spans="1:9" ht="16.5">
      <c r="A21" s="2252" t="s">
        <v>706</v>
      </c>
      <c r="B21" s="2253"/>
      <c r="C21" s="2253"/>
      <c r="D21" s="2253"/>
      <c r="E21" s="2251" t="e">
        <f t="shared" si="0"/>
        <v>#DIV/0!</v>
      </c>
      <c r="F21" s="2251" t="e">
        <f t="shared" si="1"/>
        <v>#DIV/0!</v>
      </c>
      <c r="G21" s="2253"/>
      <c r="H21" s="2253"/>
      <c r="I21" s="2253"/>
    </row>
    <row r="22" spans="1:9" ht="16.5">
      <c r="A22" s="2252" t="s">
        <v>707</v>
      </c>
      <c r="B22" s="2253"/>
      <c r="C22" s="2253"/>
      <c r="D22" s="2253"/>
      <c r="E22" s="2251" t="e">
        <f t="shared" si="0"/>
        <v>#DIV/0!</v>
      </c>
      <c r="F22" s="2251" t="e">
        <f t="shared" si="1"/>
        <v>#DIV/0!</v>
      </c>
      <c r="G22" s="2253"/>
      <c r="H22" s="2253"/>
      <c r="I22" s="2253"/>
    </row>
    <row r="23" spans="1:9" ht="16.5">
      <c r="A23" s="2252" t="s">
        <v>708</v>
      </c>
      <c r="B23" s="2253"/>
      <c r="C23" s="2253"/>
      <c r="D23" s="2253"/>
      <c r="E23" s="2245" t="e">
        <f t="shared" si="0"/>
        <v>#DIV/0!</v>
      </c>
      <c r="F23" s="2245" t="e">
        <f t="shared" si="1"/>
        <v>#DIV/0!</v>
      </c>
      <c r="G23" s="2253"/>
      <c r="H23" s="2253"/>
      <c r="I23" s="2253"/>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3" sqref="H33"/>
    </sheetView>
  </sheetViews>
  <sheetFormatPr defaultColWidth="12.625" defaultRowHeight="21.75" customHeight="1"/>
  <cols>
    <col min="1" max="2" width="12.625" style="1967"/>
    <col min="3" max="4" width="12.625" style="1967" customWidth="1"/>
    <col min="5" max="9" width="12.625" style="1967"/>
    <col min="10" max="11" width="12.625" style="233" customWidth="1"/>
    <col min="12" max="12" width="12.625" style="233"/>
    <col min="13" max="13" width="14.125" style="233" customWidth="1"/>
    <col min="14" max="26" width="12.625" style="233"/>
    <col min="27" max="35" width="12.625" style="1966"/>
    <col min="36" max="16384" width="12.625" style="1967"/>
  </cols>
  <sheetData>
    <row r="1" spans="1:12" ht="21.75" customHeight="1">
      <c r="A1" s="1968" t="s">
        <v>709</v>
      </c>
      <c r="B1" s="1969"/>
      <c r="C1" s="1970"/>
      <c r="D1" s="1969"/>
      <c r="E1" s="1969"/>
      <c r="F1" s="1971" t="s">
        <v>710</v>
      </c>
      <c r="G1" s="1972" t="s">
        <v>390</v>
      </c>
      <c r="H1" s="1973" t="str">
        <f>IF(G1="现房","——","估价对象范围")</f>
        <v>——</v>
      </c>
      <c r="I1" s="2109" t="s">
        <v>711</v>
      </c>
    </row>
    <row r="2" spans="1:12" ht="21.75" customHeight="1">
      <c r="A2" s="3074" t="str">
        <f>项目基本情况!S2</f>
        <v>辽宁省朝阳市朝阳喀左经济开发区房地产</v>
      </c>
      <c r="B2" s="3075"/>
      <c r="C2" s="3075"/>
      <c r="D2" s="3075"/>
      <c r="E2" s="3075"/>
      <c r="F2" s="3075"/>
      <c r="G2" s="3075"/>
      <c r="H2" s="3075"/>
      <c r="I2" s="3076"/>
    </row>
    <row r="3" spans="1:12" ht="12.75">
      <c r="A3" s="3077" t="s">
        <v>712</v>
      </c>
      <c r="B3" s="3078"/>
      <c r="C3" s="3078"/>
      <c r="D3" s="3078"/>
      <c r="E3" s="3078"/>
      <c r="F3" s="3078"/>
      <c r="G3" s="3078"/>
      <c r="H3" s="3078"/>
      <c r="I3" s="3078"/>
    </row>
    <row r="4" spans="1:12" ht="14.25">
      <c r="A4" s="1974" t="s">
        <v>713</v>
      </c>
      <c r="B4" s="1975" t="s">
        <v>714</v>
      </c>
      <c r="C4" s="1976" t="s">
        <v>2557</v>
      </c>
      <c r="D4" s="1976" t="s">
        <v>2553</v>
      </c>
      <c r="E4" s="3079" t="s">
        <v>716</v>
      </c>
      <c r="F4" s="3080"/>
      <c r="G4" s="3080"/>
      <c r="H4" s="3080"/>
      <c r="I4" s="3081"/>
      <c r="K4" s="2110" t="str">
        <f>IF(ISNUMBER(FIND("比较法",结果表!C4)),"比较法",IF(ISNUMBER(FIND("成本法",结果表!C4)),"成本法",IF(ISNUMBER(FIND("假设开发法",结果表!C4)),"假设开发法",IF(ISNUMBER(FIND("收益法",结果表!C4)),"收益法","基准地价系数修正法"))))</f>
        <v>比较法</v>
      </c>
      <c r="L4" s="2110" t="str">
        <f>IF(ISNUMBER(FIND("比较法",结果表!D4)),"比较法",IF(ISNUMBER(FIND("成本法",结果表!D4)),"成本法",IF(ISNUMBER(FIND("假设开发法",结果表!D4)),"假设开发法",IF(ISNUMBER(FIND("收益法",结果表!D4)),"收益法","基准地价系数修正法"))))</f>
        <v>假设开发法</v>
      </c>
    </row>
    <row r="5" spans="1:12" ht="12.75">
      <c r="A5" s="3159" t="s">
        <v>717</v>
      </c>
      <c r="B5" s="3047">
        <v>25</v>
      </c>
      <c r="C5" s="3091"/>
      <c r="D5" s="3094"/>
      <c r="E5" s="1632" t="s">
        <v>718</v>
      </c>
      <c r="F5" s="1980"/>
      <c r="G5" s="1980"/>
      <c r="H5" s="1980"/>
      <c r="I5" s="1841"/>
    </row>
    <row r="6" spans="1:12" ht="12.75">
      <c r="A6" s="3159"/>
      <c r="B6" s="3047"/>
      <c r="C6" s="3093"/>
      <c r="D6" s="3094"/>
      <c r="E6" s="1632" t="s">
        <v>719</v>
      </c>
      <c r="F6" s="1980"/>
      <c r="G6" s="1980"/>
      <c r="H6" s="1980"/>
      <c r="I6" s="1841"/>
    </row>
    <row r="7" spans="1:12" ht="12.75">
      <c r="A7" s="3159"/>
      <c r="B7" s="3047"/>
      <c r="C7" s="3092"/>
      <c r="D7" s="3094"/>
      <c r="E7" s="1632" t="s">
        <v>720</v>
      </c>
      <c r="F7" s="1980"/>
      <c r="G7" s="1980"/>
      <c r="H7" s="1980"/>
      <c r="I7" s="1841"/>
    </row>
    <row r="8" spans="1:12" ht="12.75">
      <c r="A8" s="3159" t="s">
        <v>721</v>
      </c>
      <c r="B8" s="3047">
        <v>15</v>
      </c>
      <c r="C8" s="3091"/>
      <c r="D8" s="3094"/>
      <c r="E8" s="1632" t="s">
        <v>722</v>
      </c>
      <c r="F8" s="1980"/>
      <c r="G8" s="1980"/>
      <c r="H8" s="1980"/>
      <c r="I8" s="1841"/>
    </row>
    <row r="9" spans="1:12" ht="12.75">
      <c r="A9" s="3159"/>
      <c r="B9" s="3047"/>
      <c r="C9" s="3092"/>
      <c r="D9" s="3094"/>
      <c r="E9" s="1632" t="s">
        <v>723</v>
      </c>
      <c r="F9" s="1980"/>
      <c r="G9" s="1980"/>
      <c r="H9" s="1980"/>
      <c r="I9" s="1841"/>
    </row>
    <row r="10" spans="1:12" ht="12.75">
      <c r="A10" s="3159" t="s">
        <v>724</v>
      </c>
      <c r="B10" s="3047">
        <v>15</v>
      </c>
      <c r="C10" s="3091"/>
      <c r="D10" s="3094"/>
      <c r="E10" s="1632" t="s">
        <v>725</v>
      </c>
      <c r="F10" s="1980"/>
      <c r="G10" s="1980"/>
      <c r="H10" s="1980"/>
      <c r="I10" s="1841"/>
    </row>
    <row r="11" spans="1:12" ht="12.75">
      <c r="A11" s="3159"/>
      <c r="B11" s="3047"/>
      <c r="C11" s="3092"/>
      <c r="D11" s="3094"/>
      <c r="E11" s="1632" t="s">
        <v>726</v>
      </c>
      <c r="F11" s="1980"/>
      <c r="G11" s="1980"/>
      <c r="H11" s="1980"/>
      <c r="I11" s="1841"/>
    </row>
    <row r="12" spans="1:12" ht="12.75">
      <c r="A12" s="3159" t="s">
        <v>727</v>
      </c>
      <c r="B12" s="3047">
        <v>15</v>
      </c>
      <c r="C12" s="3091"/>
      <c r="D12" s="3094"/>
      <c r="E12" s="1632" t="s">
        <v>728</v>
      </c>
      <c r="F12" s="1980"/>
      <c r="G12" s="1980"/>
      <c r="H12" s="1980"/>
      <c r="I12" s="1841"/>
    </row>
    <row r="13" spans="1:12" ht="12.75">
      <c r="A13" s="3159"/>
      <c r="B13" s="3047"/>
      <c r="C13" s="3092"/>
      <c r="D13" s="3094"/>
      <c r="E13" s="1632" t="s">
        <v>729</v>
      </c>
      <c r="F13" s="1980"/>
      <c r="G13" s="1980"/>
      <c r="H13" s="1980"/>
      <c r="I13" s="1841"/>
    </row>
    <row r="14" spans="1:12" ht="12.75">
      <c r="A14" s="3159" t="s">
        <v>730</v>
      </c>
      <c r="B14" s="3047">
        <v>30</v>
      </c>
      <c r="C14" s="3091">
        <v>5</v>
      </c>
      <c r="D14" s="3094">
        <v>5</v>
      </c>
      <c r="E14" s="1632" t="s">
        <v>731</v>
      </c>
      <c r="F14" s="1980"/>
      <c r="G14" s="1980"/>
      <c r="H14" s="1980"/>
      <c r="I14" s="1841"/>
    </row>
    <row r="15" spans="1:12" ht="12.75">
      <c r="A15" s="3159"/>
      <c r="B15" s="3047"/>
      <c r="C15" s="3093"/>
      <c r="D15" s="3094"/>
      <c r="E15" s="1632" t="s">
        <v>732</v>
      </c>
      <c r="F15" s="1980"/>
      <c r="G15" s="1980"/>
      <c r="H15" s="1980"/>
      <c r="I15" s="1841"/>
    </row>
    <row r="16" spans="1:12" ht="12.75">
      <c r="A16" s="3159"/>
      <c r="B16" s="3047"/>
      <c r="C16" s="3092"/>
      <c r="D16" s="3094"/>
      <c r="E16" s="1632" t="s">
        <v>733</v>
      </c>
      <c r="F16" s="1980"/>
      <c r="G16" s="1980"/>
      <c r="H16" s="1980"/>
      <c r="I16" s="1841"/>
    </row>
    <row r="17" spans="1:35" ht="15">
      <c r="A17" s="1981" t="s">
        <v>734</v>
      </c>
      <c r="B17" s="1982"/>
      <c r="C17" s="1983">
        <f>SUM(C5:C16)</f>
        <v>5</v>
      </c>
      <c r="D17" s="1983">
        <f>SUM(D5:D16)</f>
        <v>5</v>
      </c>
      <c r="E17" s="276"/>
      <c r="F17" s="276"/>
      <c r="G17" s="276"/>
      <c r="H17" s="276"/>
      <c r="I17" s="276"/>
      <c r="K17" s="2110"/>
      <c r="L17" s="2111" t="s">
        <v>735</v>
      </c>
      <c r="M17" s="2111" t="s">
        <v>736</v>
      </c>
    </row>
    <row r="18" spans="1:35" ht="15">
      <c r="A18" s="1984" t="s">
        <v>737</v>
      </c>
      <c r="B18" s="1985"/>
      <c r="C18" s="1986">
        <f>ROUND(C17/SUM(C17:D17),2)</f>
        <v>0.5</v>
      </c>
      <c r="D18" s="1986">
        <f>1-C18</f>
        <v>0.5</v>
      </c>
      <c r="E18" s="276"/>
      <c r="F18" s="276"/>
      <c r="G18" s="276"/>
      <c r="H18" s="276"/>
      <c r="I18" s="276"/>
      <c r="J18" s="2964" t="s">
        <v>2555</v>
      </c>
      <c r="K18" s="2110" t="s">
        <v>436</v>
      </c>
      <c r="L18" s="2110">
        <f>IF(C1="",'数据-汇总表'!E3,SUMIF(项目类型,C1,'数据-汇总表'!E17:E26)+SUMIF(项目类型,C1,'数据-汇总表'!I17:I26))</f>
        <v>34364.589999999997</v>
      </c>
      <c r="M18" s="2110">
        <f>IF(C1="",'数据-汇总表'!E3,SUMIF(项目类型,C1,'数据-汇总表'!E17:E26))</f>
        <v>34364.589999999997</v>
      </c>
    </row>
    <row r="19" spans="1:35" ht="15">
      <c r="A19" s="1987" t="s">
        <v>738</v>
      </c>
      <c r="B19" s="1988" t="s">
        <v>739</v>
      </c>
      <c r="C19" s="1989">
        <f ca="1">SUMIF(INDIRECT("'"&amp;C4&amp;"'"&amp;"!A:A"),结果表!B19,INDIRECT("'"&amp;C4&amp;"'"&amp;"!B:B"))</f>
        <v>1130</v>
      </c>
      <c r="D19" s="1062">
        <f ca="1">SUMIF(INDIRECT("'"&amp;D4&amp;"'"&amp;"!A:A"),结果表!B19,INDIRECT("'"&amp;D4&amp;"'"&amp;"!B:B"))</f>
        <v>1730</v>
      </c>
      <c r="E19" s="1987" t="s">
        <v>740</v>
      </c>
      <c r="F19" s="1988" t="s">
        <v>739</v>
      </c>
      <c r="G19" s="1990">
        <f ca="1">ROUND(C19*$C$18+D19*$D$18,0)</f>
        <v>1430</v>
      </c>
      <c r="H19" s="1991" t="s">
        <v>741</v>
      </c>
      <c r="I19" s="276"/>
      <c r="J19" s="2964">
        <v>3004</v>
      </c>
      <c r="K19" s="2110" t="s">
        <v>435</v>
      </c>
      <c r="L19" s="2110">
        <f>IF(C1="",'数据-汇总表'!D3,SUMIF(项目类型,C1,'数据-汇总表'!D17:D26)+SUMIF(项目类型,C1,'数据-汇总表'!H17:H27))</f>
        <v>50693.68</v>
      </c>
      <c r="M19" s="2110">
        <f>IF(C1="",'数据-汇总表'!D3,SUMIF(项目类型,C1,'数据-汇总表'!D17:D26))</f>
        <v>50693.68</v>
      </c>
    </row>
    <row r="20" spans="1:35" ht="15">
      <c r="A20" s="1992"/>
      <c r="B20" s="1993" t="s">
        <v>742</v>
      </c>
      <c r="C20" s="1475">
        <f ca="1">SUMIF(INDIRECT("'"&amp;C4&amp;"'"&amp;"!A:A"),结果表!B20,INDIRECT("'"&amp;C4&amp;"'"&amp;"!B:B"))</f>
        <v>329</v>
      </c>
      <c r="D20" s="1478">
        <f ca="1">SUMIF(INDIRECT("'"&amp;D4&amp;"'"&amp;"!A:A"),结果表!B20,INDIRECT("'"&amp;D4&amp;"'"&amp;"!B:B"))</f>
        <v>503</v>
      </c>
      <c r="E20" s="1992"/>
      <c r="F20" s="1993" t="s">
        <v>742</v>
      </c>
      <c r="G20" s="1994">
        <f ca="1">ROUND(C20*$C$18+D20*$D$18,0)</f>
        <v>416</v>
      </c>
      <c r="H20" s="1743" t="s">
        <v>743</v>
      </c>
      <c r="I20" s="276"/>
      <c r="J20" s="2964" t="s">
        <v>2556</v>
      </c>
    </row>
    <row r="21" spans="1:35" ht="15" customHeight="1">
      <c r="A21" s="1921"/>
      <c r="B21" s="1995" t="s">
        <v>744</v>
      </c>
      <c r="C21" s="1996">
        <f ca="1">ROUND(C19*10000/L19,0)</f>
        <v>223</v>
      </c>
      <c r="D21" s="1997">
        <f ca="1">ROUND(D19*10000/L19,0)</f>
        <v>341</v>
      </c>
      <c r="E21" s="1921"/>
      <c r="F21" s="1995" t="s">
        <v>744</v>
      </c>
      <c r="G21" s="1998">
        <f ca="1">ROUND(G19*10000/L19,0)</f>
        <v>282</v>
      </c>
      <c r="H21" s="1999" t="s">
        <v>743</v>
      </c>
      <c r="I21" s="276"/>
      <c r="J21" s="233">
        <f ca="1">G21*666.67/10000</f>
        <v>18.800094000000001</v>
      </c>
    </row>
    <row r="22" spans="1:35" ht="14.25">
      <c r="A22" s="2000" t="s">
        <v>745</v>
      </c>
      <c r="B22" s="2001"/>
      <c r="C22" s="2002"/>
      <c r="D22" s="2003">
        <f ca="1">IF(C19&lt;D19,D19/C19-1,C19/D19-1)</f>
        <v>0.53097345132743357</v>
      </c>
      <c r="E22" s="276"/>
      <c r="F22" s="276"/>
      <c r="G22" s="276"/>
      <c r="H22" s="276"/>
      <c r="I22" s="276"/>
    </row>
    <row r="23" spans="1:35" ht="12.75">
      <c r="A23" s="1969"/>
      <c r="B23" s="1969"/>
      <c r="C23" s="1969"/>
      <c r="D23" s="1969"/>
      <c r="E23" s="276"/>
      <c r="F23" s="276"/>
      <c r="G23" s="276"/>
      <c r="H23" s="276"/>
      <c r="I23" s="276"/>
    </row>
    <row r="24" spans="1:35" ht="14.25">
      <c r="A24" s="3160" t="s">
        <v>746</v>
      </c>
      <c r="B24" s="1988" t="s">
        <v>739</v>
      </c>
      <c r="C24" s="1990">
        <f>IF(B30=0,0,D30)</f>
        <v>0</v>
      </c>
      <c r="D24" s="2004"/>
      <c r="E24" s="276"/>
      <c r="F24" s="276"/>
      <c r="G24" s="276"/>
      <c r="H24" s="276"/>
      <c r="I24" s="276"/>
    </row>
    <row r="25" spans="1:35" ht="14.25">
      <c r="A25" s="3161"/>
      <c r="B25" s="1993" t="s">
        <v>742</v>
      </c>
      <c r="C25" s="2005">
        <f>IF(B30=0,0,C30)</f>
        <v>0</v>
      </c>
      <c r="D25" s="2006"/>
      <c r="E25" s="276"/>
      <c r="F25" s="276"/>
      <c r="G25" s="276"/>
      <c r="H25" s="276"/>
      <c r="I25" s="276"/>
      <c r="J25" s="233">
        <v>3645</v>
      </c>
    </row>
    <row r="26" spans="1:35" ht="13.5" customHeight="1">
      <c r="A26" s="2007" t="s">
        <v>747</v>
      </c>
      <c r="B26" s="2008" t="s">
        <v>748</v>
      </c>
      <c r="C26" s="2008" t="s">
        <v>749</v>
      </c>
      <c r="D26" s="2009" t="s">
        <v>750</v>
      </c>
      <c r="E26" s="276"/>
      <c r="F26" s="276"/>
      <c r="G26" s="276"/>
      <c r="H26" s="276"/>
      <c r="I26" s="276"/>
    </row>
    <row r="27" spans="1:35" ht="14.25">
      <c r="A27" s="2007"/>
      <c r="B27" s="2008">
        <v>0</v>
      </c>
      <c r="C27" s="2008">
        <v>0</v>
      </c>
      <c r="D27" s="2009">
        <f>ROUND(C27*B27/10000,0)</f>
        <v>0</v>
      </c>
      <c r="E27" s="276"/>
      <c r="F27" s="276"/>
      <c r="G27" s="276"/>
      <c r="H27" s="276"/>
      <c r="I27" s="276"/>
    </row>
    <row r="28" spans="1:35" ht="14.25">
      <c r="A28" s="2007"/>
      <c r="B28" s="2008"/>
      <c r="C28" s="2008"/>
      <c r="D28" s="2009"/>
      <c r="E28" s="276"/>
      <c r="F28" s="276"/>
      <c r="G28" s="276"/>
      <c r="H28" s="276"/>
      <c r="I28" s="276"/>
    </row>
    <row r="29" spans="1:35" ht="14.25">
      <c r="A29" s="2007"/>
      <c r="B29" s="2008"/>
      <c r="C29" s="2008"/>
      <c r="D29" s="2009"/>
      <c r="E29" s="276"/>
      <c r="F29" s="276"/>
      <c r="G29" s="276"/>
      <c r="H29" s="276"/>
      <c r="I29" s="276"/>
    </row>
    <row r="30" spans="1:35" ht="14.25">
      <c r="A30" s="2008" t="s">
        <v>751</v>
      </c>
      <c r="B30" s="2008"/>
      <c r="C30" s="2008"/>
      <c r="D30" s="2008"/>
      <c r="E30" s="2010" t="s">
        <v>752</v>
      </c>
      <c r="F30" s="276"/>
      <c r="G30" s="276"/>
      <c r="H30" s="276"/>
      <c r="I30" s="276"/>
    </row>
    <row r="31" spans="1:35" s="1964" customFormat="1" ht="14.25">
      <c r="A31" s="2011"/>
      <c r="B31" s="2011"/>
      <c r="C31" s="2011"/>
      <c r="D31" s="2011"/>
      <c r="E31" s="276"/>
      <c r="F31" s="276"/>
      <c r="G31" s="276"/>
      <c r="H31" s="276"/>
      <c r="I31" s="276"/>
      <c r="J31" s="233"/>
      <c r="K31" s="233"/>
      <c r="L31" s="233"/>
      <c r="M31" s="233"/>
      <c r="N31" s="233"/>
      <c r="O31" s="233"/>
      <c r="P31" s="233"/>
      <c r="Q31" s="233"/>
      <c r="R31" s="233"/>
      <c r="S31" s="233"/>
      <c r="T31" s="233"/>
      <c r="U31" s="233"/>
      <c r="V31" s="233"/>
      <c r="W31" s="233"/>
      <c r="X31" s="233"/>
      <c r="Y31" s="233"/>
      <c r="Z31" s="233"/>
      <c r="AA31" s="1966"/>
      <c r="AB31" s="1966"/>
      <c r="AC31" s="1966"/>
      <c r="AD31" s="1966"/>
      <c r="AE31" s="1966"/>
      <c r="AF31" s="1966"/>
      <c r="AG31" s="1966"/>
      <c r="AH31" s="1966"/>
      <c r="AI31" s="1966"/>
    </row>
    <row r="32" spans="1:35" ht="15">
      <c r="A32" s="2012" t="s">
        <v>753</v>
      </c>
      <c r="B32" s="2013"/>
      <c r="C32" s="2014">
        <f ca="1">IF(D32="总价",G19-C24,G20-C25)</f>
        <v>1430</v>
      </c>
      <c r="D32" s="2015" t="s">
        <v>754</v>
      </c>
      <c r="E32" s="276"/>
      <c r="F32" s="276"/>
      <c r="G32" s="276"/>
      <c r="H32" s="276"/>
      <c r="I32" s="276"/>
    </row>
    <row r="33" spans="1:15" ht="15">
      <c r="A33" s="1861" t="s">
        <v>755</v>
      </c>
      <c r="B33" s="2016"/>
      <c r="C33" s="2017" t="s">
        <v>756</v>
      </c>
      <c r="D33" s="2018" t="s">
        <v>715</v>
      </c>
      <c r="E33" s="2019" t="s">
        <v>757</v>
      </c>
      <c r="F33" s="2020" t="str">
        <f>IF(D32="楼面单价","取值（单价）","取值（总价）")</f>
        <v>取值（总价）</v>
      </c>
      <c r="G33" s="276"/>
      <c r="H33" s="276"/>
      <c r="I33" s="276"/>
    </row>
    <row r="34" spans="1:15" ht="15">
      <c r="A34" s="2021"/>
      <c r="B34" s="2022" t="s">
        <v>758</v>
      </c>
      <c r="C34" s="2023">
        <f ca="1">IF(C33="自定义",F34,C32-C35)</f>
        <v>1430</v>
      </c>
      <c r="D34" s="2024">
        <f ca="1">IF(C33="自定义",ROUND(C34/C32,3),IF(C33="收益比率",SUMIF(INDIRECT("'"&amp;D33&amp;"'"&amp;"!b:b"),"土地收益比率",INDIRECT("'"&amp;D33&amp;"'"&amp;"!c:c")),SUMIF(INDIRECT("'"&amp;D33&amp;"'"&amp;"!b:b"),"土地成本比率",INDIRECT("'"&amp;D33&amp;"'"&amp;"!c:c"))))</f>
        <v>1</v>
      </c>
      <c r="E34" s="2025" t="s">
        <v>759</v>
      </c>
      <c r="F34" s="2026"/>
      <c r="G34" s="276"/>
      <c r="H34" s="276"/>
      <c r="I34" s="276"/>
    </row>
    <row r="35" spans="1:15" ht="15">
      <c r="A35" s="2027"/>
      <c r="B35" s="2028" t="s">
        <v>760</v>
      </c>
      <c r="C35" s="2029">
        <f ca="1">IF(C33="自定义",F35,ROUND(C32*D35,0))</f>
        <v>0</v>
      </c>
      <c r="D35" s="2030">
        <f ca="1">IF(C33="自定义",ROUND(C35/C32,3),IF(C33="收益比率",SUMIF(INDIRECT("'"&amp;D33&amp;"'"&amp;"!b:b"),"建筑物收益比率",INDIRECT("'"&amp;D33&amp;"'"&amp;"!c:c")),SUMIF(INDIRECT("'"&amp;D33&amp;"'"&amp;"!b:b"),"建筑物成本比率",INDIRECT("'"&amp;D33&amp;"'"&amp;"!c:c"))))</f>
        <v>0</v>
      </c>
      <c r="E35" s="2031" t="s">
        <v>761</v>
      </c>
      <c r="F35" s="2032"/>
      <c r="G35" s="276"/>
      <c r="H35" s="276"/>
      <c r="I35" s="276"/>
    </row>
    <row r="36" spans="1:15" ht="15">
      <c r="A36" s="3162" t="s">
        <v>762</v>
      </c>
      <c r="B36" s="2033" t="s">
        <v>763</v>
      </c>
      <c r="C36" s="2034"/>
      <c r="D36" s="2035"/>
      <c r="E36" s="2036"/>
      <c r="F36" s="2037"/>
      <c r="G36" s="276"/>
      <c r="H36" s="276"/>
      <c r="I36" s="276"/>
    </row>
    <row r="37" spans="1:15" ht="15">
      <c r="A37" s="3163"/>
      <c r="B37" s="2038" t="s">
        <v>764</v>
      </c>
      <c r="C37" s="2039"/>
      <c r="D37" s="2040"/>
      <c r="E37" s="2040"/>
      <c r="F37" s="2037"/>
      <c r="G37" s="276"/>
      <c r="H37" s="276"/>
      <c r="I37" s="276"/>
    </row>
    <row r="38" spans="1:15" ht="15">
      <c r="A38" s="3164"/>
      <c r="B38" s="2041" t="s">
        <v>765</v>
      </c>
      <c r="C38" s="2042"/>
      <c r="D38" s="2043" t="s">
        <v>766</v>
      </c>
      <c r="E38" s="2040"/>
      <c r="F38" s="2037"/>
      <c r="G38" s="276"/>
      <c r="H38" s="276"/>
      <c r="I38" s="276"/>
    </row>
    <row r="39" spans="1:15" ht="15">
      <c r="A39" s="1992" t="s">
        <v>767</v>
      </c>
      <c r="B39" s="2044" t="s">
        <v>748</v>
      </c>
      <c r="C39" s="2045" t="s">
        <v>749</v>
      </c>
      <c r="D39" s="2045" t="s">
        <v>768</v>
      </c>
      <c r="E39" s="2046" t="s">
        <v>750</v>
      </c>
      <c r="F39" s="2037"/>
      <c r="G39" s="276"/>
      <c r="H39" s="276"/>
      <c r="I39" s="276"/>
    </row>
    <row r="40" spans="1:15" ht="14.25">
      <c r="A40" s="2047" t="s">
        <v>769</v>
      </c>
      <c r="B40" s="2048"/>
      <c r="C40" s="294"/>
      <c r="D40" s="294"/>
      <c r="E40" s="2049"/>
      <c r="F40" s="2037"/>
      <c r="G40" s="276"/>
      <c r="H40" s="276"/>
      <c r="I40" s="276"/>
    </row>
    <row r="41" spans="1:15" ht="14.25">
      <c r="A41" s="2047" t="s">
        <v>770</v>
      </c>
      <c r="B41" s="2048"/>
      <c r="C41" s="294"/>
      <c r="D41" s="294"/>
      <c r="E41" s="2049"/>
      <c r="F41" s="2037"/>
      <c r="G41" s="276"/>
      <c r="H41" s="276"/>
      <c r="I41" s="276"/>
    </row>
    <row r="42" spans="1:15" ht="14.25">
      <c r="A42" s="2050"/>
      <c r="B42" s="2051"/>
      <c r="C42" s="2052"/>
      <c r="D42" s="2052"/>
      <c r="E42" s="2032"/>
      <c r="F42" s="2037"/>
      <c r="G42" s="276"/>
      <c r="H42" s="276"/>
      <c r="I42" s="276"/>
    </row>
    <row r="43" spans="1:15" ht="12.75">
      <c r="A43" s="2053"/>
      <c r="B43" s="2053"/>
      <c r="C43" s="2053"/>
      <c r="D43" s="2053"/>
      <c r="E43" s="2053"/>
      <c r="F43" s="2054"/>
      <c r="G43" s="2054"/>
      <c r="H43" s="2054"/>
      <c r="I43" s="2112"/>
    </row>
    <row r="44" spans="1:15" ht="18.75" hidden="1">
      <c r="A44" s="2055" t="s">
        <v>771</v>
      </c>
      <c r="B44" s="2056"/>
      <c r="C44" s="2056"/>
      <c r="D44" s="2057"/>
      <c r="E44" s="2057"/>
      <c r="F44" s="2058"/>
      <c r="G44" s="2058"/>
      <c r="H44" s="2058"/>
      <c r="I44" s="2058"/>
      <c r="J44" s="2113" t="s">
        <v>772</v>
      </c>
      <c r="K44" s="2114"/>
      <c r="L44" s="2114"/>
      <c r="M44" s="2114"/>
      <c r="N44" s="2114"/>
      <c r="O44" s="2114"/>
    </row>
    <row r="45" spans="1:15" ht="14.25" hidden="1" customHeight="1">
      <c r="A45" s="3082" t="s">
        <v>773</v>
      </c>
      <c r="B45" s="3083"/>
      <c r="C45" s="3084"/>
      <c r="D45" s="1591">
        <f ca="1">ROUND(H101*F45,0)</f>
        <v>1430</v>
      </c>
      <c r="E45" s="2059" t="s">
        <v>774</v>
      </c>
      <c r="F45" s="2060">
        <v>1</v>
      </c>
      <c r="G45" s="2061" t="s">
        <v>775</v>
      </c>
      <c r="H45" s="276"/>
      <c r="I45" s="276"/>
      <c r="J45" s="3085" t="s">
        <v>776</v>
      </c>
      <c r="K45" s="3085"/>
      <c r="L45" s="3085"/>
      <c r="M45" s="3085"/>
      <c r="N45" s="3085"/>
      <c r="O45" s="3085"/>
    </row>
    <row r="46" spans="1:15" ht="14.25" hidden="1" customHeight="1">
      <c r="A46" s="3086" t="s">
        <v>777</v>
      </c>
      <c r="B46" s="3087"/>
      <c r="C46" s="3087"/>
      <c r="D46" s="3087"/>
      <c r="E46" s="3087"/>
      <c r="F46" s="3087"/>
      <c r="G46" s="3088"/>
      <c r="H46" s="2062"/>
      <c r="I46" s="277"/>
      <c r="J46" s="719">
        <v>1</v>
      </c>
      <c r="K46" s="3085" t="s">
        <v>778</v>
      </c>
      <c r="L46" s="3085"/>
      <c r="M46" s="3089"/>
      <c r="N46" s="3089"/>
      <c r="O46" s="3089"/>
    </row>
    <row r="47" spans="1:15" ht="12" hidden="1" customHeight="1">
      <c r="A47" s="2063" t="s">
        <v>779</v>
      </c>
      <c r="B47" s="2064"/>
      <c r="C47" s="2065"/>
      <c r="D47" s="2066" t="s">
        <v>780</v>
      </c>
      <c r="E47" s="287" t="s">
        <v>781</v>
      </c>
      <c r="F47" s="2067" t="s">
        <v>782</v>
      </c>
      <c r="G47" s="2068" t="s">
        <v>783</v>
      </c>
      <c r="H47" s="2062"/>
      <c r="I47" s="277"/>
      <c r="J47" s="719">
        <v>2</v>
      </c>
      <c r="K47" s="3085" t="s">
        <v>784</v>
      </c>
      <c r="L47" s="3085"/>
      <c r="M47" s="3090">
        <f>'数据-取费表'!B2</f>
        <v>44393</v>
      </c>
      <c r="N47" s="3090"/>
      <c r="O47" s="3090"/>
    </row>
    <row r="48" spans="1:15" ht="25.5" hidden="1">
      <c r="A48" s="3095" t="s">
        <v>785</v>
      </c>
      <c r="B48" s="3096"/>
      <c r="C48" s="3096"/>
      <c r="D48" s="1632">
        <f>IF(H48="情况1",0,IF(H48="情况2",D52,IF(H48="情况3",D53,IF(H48="情况4",D54))))</f>
        <v>0</v>
      </c>
      <c r="E48" s="1645" t="str">
        <f>IF(H48="情况4","(销售额-原购置价)×税（费）率","销售额×税（费）率")</f>
        <v>销售额×税（费）率</v>
      </c>
      <c r="F48" s="2069" t="str">
        <f>IF(H48="情况1","免征",'数据-取费表'!B41)</f>
        <v>免征</v>
      </c>
      <c r="G48" s="2070" t="s">
        <v>786</v>
      </c>
      <c r="H48" s="2071" t="s">
        <v>787</v>
      </c>
      <c r="I48" s="2062"/>
      <c r="J48" s="719">
        <v>3</v>
      </c>
      <c r="K48" s="3085" t="s">
        <v>788</v>
      </c>
      <c r="L48" s="3085"/>
      <c r="M48" s="3097">
        <f ca="1">H101</f>
        <v>1430</v>
      </c>
      <c r="N48" s="3097"/>
      <c r="O48" s="3097"/>
    </row>
    <row r="49" spans="1:35" ht="25.5" hidden="1" customHeight="1">
      <c r="A49" s="2072" t="s">
        <v>789</v>
      </c>
      <c r="B49" s="3098" t="s">
        <v>790</v>
      </c>
      <c r="C49" s="3098"/>
      <c r="D49" s="1868">
        <v>0</v>
      </c>
      <c r="E49" s="2073" t="s">
        <v>791</v>
      </c>
      <c r="F49" s="2074" t="s">
        <v>124</v>
      </c>
      <c r="G49" s="3099"/>
      <c r="H49" s="276"/>
      <c r="I49" s="2116"/>
      <c r="J49" s="719">
        <v>4</v>
      </c>
      <c r="K49" s="3085" t="str">
        <f>IF(项目基本情况!E8="房地产抵押价值","房地产抵押价值","抵押担保权已注销时的房地产抵押价值")</f>
        <v>房地产抵押价值</v>
      </c>
      <c r="L49" s="3085"/>
      <c r="M49" s="3097">
        <f ca="1">IF(项目基本情况!E8="房地产抵押价值",H107,H109)</f>
        <v>1430</v>
      </c>
      <c r="N49" s="3097"/>
      <c r="O49" s="3097"/>
    </row>
    <row r="50" spans="1:35" ht="25.5" hidden="1" customHeight="1">
      <c r="A50" s="2076"/>
      <c r="B50" s="3098" t="s">
        <v>792</v>
      </c>
      <c r="C50" s="3098"/>
      <c r="D50" s="2077"/>
      <c r="E50" s="2078"/>
      <c r="F50" s="2079"/>
      <c r="G50" s="3100"/>
      <c r="H50" s="276"/>
      <c r="I50" s="2116"/>
      <c r="J50" s="3085" t="s">
        <v>793</v>
      </c>
      <c r="K50" s="3085"/>
      <c r="L50" s="3085"/>
      <c r="M50" s="3085"/>
      <c r="N50" s="3085"/>
      <c r="O50" s="3085"/>
    </row>
    <row r="51" spans="1:35" ht="12" hidden="1" customHeight="1">
      <c r="A51" s="2080"/>
      <c r="B51" s="3098" t="s">
        <v>794</v>
      </c>
      <c r="C51" s="3098"/>
      <c r="D51" s="2081"/>
      <c r="E51" s="614"/>
      <c r="F51" s="2079"/>
      <c r="G51" s="3101"/>
      <c r="H51" s="276"/>
      <c r="I51" s="2116"/>
      <c r="J51" s="2115" t="s">
        <v>795</v>
      </c>
      <c r="K51" s="3085" t="s">
        <v>796</v>
      </c>
      <c r="L51" s="3085"/>
      <c r="M51" s="2115" t="s">
        <v>797</v>
      </c>
      <c r="N51" s="2115" t="s">
        <v>798</v>
      </c>
      <c r="O51" s="2115" t="s">
        <v>799</v>
      </c>
    </row>
    <row r="52" spans="1:35" ht="24" hidden="1" customHeight="1">
      <c r="A52" s="2083" t="s">
        <v>800</v>
      </c>
      <c r="B52" s="3098" t="s">
        <v>801</v>
      </c>
      <c r="C52" s="3098"/>
      <c r="D52" s="2081">
        <f ca="1">ROUND(D45*'数据-取费表'!B41/(1+'数据-取费表'!C42),0)</f>
        <v>75</v>
      </c>
      <c r="E52" s="290" t="s">
        <v>802</v>
      </c>
      <c r="F52" s="2084">
        <f>'数据-取费表'!B41</f>
        <v>5.5E-2</v>
      </c>
      <c r="G52" s="2085"/>
      <c r="H52" s="276"/>
      <c r="I52" s="2116"/>
      <c r="J52" s="719">
        <v>1</v>
      </c>
      <c r="K52" s="3102" t="s">
        <v>803</v>
      </c>
      <c r="L52" s="3102"/>
      <c r="M52" s="2117">
        <f>D48</f>
        <v>0</v>
      </c>
      <c r="N52" s="719" t="str">
        <f>E48</f>
        <v>销售额×税（费）率</v>
      </c>
      <c r="O52" s="2118" t="str">
        <f>F48</f>
        <v>免征</v>
      </c>
    </row>
    <row r="53" spans="1:35" ht="12" hidden="1" customHeight="1">
      <c r="A53" s="2083" t="s">
        <v>804</v>
      </c>
      <c r="B53" s="3103" t="s">
        <v>805</v>
      </c>
      <c r="C53" s="3104"/>
      <c r="D53" s="2081">
        <f ca="1">ROUND(D45*'数据-取费表'!B41/(1+'数据-取费表'!C42),0)</f>
        <v>75</v>
      </c>
      <c r="E53" s="290" t="s">
        <v>802</v>
      </c>
      <c r="F53" s="2084">
        <f>'数据-取费表'!B41</f>
        <v>5.5E-2</v>
      </c>
      <c r="G53" s="2085"/>
      <c r="H53" s="276"/>
      <c r="I53" s="2116"/>
      <c r="J53" s="719">
        <v>2</v>
      </c>
      <c r="K53" s="3102" t="s">
        <v>806</v>
      </c>
      <c r="L53" s="3102"/>
      <c r="M53" s="2117">
        <f t="shared" ref="M53:O54" ca="1" si="0">D55</f>
        <v>1</v>
      </c>
      <c r="N53" s="719" t="str">
        <f t="shared" si="0"/>
        <v>销售额×税（费）率</v>
      </c>
      <c r="O53" s="2118">
        <f t="shared" si="0"/>
        <v>5.0000000000000001E-4</v>
      </c>
    </row>
    <row r="54" spans="1:35" ht="12" hidden="1" customHeight="1">
      <c r="A54" s="2083" t="s">
        <v>807</v>
      </c>
      <c r="B54" s="3103" t="s">
        <v>808</v>
      </c>
      <c r="C54" s="3104"/>
      <c r="D54" s="2081">
        <f ca="1">C68</f>
        <v>75</v>
      </c>
      <c r="E54" s="614" t="s">
        <v>809</v>
      </c>
      <c r="F54" s="2084">
        <f>'数据-取费表'!B41</f>
        <v>5.5E-2</v>
      </c>
      <c r="G54" s="2085"/>
      <c r="H54" s="2086"/>
      <c r="I54" s="2116"/>
      <c r="J54" s="719">
        <v>3</v>
      </c>
      <c r="K54" s="3102" t="s">
        <v>810</v>
      </c>
      <c r="L54" s="3102"/>
      <c r="M54" s="2117">
        <f t="shared" ca="1" si="0"/>
        <v>811</v>
      </c>
      <c r="N54" s="719" t="str">
        <f t="shared" si="0"/>
        <v>增值额×税（费）率</v>
      </c>
      <c r="O54" s="2119" t="str">
        <f t="shared" si="0"/>
        <v>——</v>
      </c>
    </row>
    <row r="55" spans="1:35" ht="24" hidden="1" customHeight="1">
      <c r="A55" s="3105" t="s">
        <v>811</v>
      </c>
      <c r="B55" s="3096"/>
      <c r="C55" s="3096"/>
      <c r="D55" s="2087">
        <f ca="1">IF(H55="个人住宅",0,ROUND(D45*I55,0))</f>
        <v>1</v>
      </c>
      <c r="E55" s="290" t="s">
        <v>812</v>
      </c>
      <c r="F55" s="2084">
        <f>IF(H55="正常",I55,"免征")</f>
        <v>5.0000000000000001E-4</v>
      </c>
      <c r="G55" s="2085"/>
      <c r="H55" s="2071" t="s">
        <v>813</v>
      </c>
      <c r="I55" s="2120">
        <f>'数据-取费表'!B49</f>
        <v>5.0000000000000001E-4</v>
      </c>
      <c r="J55" s="719" t="str">
        <f>IF(H59="非个人房产","",4)</f>
        <v/>
      </c>
      <c r="K55" s="3102" t="str">
        <f>IF(H59="非个人房产","——","个人所得税")</f>
        <v>——</v>
      </c>
      <c r="L55" s="3102"/>
      <c r="M55" s="2121" t="str">
        <f>D59</f>
        <v>——</v>
      </c>
      <c r="N55" s="850" t="str">
        <f>E59</f>
        <v>——</v>
      </c>
      <c r="O55" s="2122" t="str">
        <f>F59</f>
        <v>——</v>
      </c>
    </row>
    <row r="56" spans="1:35" ht="24.75" hidden="1">
      <c r="A56" s="3105" t="s">
        <v>814</v>
      </c>
      <c r="B56" s="3096"/>
      <c r="C56" s="3096"/>
      <c r="D56" s="2087">
        <f ca="1">IF(H56="个人住宅",D57,D58)</f>
        <v>811</v>
      </c>
      <c r="E56" s="290" t="s">
        <v>815</v>
      </c>
      <c r="F56" s="2084" t="str">
        <f>IF(H56="正常",F58,"免征")</f>
        <v>——</v>
      </c>
      <c r="G56" s="2088" t="s">
        <v>816</v>
      </c>
      <c r="H56" s="2089" t="s">
        <v>813</v>
      </c>
      <c r="I56" s="2092"/>
      <c r="J56" s="719" t="str">
        <f>IF(项目基本情况!K6="上海银行",IF(J55="",4,J55+1),"")</f>
        <v/>
      </c>
      <c r="K56" s="3106" t="str">
        <f>IF(项目基本情况!K6="上海银行","其他处置费用","")</f>
        <v/>
      </c>
      <c r="L56" s="3107"/>
      <c r="M56" s="2117" t="str">
        <f>IF(项目基本情况!K6="上海银行",M69,"")</f>
        <v/>
      </c>
      <c r="N56" s="3108" t="str">
        <f>IF(项目基本情况!K6="上海银行","包含处置中涉及的律师、诉讼、拍卖、评估等费用","")</f>
        <v/>
      </c>
      <c r="O56" s="3109"/>
    </row>
    <row r="57" spans="1:35" ht="12.75" hidden="1">
      <c r="A57" s="2083" t="s">
        <v>789</v>
      </c>
      <c r="B57" s="3079" t="s">
        <v>817</v>
      </c>
      <c r="C57" s="3081"/>
      <c r="D57" s="2091">
        <v>0</v>
      </c>
      <c r="E57" s="2073" t="s">
        <v>791</v>
      </c>
      <c r="F57" s="234"/>
      <c r="G57" s="2085"/>
      <c r="H57" s="2092"/>
      <c r="I57" s="2092"/>
      <c r="J57" s="3102">
        <f>IF(AND(J55="",J56=""),4,IF(项目基本情况!K6="上海银行",结果表!J56+1,结果表!J55+1))</f>
        <v>4</v>
      </c>
      <c r="K57" s="3102" t="s">
        <v>818</v>
      </c>
      <c r="L57" s="2123" t="s">
        <v>819</v>
      </c>
      <c r="M57" s="2124"/>
      <c r="N57" s="2125">
        <f ca="1">SUMIF(M52:M56,"&lt;9e307")</f>
        <v>812</v>
      </c>
      <c r="O57" s="2126"/>
      <c r="P57" s="2127">
        <f ca="1">N57/M49</f>
        <v>0.56783216783216783</v>
      </c>
    </row>
    <row r="58" spans="1:35" ht="24.75" hidden="1">
      <c r="A58" s="2083" t="s">
        <v>800</v>
      </c>
      <c r="B58" s="3079" t="s">
        <v>820</v>
      </c>
      <c r="C58" s="3080"/>
      <c r="D58" s="2087">
        <f ca="1">IF(H58="转让取得",C81,C97)</f>
        <v>811</v>
      </c>
      <c r="E58" s="290" t="s">
        <v>815</v>
      </c>
      <c r="F58" s="287" t="s">
        <v>124</v>
      </c>
      <c r="G58" s="2085"/>
      <c r="H58" s="2089" t="s">
        <v>821</v>
      </c>
      <c r="I58" s="2092"/>
      <c r="J58" s="3102"/>
      <c r="K58" s="3102"/>
      <c r="L58" s="2123" t="s">
        <v>822</v>
      </c>
      <c r="M58" s="2128"/>
      <c r="N58" s="2129" t="str">
        <f ca="1">NUMBERSTRING(INT(N57*10000),2)&amp;"元整"</f>
        <v>捌佰壹拾贰万元整</v>
      </c>
      <c r="O58" s="2130"/>
    </row>
    <row r="59" spans="1:35" ht="24" hidden="1">
      <c r="A59" s="3110" t="s">
        <v>823</v>
      </c>
      <c r="B59" s="3111"/>
      <c r="C59" s="3111"/>
      <c r="D59" s="2093" t="str">
        <f>IF(H59="非个人房产","——",IF(H59="个人住宅",0,ROUND(D45*I59,0)))</f>
        <v>——</v>
      </c>
      <c r="E59" s="2094" t="str">
        <f>IF(H59="非个人房产","——","销售额×税（费）率")</f>
        <v>——</v>
      </c>
      <c r="F59" s="2095" t="str">
        <f>IF(H59="非个人房产","——",IF(H59="个人住宅","免征",I59))</f>
        <v>——</v>
      </c>
      <c r="G59" s="2096" t="s">
        <v>816</v>
      </c>
      <c r="H59" s="2089" t="s">
        <v>824</v>
      </c>
      <c r="I59" s="2131">
        <v>0.01</v>
      </c>
      <c r="J59" s="3117">
        <f>J57+1</f>
        <v>5</v>
      </c>
      <c r="K59" s="3102" t="s">
        <v>825</v>
      </c>
      <c r="L59" s="719" t="s">
        <v>819</v>
      </c>
      <c r="M59" s="2132"/>
      <c r="N59" s="2133">
        <f ca="1">M49-N57</f>
        <v>618</v>
      </c>
      <c r="O59" s="2134"/>
    </row>
    <row r="60" spans="1:35" ht="12" hidden="1" customHeight="1">
      <c r="A60" s="2097"/>
      <c r="B60" s="1969"/>
      <c r="C60" s="1969"/>
      <c r="D60" s="1969"/>
      <c r="E60" s="2098"/>
      <c r="F60" s="2092"/>
      <c r="G60" s="2092"/>
      <c r="H60" s="2099"/>
      <c r="I60" s="276"/>
      <c r="J60" s="3118"/>
      <c r="K60" s="3102"/>
      <c r="L60" s="2123" t="s">
        <v>822</v>
      </c>
      <c r="M60" s="2128"/>
      <c r="N60" s="2129" t="str">
        <f ca="1">NUMBERSTRING(INT(N59*10000),2)&amp;"元整"</f>
        <v>陆佰壹拾捌万元整</v>
      </c>
      <c r="O60" s="2130"/>
    </row>
    <row r="61" spans="1:35" ht="12.75" hidden="1">
      <c r="A61" s="3112" t="s">
        <v>826</v>
      </c>
      <c r="B61" s="3112"/>
      <c r="C61" s="3112"/>
      <c r="D61" s="3112"/>
      <c r="E61" s="3112"/>
      <c r="F61" s="2092"/>
      <c r="G61" s="2092"/>
      <c r="H61" s="2099"/>
      <c r="I61" s="276"/>
      <c r="J61" s="719">
        <f>J59+1</f>
        <v>6</v>
      </c>
      <c r="K61" s="3102" t="s">
        <v>827</v>
      </c>
      <c r="L61" s="3102"/>
      <c r="M61" s="2135"/>
      <c r="N61" s="2136">
        <f ca="1">ROUND(N59*10000/'数据-汇总表'!E3,0)</f>
        <v>180</v>
      </c>
      <c r="O61" s="2137"/>
    </row>
    <row r="62" spans="1:35" ht="12.75" hidden="1">
      <c r="A62" s="3113" t="s">
        <v>828</v>
      </c>
      <c r="B62" s="3114"/>
      <c r="C62" s="625"/>
      <c r="D62" s="625" t="s">
        <v>829</v>
      </c>
      <c r="E62" s="2100" t="s">
        <v>783</v>
      </c>
      <c r="F62" s="2092"/>
      <c r="G62" s="2092"/>
      <c r="H62" s="2099"/>
      <c r="I62" s="276"/>
    </row>
    <row r="63" spans="1:35" ht="12.75" hidden="1">
      <c r="A63" s="2101" t="s">
        <v>830</v>
      </c>
      <c r="B63" s="2102" t="s">
        <v>831</v>
      </c>
      <c r="C63" s="2103">
        <f ca="1">ROUND((C64+C65)/(1+'数据-取费表'!C42),0)</f>
        <v>1362</v>
      </c>
      <c r="D63" s="2104"/>
      <c r="E63" s="2105"/>
      <c r="F63" s="2092"/>
      <c r="G63" s="2092"/>
      <c r="H63" s="2099"/>
      <c r="I63" s="276"/>
      <c r="J63" s="3119" t="s">
        <v>832</v>
      </c>
      <c r="K63" s="2138" t="s">
        <v>833</v>
      </c>
      <c r="L63" s="2139">
        <f ca="1">IF(M49&gt;10000,M49*0.5%,IF(AND(M49&gt;1000,M49&lt;=10000),M49*1%,IF(AND(M49&gt;100,M49&lt;=1000),M49*3%,IF(AND(M49&gt;10,M49&lt;=100),M49*5%,M49*8%))))</f>
        <v>14.3</v>
      </c>
      <c r="M63" s="287">
        <f ca="1">ROUND(L63,1)</f>
        <v>14.3</v>
      </c>
      <c r="Z63" s="1966"/>
      <c r="AI63" s="1967"/>
    </row>
    <row r="64" spans="1:35" ht="14.25" hidden="1" customHeight="1">
      <c r="A64" s="2106" t="s">
        <v>834</v>
      </c>
      <c r="B64" s="577" t="s">
        <v>835</v>
      </c>
      <c r="C64" s="2107">
        <f ca="1">D45</f>
        <v>1430</v>
      </c>
      <c r="D64" s="602" t="s">
        <v>124</v>
      </c>
      <c r="E64" s="2108"/>
      <c r="F64" s="2092"/>
      <c r="G64" s="2092"/>
      <c r="H64" s="2099"/>
      <c r="I64" s="276"/>
      <c r="J64" s="3119"/>
      <c r="K64" s="2138" t="s">
        <v>836</v>
      </c>
      <c r="L64" s="2139">
        <f ca="1">IF(M49&gt;2000,M49*0.5%,IF(AND(M49&gt;1000,M49&lt;=2000),M49*0.6%,IF(AND(M49&gt;500,M49&lt;=1000),M49*0.7%,IF(AND(M49&gt;200,M49&lt;=500),M49*0.8%,IF(AND(M49&gt;100,M49&lt;=200),M49*0.9%,IF(AND(M49&gt;50,M49&lt;=100),M49*1%,IF(AND(M49&gt;20,M49&lt;=50),M49*1.5%,IF(AND(M49&gt;10,M49&lt;=20),M49*2%,IF(AND(M49&gt;1,M49&lt;=10),M49*2.5%)))))))))</f>
        <v>8.58</v>
      </c>
      <c r="M64" s="287">
        <f t="shared" ref="M64:M65" ca="1" si="1">ROUND(L64,1)</f>
        <v>8.6</v>
      </c>
      <c r="N64" s="276" t="s">
        <v>837</v>
      </c>
      <c r="Z64" s="1966"/>
      <c r="AI64" s="1967"/>
    </row>
    <row r="65" spans="1:35" ht="14.25" hidden="1" customHeight="1">
      <c r="A65" s="2106" t="s">
        <v>838</v>
      </c>
      <c r="B65" s="577" t="s">
        <v>839</v>
      </c>
      <c r="C65" s="2140"/>
      <c r="D65" s="602"/>
      <c r="E65" s="2108"/>
      <c r="F65" s="2092"/>
      <c r="G65" s="2092"/>
      <c r="H65" s="2099"/>
      <c r="I65" s="276"/>
      <c r="J65" s="3119"/>
      <c r="K65" s="2138" t="s">
        <v>840</v>
      </c>
      <c r="L65" s="2139">
        <f ca="1">IF(M49&gt;1000,M49*0.1%,IF(AND(M49&gt;500,M49&lt;=1000),M49*0.5%,IF(AND(M49&gt;50,M49&lt;=500),M49*1%,IF(AND(M49&gt;1,M49&lt;=50),M49*1.5%))))</f>
        <v>1.43</v>
      </c>
      <c r="M65" s="287">
        <f t="shared" ca="1" si="1"/>
        <v>1.4</v>
      </c>
      <c r="N65" s="276" t="s">
        <v>837</v>
      </c>
      <c r="Z65" s="1966"/>
      <c r="AI65" s="1967"/>
    </row>
    <row r="66" spans="1:35" ht="14.25" hidden="1" customHeight="1">
      <c r="A66" s="2101" t="s">
        <v>841</v>
      </c>
      <c r="B66" s="2141" t="s">
        <v>842</v>
      </c>
      <c r="C66" s="2142"/>
      <c r="D66" s="668" t="s">
        <v>124</v>
      </c>
      <c r="E66" s="2143" t="s">
        <v>843</v>
      </c>
      <c r="F66" s="2092"/>
      <c r="G66" s="2092"/>
      <c r="H66" s="2099"/>
      <c r="I66" s="276"/>
      <c r="J66" s="3119"/>
      <c r="K66" s="2138" t="s">
        <v>844</v>
      </c>
      <c r="L66" s="2139">
        <f ca="1">M49*0.5%</f>
        <v>7.15</v>
      </c>
      <c r="M66" s="287">
        <f ca="1">IF(L66&gt;0.5,0.5,ROUND(L66,0))</f>
        <v>0.5</v>
      </c>
      <c r="N66" s="276" t="s">
        <v>845</v>
      </c>
      <c r="Z66" s="1966"/>
      <c r="AI66" s="1967"/>
    </row>
    <row r="67" spans="1:35" ht="14.25" hidden="1" customHeight="1">
      <c r="A67" s="2101" t="s">
        <v>846</v>
      </c>
      <c r="B67" s="2141" t="s">
        <v>847</v>
      </c>
      <c r="C67" s="2144">
        <f ca="1">C63-C66</f>
        <v>1362</v>
      </c>
      <c r="D67" s="602" t="s">
        <v>124</v>
      </c>
      <c r="E67" s="2108"/>
      <c r="F67" s="2092"/>
      <c r="G67" s="2092"/>
      <c r="H67" s="2099"/>
      <c r="I67" s="276"/>
      <c r="J67" s="3119"/>
      <c r="K67" s="2138" t="s">
        <v>848</v>
      </c>
      <c r="L67" s="2139">
        <f ca="1">IF(M49&gt;=10000,(8.25+(M49-10000)*0.01%),IF(AND(M49&gt;=8000,M49&lt;10000),(7.85+(M49-8000)*0.02%),IF(AND(M49&gt;=5000,M49&lt;8000),(6.65+(M49-5000)*0.04%),IF(AND(M49&gt;=2000,M49&lt;5000),(4.25+(PM49-2000)*0.08%),IF(AND(M49&gt;=1000,M49&lt;2000),(2.75+(M49-1000)*0.15%),IF(AND(M49&gt;=100,M49&lt;1000),(0.5+(M49-100)*0.25%),IF(AND(M49&gt;0,M49&lt;100),M49*0.5%)))))))</f>
        <v>3.395</v>
      </c>
      <c r="M67" s="287">
        <f ca="1">ROUND(L67*0.9,1)</f>
        <v>3.1</v>
      </c>
      <c r="Z67" s="1966"/>
      <c r="AI67" s="1967"/>
    </row>
    <row r="68" spans="1:35" ht="14.25" hidden="1" customHeight="1">
      <c r="A68" s="2145" t="s">
        <v>849</v>
      </c>
      <c r="B68" s="2146" t="s">
        <v>850</v>
      </c>
      <c r="C68" s="2147">
        <f ca="1">IF(C67&lt;=0,0,ROUND(C67*D68,0))</f>
        <v>75</v>
      </c>
      <c r="D68" s="765">
        <f>'数据-取费表'!B41</f>
        <v>5.5E-2</v>
      </c>
      <c r="E68" s="2148"/>
      <c r="F68" s="2092"/>
      <c r="G68" s="2092"/>
      <c r="H68" s="2099"/>
      <c r="I68" s="276"/>
      <c r="J68" s="3119"/>
      <c r="K68" s="2138" t="s">
        <v>851</v>
      </c>
      <c r="L68" s="2139">
        <f ca="1">IF(M49&gt;10000,M49*0.5%,IF(AND(M49&gt;5000,M49&lt;=10000),M49*1%,IF(AND(M49&gt;1000,M49&lt;=5000),M49*2%,IF(AND(M49&gt;200,M49&lt;=1000),M49*3%,M49*5%))))</f>
        <v>28.6</v>
      </c>
      <c r="M68" s="287">
        <f ca="1">ROUND(L68,1)</f>
        <v>28.6</v>
      </c>
      <c r="Z68" s="1966"/>
      <c r="AI68" s="1967"/>
    </row>
    <row r="69" spans="1:35" s="1964" customFormat="1" ht="16.5" hidden="1" customHeight="1">
      <c r="A69" s="2149"/>
      <c r="B69" s="2150"/>
      <c r="C69" s="2151"/>
      <c r="D69" s="726"/>
      <c r="E69" s="2152"/>
      <c r="F69" s="2098"/>
      <c r="G69" s="2098"/>
      <c r="H69" s="2053"/>
      <c r="I69" s="1969"/>
      <c r="J69" s="3119"/>
      <c r="K69" s="2138" t="s">
        <v>852</v>
      </c>
      <c r="L69" s="2212"/>
      <c r="M69" s="287">
        <f ca="1">ROUND(SUM(M63:M68),0)</f>
        <v>57</v>
      </c>
      <c r="N69" s="2127">
        <f ca="1">M69/M49</f>
        <v>3.9860139860139858E-2</v>
      </c>
      <c r="O69" s="233"/>
      <c r="P69" s="233"/>
      <c r="Q69" s="233"/>
      <c r="R69" s="233"/>
      <c r="S69" s="233"/>
      <c r="T69" s="233"/>
      <c r="U69" s="233"/>
      <c r="V69" s="233"/>
      <c r="W69" s="233"/>
      <c r="X69" s="233"/>
      <c r="Y69" s="233"/>
      <c r="Z69" s="1966"/>
      <c r="AA69" s="1966"/>
      <c r="AB69" s="1966"/>
      <c r="AC69" s="1966"/>
      <c r="AD69" s="1966"/>
      <c r="AE69" s="1966"/>
      <c r="AF69" s="1966"/>
      <c r="AG69" s="1966"/>
      <c r="AH69" s="1966"/>
    </row>
    <row r="70" spans="1:35" s="1965" customFormat="1" ht="14.25" hidden="1">
      <c r="A70" s="3115" t="s">
        <v>853</v>
      </c>
      <c r="B70" s="3116"/>
      <c r="C70" s="3116"/>
      <c r="D70" s="3116"/>
      <c r="E70" s="3116"/>
      <c r="F70" s="3116"/>
      <c r="G70" s="3116"/>
      <c r="H70" s="3116"/>
      <c r="I70" s="2213"/>
      <c r="N70" s="2214"/>
      <c r="O70" s="2214"/>
      <c r="P70" s="2214"/>
      <c r="Q70" s="2214"/>
      <c r="R70" s="2214"/>
      <c r="S70" s="2214"/>
      <c r="T70" s="2214"/>
      <c r="U70" s="2214"/>
      <c r="V70" s="2214"/>
      <c r="W70" s="2214"/>
      <c r="X70" s="2214"/>
      <c r="Y70" s="2214"/>
      <c r="Z70" s="2214"/>
      <c r="AA70" s="2220"/>
      <c r="AB70" s="2220"/>
      <c r="AC70" s="2220"/>
      <c r="AD70" s="2220"/>
      <c r="AE70" s="2220"/>
      <c r="AF70" s="2220"/>
      <c r="AG70" s="2220"/>
      <c r="AH70" s="2220"/>
      <c r="AI70" s="2220"/>
    </row>
    <row r="71" spans="1:35" s="1965" customFormat="1" ht="14.25" hidden="1">
      <c r="A71" s="3113" t="s">
        <v>828</v>
      </c>
      <c r="B71" s="3114"/>
      <c r="C71" s="625"/>
      <c r="D71" s="625" t="s">
        <v>829</v>
      </c>
      <c r="E71" s="2153" t="s">
        <v>783</v>
      </c>
      <c r="F71" s="2154"/>
      <c r="G71" s="2154"/>
      <c r="H71" s="2155"/>
      <c r="I71" s="2215"/>
      <c r="N71" s="2214"/>
      <c r="O71" s="2214"/>
      <c r="P71" s="2214"/>
      <c r="Q71" s="2214"/>
      <c r="R71" s="2214"/>
      <c r="S71" s="2214"/>
      <c r="T71" s="2214"/>
      <c r="U71" s="2214"/>
      <c r="V71" s="2214"/>
      <c r="W71" s="2214"/>
      <c r="X71" s="2214"/>
      <c r="Y71" s="2214"/>
      <c r="Z71" s="2214"/>
      <c r="AA71" s="2220"/>
      <c r="AB71" s="2220"/>
      <c r="AC71" s="2220"/>
      <c r="AD71" s="2220"/>
      <c r="AE71" s="2220"/>
      <c r="AF71" s="2220"/>
      <c r="AG71" s="2220"/>
      <c r="AH71" s="2220"/>
      <c r="AI71" s="2220"/>
    </row>
    <row r="72" spans="1:35" s="1965" customFormat="1" ht="14.25" hidden="1">
      <c r="A72" s="2101" t="s">
        <v>830</v>
      </c>
      <c r="B72" s="2141" t="s">
        <v>854</v>
      </c>
      <c r="C72" s="2144">
        <f ca="1">ROUND(D45/(1+'数据-取费表'!C42),0)</f>
        <v>1362</v>
      </c>
      <c r="D72" s="602" t="s">
        <v>124</v>
      </c>
      <c r="E72" s="1623"/>
      <c r="F72" s="1624"/>
      <c r="G72" s="1624"/>
      <c r="H72" s="2156"/>
      <c r="I72" s="2215"/>
      <c r="N72" s="2214"/>
      <c r="O72" s="2214"/>
      <c r="P72" s="2214"/>
      <c r="Q72" s="2214"/>
      <c r="R72" s="2214"/>
      <c r="S72" s="2214"/>
      <c r="T72" s="2214"/>
      <c r="U72" s="2214"/>
      <c r="V72" s="2214"/>
      <c r="W72" s="2214"/>
      <c r="X72" s="2214"/>
      <c r="Y72" s="2214"/>
      <c r="Z72" s="2214"/>
      <c r="AA72" s="2220"/>
      <c r="AB72" s="2220"/>
      <c r="AC72" s="2220"/>
      <c r="AD72" s="2220"/>
      <c r="AE72" s="2220"/>
      <c r="AF72" s="2220"/>
      <c r="AG72" s="2220"/>
      <c r="AH72" s="2220"/>
      <c r="AI72" s="2220"/>
    </row>
    <row r="73" spans="1:35" s="1965" customFormat="1" ht="14.25" hidden="1">
      <c r="A73" s="2101" t="s">
        <v>841</v>
      </c>
      <c r="B73" s="2067" t="s">
        <v>855</v>
      </c>
      <c r="C73" s="2144">
        <f ca="1">C74+C78</f>
        <v>7</v>
      </c>
      <c r="D73" s="602" t="s">
        <v>124</v>
      </c>
      <c r="E73" s="1623"/>
      <c r="F73" s="1624"/>
      <c r="G73" s="1624"/>
      <c r="H73" s="2156"/>
      <c r="I73" s="2215"/>
      <c r="J73" s="2214"/>
      <c r="K73" s="2214"/>
      <c r="L73" s="2214"/>
      <c r="M73" s="2214"/>
      <c r="N73" s="2214"/>
      <c r="O73" s="2214"/>
      <c r="P73" s="2214"/>
      <c r="Q73" s="2214"/>
      <c r="R73" s="2214"/>
      <c r="S73" s="2214"/>
      <c r="T73" s="2214"/>
      <c r="U73" s="2214"/>
      <c r="V73" s="2214"/>
      <c r="W73" s="2214"/>
      <c r="X73" s="2214"/>
      <c r="Y73" s="2214"/>
      <c r="Z73" s="2214"/>
      <c r="AA73" s="2220"/>
      <c r="AB73" s="2220"/>
      <c r="AC73" s="2220"/>
      <c r="AD73" s="2220"/>
      <c r="AE73" s="2220"/>
      <c r="AF73" s="2220"/>
      <c r="AG73" s="2220"/>
      <c r="AH73" s="2220"/>
      <c r="AI73" s="2220"/>
    </row>
    <row r="74" spans="1:35" s="1965" customFormat="1" ht="24" hidden="1">
      <c r="A74" s="2157" t="s">
        <v>834</v>
      </c>
      <c r="B74" s="577" t="s">
        <v>856</v>
      </c>
      <c r="C74" s="602">
        <f>ROUND(IF(G77="2016年5月1日后购买",C75/(1+'数据-取费表'!C42)+C76+C77,C75+C76+C77),0)</f>
        <v>0</v>
      </c>
      <c r="D74" s="602" t="s">
        <v>124</v>
      </c>
      <c r="E74" s="1623"/>
      <c r="F74" s="1624"/>
      <c r="G74" s="1624"/>
      <c r="H74" s="2156"/>
      <c r="I74" s="2215"/>
      <c r="J74" s="2214"/>
      <c r="K74" s="2214"/>
      <c r="L74" s="2214"/>
      <c r="M74" s="2214"/>
      <c r="N74" s="2214"/>
      <c r="O74" s="2214"/>
      <c r="P74" s="2214"/>
      <c r="Q74" s="2214"/>
      <c r="R74" s="2214"/>
      <c r="S74" s="2214"/>
      <c r="T74" s="2214"/>
      <c r="U74" s="2214"/>
      <c r="V74" s="2214"/>
      <c r="W74" s="2214"/>
      <c r="X74" s="2214"/>
      <c r="Y74" s="2214"/>
      <c r="Z74" s="2214"/>
      <c r="AA74" s="2220"/>
      <c r="AB74" s="2220"/>
      <c r="AC74" s="2220"/>
      <c r="AD74" s="2220"/>
      <c r="AE74" s="2220"/>
      <c r="AF74" s="2220"/>
      <c r="AG74" s="2220"/>
      <c r="AH74" s="2220"/>
      <c r="AI74" s="2220"/>
    </row>
    <row r="75" spans="1:35" s="1965" customFormat="1" ht="14.25" hidden="1">
      <c r="A75" s="2157" t="s">
        <v>857</v>
      </c>
      <c r="B75" s="577" t="s">
        <v>858</v>
      </c>
      <c r="C75" s="706"/>
      <c r="D75" s="602" t="s">
        <v>124</v>
      </c>
      <c r="E75" s="2158" t="s">
        <v>859</v>
      </c>
      <c r="F75" s="2159" t="s">
        <v>860</v>
      </c>
      <c r="G75" s="2158" t="s">
        <v>861</v>
      </c>
      <c r="H75" s="2160"/>
      <c r="I75" s="2216"/>
      <c r="J75" s="2214"/>
      <c r="K75" s="2214"/>
      <c r="L75" s="2214"/>
      <c r="M75" s="2214"/>
      <c r="N75" s="2214"/>
      <c r="O75" s="2214"/>
      <c r="P75" s="2214"/>
      <c r="Q75" s="2214"/>
      <c r="R75" s="2214"/>
      <c r="S75" s="2214"/>
      <c r="T75" s="2214"/>
      <c r="U75" s="2214"/>
      <c r="V75" s="2214"/>
      <c r="W75" s="2214"/>
      <c r="X75" s="2214"/>
      <c r="Y75" s="2214"/>
      <c r="Z75" s="2214"/>
      <c r="AA75" s="2220"/>
      <c r="AB75" s="2220"/>
      <c r="AC75" s="2220"/>
      <c r="AD75" s="2220"/>
      <c r="AE75" s="2220"/>
      <c r="AF75" s="2220"/>
      <c r="AG75" s="2220"/>
      <c r="AH75" s="2220"/>
      <c r="AI75" s="2220"/>
    </row>
    <row r="76" spans="1:35" s="1965" customFormat="1" ht="24.75" hidden="1" customHeight="1">
      <c r="A76" s="2157" t="s">
        <v>862</v>
      </c>
      <c r="B76" s="2161" t="s">
        <v>863</v>
      </c>
      <c r="C76" s="602">
        <f>IF(F75="购房发票",ROUND(C75*H75*D76,0),0)</f>
        <v>0</v>
      </c>
      <c r="D76" s="2162">
        <v>0.05</v>
      </c>
      <c r="E76" s="3103" t="s">
        <v>864</v>
      </c>
      <c r="F76" s="3098"/>
      <c r="G76" s="3098"/>
      <c r="H76" s="3120"/>
      <c r="I76" s="2215"/>
      <c r="J76" s="2214"/>
      <c r="K76" s="2214"/>
      <c r="L76" s="2214"/>
      <c r="M76" s="2214"/>
      <c r="N76" s="2214"/>
      <c r="O76" s="2214"/>
      <c r="P76" s="2214"/>
      <c r="Q76" s="2214"/>
      <c r="R76" s="2214"/>
      <c r="S76" s="2214"/>
      <c r="T76" s="2214"/>
      <c r="U76" s="2214"/>
      <c r="V76" s="2214"/>
      <c r="W76" s="2214"/>
      <c r="X76" s="2214"/>
      <c r="Y76" s="2214"/>
      <c r="Z76" s="2214"/>
      <c r="AA76" s="2220"/>
      <c r="AB76" s="2220"/>
      <c r="AC76" s="2220"/>
      <c r="AD76" s="2220"/>
      <c r="AE76" s="2220"/>
      <c r="AF76" s="2220"/>
      <c r="AG76" s="2220"/>
      <c r="AH76" s="2220"/>
      <c r="AI76" s="2220"/>
    </row>
    <row r="77" spans="1:35" s="1965" customFormat="1" ht="24.75" hidden="1" customHeight="1">
      <c r="A77" s="2157" t="s">
        <v>865</v>
      </c>
      <c r="B77" s="577" t="s">
        <v>866</v>
      </c>
      <c r="C77" s="602">
        <f>ROUND(IF(G77="个人住宅",0,IF(G77="2016年5月1日前购买",C75*D77,C75*D77/(1+'数据-取费表'!C42))),0)</f>
        <v>0</v>
      </c>
      <c r="D77" s="2164">
        <f>'数据-取费表'!B48+'数据-取费表'!B49</f>
        <v>3.0499999999999999E-2</v>
      </c>
      <c r="E77" s="1741" t="s">
        <v>867</v>
      </c>
      <c r="F77" s="2165"/>
      <c r="G77" s="2166" t="s">
        <v>868</v>
      </c>
      <c r="H77" s="2163" t="str">
        <f>IF(G77="个人买卖住房","免征印花税"," ")</f>
        <v xml:space="preserve"> </v>
      </c>
      <c r="I77" s="2215"/>
      <c r="J77" s="2214"/>
      <c r="K77" s="2214"/>
      <c r="L77" s="2214"/>
      <c r="M77" s="2214"/>
      <c r="N77" s="2214"/>
      <c r="O77" s="2214"/>
      <c r="P77" s="2214"/>
      <c r="Q77" s="2214"/>
      <c r="R77" s="2214"/>
      <c r="S77" s="2214"/>
      <c r="T77" s="2214"/>
      <c r="U77" s="2214"/>
      <c r="V77" s="2214"/>
      <c r="W77" s="2214"/>
      <c r="X77" s="2214"/>
      <c r="Y77" s="2214"/>
      <c r="Z77" s="2214"/>
      <c r="AA77" s="2220"/>
      <c r="AB77" s="2220"/>
      <c r="AC77" s="2220"/>
      <c r="AD77" s="2220"/>
      <c r="AE77" s="2220"/>
      <c r="AF77" s="2220"/>
      <c r="AG77" s="2220"/>
      <c r="AH77" s="2220"/>
      <c r="AI77" s="2220"/>
    </row>
    <row r="78" spans="1:35" s="1965" customFormat="1" ht="24.75" hidden="1" customHeight="1">
      <c r="A78" s="2157" t="s">
        <v>838</v>
      </c>
      <c r="B78" s="577" t="s">
        <v>869</v>
      </c>
      <c r="C78" s="2167">
        <f ca="1">ROUND(D45*D78/(1+'数据-取费表'!C42),0)</f>
        <v>7</v>
      </c>
      <c r="D78" s="2168">
        <f>'数据-取费表'!B43</f>
        <v>5.0000000000000001E-3</v>
      </c>
      <c r="E78" s="3121" t="s">
        <v>870</v>
      </c>
      <c r="F78" s="3122"/>
      <c r="G78" s="3122"/>
      <c r="H78" s="3123"/>
      <c r="I78" s="2217"/>
      <c r="J78" s="2214"/>
      <c r="K78" s="2214"/>
      <c r="L78" s="2214"/>
      <c r="M78" s="2214"/>
      <c r="N78" s="2214"/>
      <c r="O78" s="2214"/>
      <c r="P78" s="2214"/>
      <c r="Q78" s="2214"/>
      <c r="R78" s="2214"/>
      <c r="S78" s="2214"/>
      <c r="T78" s="2214"/>
      <c r="U78" s="2214"/>
      <c r="V78" s="2214"/>
      <c r="W78" s="2214"/>
      <c r="X78" s="2214"/>
      <c r="Y78" s="2214"/>
      <c r="Z78" s="2214"/>
      <c r="AA78" s="2220"/>
      <c r="AB78" s="2220"/>
      <c r="AC78" s="2220"/>
      <c r="AD78" s="2220"/>
      <c r="AE78" s="2220"/>
      <c r="AF78" s="2220"/>
      <c r="AG78" s="2220"/>
      <c r="AH78" s="2220"/>
      <c r="AI78" s="2220"/>
    </row>
    <row r="79" spans="1:35" s="1965" customFormat="1" ht="14.25" hidden="1">
      <c r="A79" s="2172" t="s">
        <v>846</v>
      </c>
      <c r="B79" s="2141" t="s">
        <v>871</v>
      </c>
      <c r="C79" s="2144">
        <f ca="1">C72-C73</f>
        <v>1355</v>
      </c>
      <c r="D79" s="602" t="s">
        <v>124</v>
      </c>
      <c r="E79" s="1623"/>
      <c r="F79" s="1624"/>
      <c r="G79" s="1624"/>
      <c r="H79" s="2156"/>
      <c r="I79" s="2215"/>
      <c r="J79" s="2214"/>
      <c r="K79" s="2214"/>
      <c r="L79" s="2214"/>
      <c r="M79" s="2214"/>
      <c r="N79" s="2214"/>
      <c r="O79" s="2214"/>
      <c r="P79" s="2214"/>
      <c r="Q79" s="2214"/>
      <c r="R79" s="2214"/>
      <c r="S79" s="2214"/>
      <c r="T79" s="2214"/>
      <c r="U79" s="2214"/>
      <c r="V79" s="2214"/>
      <c r="W79" s="2214"/>
      <c r="X79" s="2214"/>
      <c r="Y79" s="2214"/>
      <c r="Z79" s="2214"/>
      <c r="AA79" s="2220"/>
      <c r="AB79" s="2220"/>
      <c r="AC79" s="2220"/>
      <c r="AD79" s="2220"/>
      <c r="AE79" s="2220"/>
      <c r="AF79" s="2220"/>
      <c r="AG79" s="2220"/>
      <c r="AH79" s="2220"/>
      <c r="AI79" s="2220"/>
    </row>
    <row r="80" spans="1:35" s="1965" customFormat="1" ht="24" hidden="1">
      <c r="A80" s="2172" t="s">
        <v>849</v>
      </c>
      <c r="B80" s="2141" t="s">
        <v>872</v>
      </c>
      <c r="C80" s="2173">
        <f ca="1">IF(C79&lt;=0,0,C79/C73)</f>
        <v>193.57142857142858</v>
      </c>
      <c r="D80" s="602"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156"/>
      <c r="I80" s="2215"/>
      <c r="J80" s="2214"/>
      <c r="K80" s="2214"/>
      <c r="L80" s="2214"/>
      <c r="M80" s="2214"/>
      <c r="N80" s="2214"/>
      <c r="O80" s="2214"/>
      <c r="P80" s="2214"/>
      <c r="Q80" s="2214"/>
      <c r="R80" s="2214"/>
      <c r="S80" s="2214"/>
      <c r="T80" s="2214"/>
      <c r="U80" s="2214"/>
      <c r="V80" s="2214"/>
      <c r="W80" s="2214"/>
      <c r="X80" s="2214"/>
      <c r="Y80" s="2214"/>
      <c r="Z80" s="2214"/>
      <c r="AA80" s="2220"/>
      <c r="AB80" s="2220"/>
      <c r="AC80" s="2220"/>
      <c r="AD80" s="2220"/>
      <c r="AE80" s="2220"/>
      <c r="AF80" s="2220"/>
      <c r="AG80" s="2220"/>
      <c r="AH80" s="2220"/>
      <c r="AI80" s="2220"/>
    </row>
    <row r="81" spans="1:35" s="1965" customFormat="1" ht="24" hidden="1">
      <c r="A81" s="2174" t="s">
        <v>873</v>
      </c>
      <c r="B81" s="2146" t="s">
        <v>874</v>
      </c>
      <c r="C81" s="2175">
        <f ca="1">ROUND(IF(C79&lt;=0,0,IF(C80&gt;=200%,C79*60%-C73*35%,IF(C80&gt;=100%,C79*50%-C73*15%,IF(C80&gt;=50%,C79*40%-C73*5%,IF(C80&lt;50%,C79*30%,0))))),0)</f>
        <v>811</v>
      </c>
      <c r="D81" s="623"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15"/>
      <c r="J81" s="2214"/>
      <c r="K81" s="2214"/>
      <c r="L81" s="2214"/>
      <c r="M81" s="2214"/>
      <c r="N81" s="2214"/>
      <c r="O81" s="2214"/>
      <c r="P81" s="2214"/>
      <c r="Q81" s="2214"/>
      <c r="R81" s="2214"/>
      <c r="S81" s="2214"/>
      <c r="T81" s="2214"/>
      <c r="U81" s="2214"/>
      <c r="V81" s="2214"/>
      <c r="W81" s="2214"/>
      <c r="X81" s="2214"/>
      <c r="Y81" s="2214"/>
      <c r="Z81" s="2214"/>
      <c r="AA81" s="2220"/>
      <c r="AB81" s="2220"/>
      <c r="AC81" s="2220"/>
      <c r="AD81" s="2220"/>
      <c r="AE81" s="2220"/>
      <c r="AF81" s="2220"/>
      <c r="AG81" s="2220"/>
      <c r="AH81" s="2220"/>
      <c r="AI81" s="2220"/>
    </row>
    <row r="82" spans="1:35" s="1965" customFormat="1" ht="7.5" hidden="1" customHeight="1">
      <c r="A82" s="2179"/>
      <c r="B82" s="2180"/>
      <c r="C82" s="710"/>
      <c r="D82" s="710"/>
      <c r="E82" s="2180"/>
      <c r="F82" s="2180"/>
      <c r="G82" s="2180"/>
      <c r="H82" s="2181"/>
      <c r="I82" s="2217"/>
      <c r="J82" s="2214"/>
      <c r="K82" s="2214"/>
      <c r="L82" s="2214"/>
      <c r="M82" s="2214"/>
      <c r="N82" s="2214"/>
      <c r="O82" s="2214"/>
      <c r="P82" s="2214"/>
      <c r="Q82" s="2214"/>
      <c r="R82" s="2214"/>
      <c r="S82" s="2214"/>
      <c r="T82" s="2214"/>
      <c r="U82" s="2214"/>
      <c r="V82" s="2214"/>
      <c r="W82" s="2214"/>
      <c r="X82" s="2214"/>
      <c r="Y82" s="2214"/>
      <c r="Z82" s="2214"/>
      <c r="AA82" s="2220"/>
      <c r="AB82" s="2220"/>
      <c r="AC82" s="2220"/>
      <c r="AD82" s="2220"/>
      <c r="AE82" s="2220"/>
      <c r="AF82" s="2220"/>
      <c r="AG82" s="2220"/>
      <c r="AH82" s="2220"/>
      <c r="AI82" s="2220"/>
    </row>
    <row r="83" spans="1:35" s="1965" customFormat="1" ht="14.25" hidden="1">
      <c r="A83" s="3115" t="s">
        <v>875</v>
      </c>
      <c r="B83" s="3116"/>
      <c r="C83" s="3116"/>
      <c r="D83" s="3116"/>
      <c r="E83" s="3116"/>
      <c r="F83" s="3116"/>
      <c r="G83" s="3116"/>
      <c r="H83" s="3116"/>
      <c r="I83" s="2216"/>
      <c r="J83" s="2214"/>
      <c r="K83" s="2214"/>
      <c r="L83" s="2214"/>
      <c r="M83" s="2214"/>
      <c r="N83" s="2214"/>
      <c r="O83" s="2214"/>
      <c r="P83" s="2214"/>
      <c r="Q83" s="2214"/>
      <c r="R83" s="2214"/>
      <c r="S83" s="2214"/>
      <c r="T83" s="2214"/>
      <c r="U83" s="2214"/>
      <c r="V83" s="2214"/>
      <c r="W83" s="2214"/>
      <c r="X83" s="2214"/>
      <c r="Y83" s="2214"/>
      <c r="Z83" s="2214"/>
      <c r="AA83" s="2220"/>
      <c r="AB83" s="2220"/>
      <c r="AC83" s="2220"/>
      <c r="AD83" s="2220"/>
      <c r="AE83" s="2220"/>
      <c r="AF83" s="2220"/>
      <c r="AG83" s="2220"/>
      <c r="AH83" s="2220"/>
      <c r="AI83" s="2220"/>
    </row>
    <row r="84" spans="1:35" s="1965" customFormat="1" ht="14.25" hidden="1">
      <c r="A84" s="3113" t="s">
        <v>828</v>
      </c>
      <c r="B84" s="3114"/>
      <c r="C84" s="625"/>
      <c r="D84" s="625" t="s">
        <v>829</v>
      </c>
      <c r="E84" s="2153" t="s">
        <v>783</v>
      </c>
      <c r="F84" s="2154"/>
      <c r="G84" s="2154"/>
      <c r="H84" s="2182"/>
      <c r="I84" s="2216"/>
      <c r="J84" s="2214"/>
      <c r="K84" s="2214"/>
      <c r="L84" s="2214"/>
      <c r="M84" s="2214"/>
      <c r="N84" s="2214"/>
      <c r="O84" s="2214"/>
      <c r="P84" s="2214"/>
      <c r="Q84" s="2214"/>
      <c r="R84" s="2214"/>
      <c r="S84" s="2214"/>
      <c r="T84" s="2214"/>
      <c r="U84" s="2214"/>
      <c r="V84" s="2214"/>
      <c r="W84" s="2214"/>
      <c r="X84" s="2214"/>
      <c r="Y84" s="2214"/>
      <c r="Z84" s="2214"/>
      <c r="AA84" s="2220"/>
      <c r="AB84" s="2220"/>
      <c r="AC84" s="2220"/>
      <c r="AD84" s="2220"/>
      <c r="AE84" s="2220"/>
      <c r="AF84" s="2220"/>
      <c r="AG84" s="2220"/>
      <c r="AH84" s="2220"/>
      <c r="AI84" s="2220"/>
    </row>
    <row r="85" spans="1:35" s="1965" customFormat="1" ht="14.25" hidden="1">
      <c r="A85" s="2101" t="s">
        <v>830</v>
      </c>
      <c r="B85" s="2141" t="s">
        <v>854</v>
      </c>
      <c r="C85" s="2144">
        <f ca="1">ROUND(D45/(1+'数据-取费表'!C42),0)</f>
        <v>1362</v>
      </c>
      <c r="D85" s="602" t="s">
        <v>124</v>
      </c>
      <c r="E85" s="1623"/>
      <c r="F85" s="1624"/>
      <c r="G85" s="1624"/>
      <c r="H85" s="2183"/>
      <c r="I85" s="2216"/>
      <c r="J85" s="2214"/>
      <c r="K85" s="2214"/>
      <c r="L85" s="2214"/>
      <c r="M85" s="2214"/>
      <c r="N85" s="2214"/>
      <c r="O85" s="2214"/>
      <c r="P85" s="2214"/>
      <c r="Q85" s="2214"/>
      <c r="R85" s="2214"/>
      <c r="S85" s="2214"/>
      <c r="T85" s="2214"/>
      <c r="U85" s="2214"/>
      <c r="V85" s="2214"/>
      <c r="W85" s="2214"/>
      <c r="X85" s="2214"/>
      <c r="Y85" s="2214"/>
      <c r="Z85" s="2214"/>
      <c r="AA85" s="2220"/>
      <c r="AB85" s="2220"/>
      <c r="AC85" s="2220"/>
      <c r="AD85" s="2220"/>
      <c r="AE85" s="2220"/>
      <c r="AF85" s="2220"/>
      <c r="AG85" s="2220"/>
      <c r="AH85" s="2220"/>
      <c r="AI85" s="2220"/>
    </row>
    <row r="86" spans="1:35" s="1965" customFormat="1" ht="14.25" hidden="1">
      <c r="A86" s="2101" t="s">
        <v>841</v>
      </c>
      <c r="B86" s="2067" t="s">
        <v>855</v>
      </c>
      <c r="C86" s="2144">
        <f ca="1">IF(H88="仅含出让金",C87+C90+C91+C92+C93+C94,C87+C91+C92+C93+C94)</f>
        <v>7</v>
      </c>
      <c r="D86" s="2184"/>
      <c r="E86" s="1623"/>
      <c r="F86" s="1624"/>
      <c r="G86" s="1624"/>
      <c r="H86" s="2183"/>
      <c r="I86" s="2216"/>
      <c r="J86" s="2214"/>
      <c r="K86" s="2214"/>
      <c r="L86" s="2214"/>
      <c r="M86" s="2214"/>
      <c r="N86" s="2214"/>
      <c r="O86" s="2214"/>
      <c r="P86" s="2214"/>
      <c r="Q86" s="2214"/>
      <c r="R86" s="2214"/>
      <c r="S86" s="2214"/>
      <c r="T86" s="2214"/>
      <c r="U86" s="2214"/>
      <c r="V86" s="2214"/>
      <c r="W86" s="2214"/>
      <c r="X86" s="2214"/>
      <c r="Y86" s="2214"/>
      <c r="Z86" s="2214"/>
      <c r="AA86" s="2220"/>
      <c r="AB86" s="2220"/>
      <c r="AC86" s="2220"/>
      <c r="AD86" s="2220"/>
      <c r="AE86" s="2220"/>
      <c r="AF86" s="2220"/>
      <c r="AG86" s="2220"/>
      <c r="AH86" s="2220"/>
      <c r="AI86" s="2220"/>
    </row>
    <row r="87" spans="1:35" s="1965" customFormat="1" ht="14.25" hidden="1">
      <c r="A87" s="2157" t="s">
        <v>834</v>
      </c>
      <c r="B87" s="577" t="s">
        <v>876</v>
      </c>
      <c r="C87" s="2167">
        <f>C88+C89</f>
        <v>0</v>
      </c>
      <c r="D87" s="2168"/>
      <c r="E87" s="2169"/>
      <c r="F87" s="2170"/>
      <c r="G87" s="2170"/>
      <c r="H87" s="2171"/>
      <c r="I87" s="2216"/>
      <c r="J87" s="2214"/>
      <c r="K87" s="2214"/>
      <c r="L87" s="2214"/>
      <c r="M87" s="2214"/>
      <c r="N87" s="2214"/>
      <c r="O87" s="2214"/>
      <c r="P87" s="2214"/>
      <c r="Q87" s="2214"/>
      <c r="R87" s="2214"/>
      <c r="S87" s="2214"/>
      <c r="T87" s="2214"/>
      <c r="U87" s="2214"/>
      <c r="V87" s="2214"/>
      <c r="W87" s="2214"/>
      <c r="X87" s="2214"/>
      <c r="Y87" s="2214"/>
      <c r="Z87" s="2214"/>
      <c r="AA87" s="2220"/>
      <c r="AB87" s="2220"/>
      <c r="AC87" s="2220"/>
      <c r="AD87" s="2220"/>
      <c r="AE87" s="2220"/>
      <c r="AF87" s="2220"/>
      <c r="AG87" s="2220"/>
      <c r="AH87" s="2220"/>
      <c r="AI87" s="2220"/>
    </row>
    <row r="88" spans="1:35" s="1965" customFormat="1" ht="14.25" hidden="1">
      <c r="A88" s="2157" t="s">
        <v>857</v>
      </c>
      <c r="B88" s="577" t="s">
        <v>877</v>
      </c>
      <c r="C88" s="2185"/>
      <c r="D88" s="2168"/>
      <c r="E88" s="2186" t="s">
        <v>878</v>
      </c>
      <c r="F88" s="2170"/>
      <c r="G88" s="2187" t="s">
        <v>879</v>
      </c>
      <c r="H88" s="2188"/>
      <c r="I88" s="2216"/>
      <c r="J88" s="2214"/>
      <c r="K88" s="2214"/>
      <c r="L88" s="2214"/>
      <c r="M88" s="2214"/>
      <c r="N88" s="2214"/>
      <c r="O88" s="2214"/>
      <c r="P88" s="2214"/>
      <c r="Q88" s="2214"/>
      <c r="R88" s="2214"/>
      <c r="S88" s="2214"/>
      <c r="T88" s="2214"/>
      <c r="U88" s="2214"/>
      <c r="V88" s="2214"/>
      <c r="W88" s="2214"/>
      <c r="X88" s="2214"/>
      <c r="Y88" s="2214"/>
      <c r="Z88" s="2214"/>
      <c r="AA88" s="2220"/>
      <c r="AB88" s="2220"/>
      <c r="AC88" s="2220"/>
      <c r="AD88" s="2220"/>
      <c r="AE88" s="2220"/>
      <c r="AF88" s="2220"/>
      <c r="AG88" s="2220"/>
      <c r="AH88" s="2220"/>
      <c r="AI88" s="2220"/>
    </row>
    <row r="89" spans="1:35" s="1965" customFormat="1" ht="14.25" hidden="1">
      <c r="A89" s="2157" t="s">
        <v>862</v>
      </c>
      <c r="B89" s="577" t="s">
        <v>866</v>
      </c>
      <c r="C89" s="2167">
        <f>ROUND(C88*D89,0)</f>
        <v>0</v>
      </c>
      <c r="D89" s="2168">
        <f>'数据-取费表'!B48+'数据-取费表'!B49</f>
        <v>3.0499999999999999E-2</v>
      </c>
      <c r="E89" s="2186" t="s">
        <v>880</v>
      </c>
      <c r="F89" s="2170"/>
      <c r="G89" s="2170"/>
      <c r="H89" s="2171"/>
      <c r="I89" s="2216"/>
      <c r="J89" s="2214"/>
      <c r="K89" s="2214"/>
      <c r="L89" s="2214"/>
      <c r="M89" s="2214"/>
      <c r="N89" s="2214"/>
      <c r="O89" s="2214"/>
      <c r="P89" s="2214"/>
      <c r="Q89" s="2214"/>
      <c r="R89" s="2214"/>
      <c r="S89" s="2214"/>
      <c r="T89" s="2214"/>
      <c r="U89" s="2214"/>
      <c r="V89" s="2214"/>
      <c r="W89" s="2214"/>
      <c r="X89" s="2214"/>
      <c r="Y89" s="2214"/>
      <c r="Z89" s="2214"/>
      <c r="AA89" s="2220"/>
      <c r="AB89" s="2220"/>
      <c r="AC89" s="2220"/>
      <c r="AD89" s="2220"/>
      <c r="AE89" s="2220"/>
      <c r="AF89" s="2220"/>
      <c r="AG89" s="2220"/>
      <c r="AH89" s="2220"/>
      <c r="AI89" s="2220"/>
    </row>
    <row r="90" spans="1:35" s="1965" customFormat="1" ht="14.25" hidden="1">
      <c r="A90" s="2157" t="s">
        <v>838</v>
      </c>
      <c r="B90" s="577" t="s">
        <v>881</v>
      </c>
      <c r="C90" s="2185"/>
      <c r="D90" s="2168"/>
      <c r="E90" s="2186" t="str">
        <f>IF(H88="-","土地取得成本中已包含该笔费用"," ")</f>
        <v xml:space="preserve"> </v>
      </c>
      <c r="F90" s="2170"/>
      <c r="G90" s="2170"/>
      <c r="H90" s="2171"/>
      <c r="I90" s="2216"/>
      <c r="J90" s="2214"/>
      <c r="K90" s="2214"/>
      <c r="L90" s="2214"/>
      <c r="M90" s="2214"/>
      <c r="N90" s="2214"/>
      <c r="O90" s="2214"/>
      <c r="P90" s="2214"/>
      <c r="Q90" s="2214"/>
      <c r="R90" s="2214"/>
      <c r="S90" s="2214"/>
      <c r="T90" s="2214"/>
      <c r="U90" s="2214"/>
      <c r="V90" s="2214"/>
      <c r="W90" s="2214"/>
      <c r="X90" s="2214"/>
      <c r="Y90" s="2214"/>
      <c r="Z90" s="2214"/>
      <c r="AA90" s="2220"/>
      <c r="AB90" s="2220"/>
      <c r="AC90" s="2220"/>
      <c r="AD90" s="2220"/>
      <c r="AE90" s="2220"/>
      <c r="AF90" s="2220"/>
      <c r="AG90" s="2220"/>
      <c r="AH90" s="2220"/>
      <c r="AI90" s="2220"/>
    </row>
    <row r="91" spans="1:35" s="1965" customFormat="1" ht="27.75" hidden="1" customHeight="1">
      <c r="A91" s="2157" t="s">
        <v>882</v>
      </c>
      <c r="B91" s="577" t="s">
        <v>883</v>
      </c>
      <c r="C91" s="2167">
        <f>IF(H91="——",成本法!C33,I91)</f>
        <v>0</v>
      </c>
      <c r="D91" s="2168"/>
      <c r="E91" s="3121" t="s">
        <v>884</v>
      </c>
      <c r="F91" s="3122"/>
      <c r="G91" s="3122"/>
      <c r="H91" s="2189" t="s">
        <v>885</v>
      </c>
      <c r="I91" s="2218"/>
      <c r="J91" s="2214"/>
      <c r="K91" s="2214"/>
      <c r="L91" s="2214"/>
      <c r="M91" s="2214"/>
      <c r="N91" s="2214"/>
      <c r="O91" s="2214"/>
      <c r="P91" s="2214"/>
      <c r="Q91" s="2214"/>
      <c r="R91" s="2214"/>
      <c r="S91" s="2214"/>
      <c r="T91" s="2214"/>
      <c r="U91" s="2214"/>
      <c r="V91" s="2214"/>
      <c r="W91" s="2214"/>
      <c r="X91" s="2214"/>
      <c r="Y91" s="2214"/>
      <c r="Z91" s="2214"/>
      <c r="AA91" s="2220"/>
      <c r="AB91" s="2220"/>
      <c r="AC91" s="2220"/>
      <c r="AD91" s="2220"/>
      <c r="AE91" s="2220"/>
      <c r="AF91" s="2220"/>
      <c r="AG91" s="2220"/>
      <c r="AH91" s="2220"/>
      <c r="AI91" s="2220"/>
    </row>
    <row r="92" spans="1:35" s="1965" customFormat="1" ht="25.5" hidden="1" customHeight="1">
      <c r="A92" s="2157" t="s">
        <v>886</v>
      </c>
      <c r="B92" s="577" t="s">
        <v>887</v>
      </c>
      <c r="C92" s="2167">
        <f>ROUND((C87+C90+C91)*D92,0)</f>
        <v>0</v>
      </c>
      <c r="D92" s="2168">
        <v>0.1</v>
      </c>
      <c r="E92" s="3121" t="s">
        <v>888</v>
      </c>
      <c r="F92" s="3122"/>
      <c r="G92" s="3122"/>
      <c r="H92" s="3123"/>
      <c r="I92" s="2216"/>
      <c r="J92" s="2214"/>
      <c r="K92" s="2214"/>
      <c r="L92" s="2214"/>
      <c r="M92" s="2214"/>
      <c r="N92" s="2214"/>
      <c r="O92" s="2214"/>
      <c r="P92" s="2214"/>
      <c r="Q92" s="2214"/>
      <c r="R92" s="2214"/>
      <c r="S92" s="2214"/>
      <c r="T92" s="2214"/>
      <c r="U92" s="2214"/>
      <c r="V92" s="2214"/>
      <c r="W92" s="2214"/>
      <c r="X92" s="2214"/>
      <c r="Y92" s="2214"/>
      <c r="Z92" s="2214"/>
      <c r="AA92" s="2220"/>
      <c r="AB92" s="2220"/>
      <c r="AC92" s="2220"/>
      <c r="AD92" s="2220"/>
      <c r="AE92" s="2220"/>
      <c r="AF92" s="2220"/>
      <c r="AG92" s="2220"/>
      <c r="AH92" s="2220"/>
      <c r="AI92" s="2220"/>
    </row>
    <row r="93" spans="1:35" s="1965" customFormat="1" ht="25.5" hidden="1" customHeight="1">
      <c r="A93" s="2157" t="s">
        <v>889</v>
      </c>
      <c r="B93" s="577" t="s">
        <v>869</v>
      </c>
      <c r="C93" s="2167">
        <f ca="1">ROUND(D45*D93/(1+'数据-取费表'!C42),0)</f>
        <v>7</v>
      </c>
      <c r="D93" s="2168">
        <f>'数据-取费表'!B43</f>
        <v>5.0000000000000001E-3</v>
      </c>
      <c r="E93" s="3121" t="s">
        <v>870</v>
      </c>
      <c r="F93" s="3122"/>
      <c r="G93" s="3122"/>
      <c r="H93" s="3123"/>
      <c r="I93" s="2216"/>
      <c r="J93" s="2214"/>
      <c r="K93" s="2214"/>
      <c r="L93" s="2214"/>
      <c r="M93" s="2214"/>
      <c r="N93" s="2214"/>
      <c r="O93" s="2214"/>
      <c r="P93" s="2214"/>
      <c r="Q93" s="2214"/>
      <c r="R93" s="2214"/>
      <c r="S93" s="2214"/>
      <c r="T93" s="2214"/>
      <c r="U93" s="2214"/>
      <c r="V93" s="2214"/>
      <c r="W93" s="2214"/>
      <c r="X93" s="2214"/>
      <c r="Y93" s="2214"/>
      <c r="Z93" s="2214"/>
      <c r="AA93" s="2220"/>
      <c r="AB93" s="2220"/>
      <c r="AC93" s="2220"/>
      <c r="AD93" s="2220"/>
      <c r="AE93" s="2220"/>
      <c r="AF93" s="2220"/>
      <c r="AG93" s="2220"/>
      <c r="AH93" s="2220"/>
      <c r="AI93" s="2220"/>
    </row>
    <row r="94" spans="1:35" s="1965" customFormat="1" ht="36.75" hidden="1" customHeight="1">
      <c r="A94" s="2157" t="s">
        <v>890</v>
      </c>
      <c r="B94" s="577" t="s">
        <v>891</v>
      </c>
      <c r="C94" s="2185">
        <f>ROUND((C87+C90+C91)*D94,0)</f>
        <v>0</v>
      </c>
      <c r="D94" s="2168">
        <v>0.2</v>
      </c>
      <c r="E94" s="3124" t="s">
        <v>892</v>
      </c>
      <c r="F94" s="3125"/>
      <c r="G94" s="3125"/>
      <c r="H94" s="3126"/>
      <c r="I94" s="2216"/>
      <c r="J94" s="2214"/>
      <c r="K94" s="2214"/>
      <c r="L94" s="2214"/>
      <c r="M94" s="2214"/>
      <c r="N94" s="2214"/>
      <c r="O94" s="2214"/>
      <c r="P94" s="2214"/>
      <c r="Q94" s="2214"/>
      <c r="R94" s="2214"/>
      <c r="S94" s="2214"/>
      <c r="T94" s="2214"/>
      <c r="U94" s="2214"/>
      <c r="V94" s="2214"/>
      <c r="W94" s="2214"/>
      <c r="X94" s="2214"/>
      <c r="Y94" s="2214"/>
      <c r="Z94" s="2214"/>
      <c r="AA94" s="2220"/>
      <c r="AB94" s="2220"/>
      <c r="AC94" s="2220"/>
      <c r="AD94" s="2220"/>
      <c r="AE94" s="2220"/>
      <c r="AF94" s="2220"/>
      <c r="AG94" s="2220"/>
      <c r="AH94" s="2220"/>
      <c r="AI94" s="2220"/>
    </row>
    <row r="95" spans="1:35" s="1965" customFormat="1" ht="14.25" hidden="1">
      <c r="A95" s="2172" t="s">
        <v>846</v>
      </c>
      <c r="B95" s="2141" t="s">
        <v>871</v>
      </c>
      <c r="C95" s="2144">
        <f ca="1">ROUND(C85-C86,0)</f>
        <v>1355</v>
      </c>
      <c r="D95" s="602" t="s">
        <v>124</v>
      </c>
      <c r="E95" s="1623"/>
      <c r="F95" s="1624"/>
      <c r="G95" s="1624"/>
      <c r="H95" s="2183"/>
      <c r="I95" s="2216"/>
      <c r="J95" s="2214"/>
      <c r="K95" s="2214"/>
      <c r="L95" s="2214"/>
      <c r="M95" s="2214"/>
      <c r="N95" s="2214"/>
      <c r="O95" s="2214"/>
      <c r="P95" s="2214"/>
      <c r="Q95" s="2214"/>
      <c r="R95" s="2214"/>
      <c r="S95" s="2214"/>
      <c r="T95" s="2214"/>
      <c r="U95" s="2214"/>
      <c r="V95" s="2214"/>
      <c r="W95" s="2214"/>
      <c r="X95" s="2214"/>
      <c r="Y95" s="2214"/>
      <c r="Z95" s="2214"/>
      <c r="AA95" s="2220"/>
      <c r="AB95" s="2220"/>
      <c r="AC95" s="2220"/>
      <c r="AD95" s="2220"/>
      <c r="AE95" s="2220"/>
      <c r="AF95" s="2220"/>
      <c r="AG95" s="2220"/>
      <c r="AH95" s="2220"/>
      <c r="AI95" s="2220"/>
    </row>
    <row r="96" spans="1:35" s="1965" customFormat="1" ht="24" hidden="1">
      <c r="A96" s="2172" t="s">
        <v>849</v>
      </c>
      <c r="B96" s="2141" t="s">
        <v>872</v>
      </c>
      <c r="C96" s="2173">
        <f ca="1">IF(C95&lt;=0,0,C95/C86)</f>
        <v>193.57142857142858</v>
      </c>
      <c r="D96" s="602" t="s">
        <v>124</v>
      </c>
      <c r="E96" s="1741"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183"/>
      <c r="I96" s="2216"/>
      <c r="J96" s="2214"/>
      <c r="K96" s="2214"/>
      <c r="L96" s="2214"/>
      <c r="M96" s="2214"/>
      <c r="N96" s="2214"/>
      <c r="O96" s="2214"/>
      <c r="P96" s="2214"/>
      <c r="Q96" s="2214"/>
      <c r="R96" s="2214"/>
      <c r="S96" s="2214"/>
      <c r="T96" s="2214"/>
      <c r="U96" s="2214"/>
      <c r="V96" s="2214"/>
      <c r="W96" s="2214"/>
      <c r="X96" s="2214"/>
      <c r="Y96" s="2214"/>
      <c r="Z96" s="2214"/>
      <c r="AA96" s="2220"/>
      <c r="AB96" s="2220"/>
      <c r="AC96" s="2220"/>
      <c r="AD96" s="2220"/>
      <c r="AE96" s="2220"/>
      <c r="AF96" s="2220"/>
      <c r="AG96" s="2220"/>
      <c r="AH96" s="2220"/>
      <c r="AI96" s="2220"/>
    </row>
    <row r="97" spans="1:35" s="1965" customFormat="1" ht="24" hidden="1">
      <c r="A97" s="2174" t="s">
        <v>873</v>
      </c>
      <c r="B97" s="2146" t="s">
        <v>874</v>
      </c>
      <c r="C97" s="2175">
        <f ca="1">ROUND(IF(C95&lt;=0,0,IF(C96&gt;=200%,C95*60%-C86*35%,IF(C96&gt;=100%,C95*50%-C86*15%,IF(C96&gt;=50%,C95*40%-C86*5%,IF(C96&lt;50%,C95*30%,0))))),0)</f>
        <v>811</v>
      </c>
      <c r="D97" s="623"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0"/>
      <c r="I97" s="2216"/>
      <c r="J97" s="2214"/>
      <c r="K97" s="2214"/>
      <c r="L97" s="2214"/>
      <c r="M97" s="2214"/>
      <c r="N97" s="2214"/>
      <c r="O97" s="2214"/>
      <c r="P97" s="2214"/>
      <c r="Q97" s="2214"/>
      <c r="R97" s="2214"/>
      <c r="S97" s="2214"/>
      <c r="T97" s="2214"/>
      <c r="U97" s="2214"/>
      <c r="V97" s="2214"/>
      <c r="W97" s="2214"/>
      <c r="X97" s="2214"/>
      <c r="Y97" s="2214"/>
      <c r="Z97" s="2214"/>
      <c r="AA97" s="2220"/>
      <c r="AB97" s="2220"/>
      <c r="AC97" s="2220"/>
      <c r="AD97" s="2220"/>
      <c r="AE97" s="2220"/>
      <c r="AF97" s="2220"/>
      <c r="AG97" s="2220"/>
      <c r="AH97" s="2220"/>
      <c r="AI97" s="2220"/>
    </row>
    <row r="98" spans="1:35" ht="21.75" hidden="1" customHeight="1">
      <c r="A98" s="2097"/>
      <c r="B98" s="1969"/>
      <c r="C98" s="1969"/>
      <c r="D98" s="1969"/>
      <c r="E98" s="2098"/>
      <c r="F98" s="2098"/>
      <c r="G98" s="2098"/>
      <c r="H98" s="2053"/>
      <c r="I98" s="276"/>
    </row>
    <row r="99" spans="1:35" ht="21.75" customHeight="1">
      <c r="A99" s="2055" t="s">
        <v>893</v>
      </c>
      <c r="B99" s="1969"/>
      <c r="C99" s="1969"/>
      <c r="D99" s="1969"/>
      <c r="E99" s="2098"/>
      <c r="F99" s="2098"/>
      <c r="G99" s="2098"/>
      <c r="H99" s="2053"/>
      <c r="I99" s="276"/>
    </row>
    <row r="100" spans="1:35" ht="18.75" customHeight="1">
      <c r="A100" s="3068" t="s">
        <v>894</v>
      </c>
      <c r="B100" s="3069"/>
      <c r="C100" s="3069"/>
      <c r="D100" s="3127"/>
      <c r="E100" s="3069" t="s">
        <v>895</v>
      </c>
      <c r="F100" s="3069"/>
      <c r="G100" s="3069"/>
      <c r="H100" s="3127"/>
      <c r="I100" s="276"/>
    </row>
    <row r="101" spans="1:35" ht="18.75" customHeight="1">
      <c r="A101" s="3128" t="s">
        <v>896</v>
      </c>
      <c r="B101" s="3129"/>
      <c r="C101" s="2191" t="str">
        <f>C4</f>
        <v>土地比较法-工业</v>
      </c>
      <c r="D101" s="2192" t="str">
        <f>D4</f>
        <v>假设开发法</v>
      </c>
      <c r="E101" s="3143" t="s">
        <v>897</v>
      </c>
      <c r="F101" s="3144"/>
      <c r="G101" s="2194" t="s">
        <v>898</v>
      </c>
      <c r="H101" s="2195">
        <f ca="1">H118</f>
        <v>1430</v>
      </c>
      <c r="I101" s="276"/>
    </row>
    <row r="102" spans="1:35" ht="18.75" customHeight="1">
      <c r="A102" s="3165" t="s">
        <v>899</v>
      </c>
      <c r="B102" s="2194" t="s">
        <v>898</v>
      </c>
      <c r="C102" s="2191">
        <f ca="1">C19</f>
        <v>1130</v>
      </c>
      <c r="D102" s="2192">
        <f ca="1">D19</f>
        <v>1730</v>
      </c>
      <c r="E102" s="3143"/>
      <c r="F102" s="3144"/>
      <c r="G102" s="2194" t="s">
        <v>99</v>
      </c>
      <c r="H102" s="1636">
        <f ca="1">I118</f>
        <v>416</v>
      </c>
      <c r="I102" s="276"/>
    </row>
    <row r="103" spans="1:35" ht="42.75" customHeight="1">
      <c r="A103" s="3165"/>
      <c r="B103" s="2194" t="s">
        <v>99</v>
      </c>
      <c r="C103" s="2196">
        <f ca="1">C20</f>
        <v>329</v>
      </c>
      <c r="D103" s="2197">
        <f ca="1">D20</f>
        <v>503</v>
      </c>
      <c r="E103" s="3130" t="s">
        <v>900</v>
      </c>
      <c r="F103" s="3131"/>
      <c r="G103" s="2198" t="s">
        <v>102</v>
      </c>
      <c r="H103" s="2195">
        <f>IF(D36="正常操作",H104+H105+H106,H105+H106)</f>
        <v>0</v>
      </c>
      <c r="I103" s="276"/>
    </row>
    <row r="104" spans="1:35" ht="18.75" customHeight="1">
      <c r="A104" s="3165" t="s">
        <v>901</v>
      </c>
      <c r="B104" s="2199" t="s">
        <v>898</v>
      </c>
      <c r="C104" s="2200">
        <f ca="1">H118</f>
        <v>1430</v>
      </c>
      <c r="D104" s="2201"/>
      <c r="E104" s="2038" t="s">
        <v>902</v>
      </c>
      <c r="F104" s="2202"/>
      <c r="G104" s="2198" t="s">
        <v>102</v>
      </c>
      <c r="H104" s="2203">
        <f>IF(D36="同一抵押权人同一抵押物续贷",C36&amp;"（未扣减，详见特别提示）",C36)</f>
        <v>0</v>
      </c>
      <c r="I104" s="276"/>
    </row>
    <row r="105" spans="1:35" ht="18.75" customHeight="1">
      <c r="A105" s="3166"/>
      <c r="B105" s="2204" t="s">
        <v>99</v>
      </c>
      <c r="C105" s="2205">
        <f ca="1">I118</f>
        <v>416</v>
      </c>
      <c r="D105" s="2206"/>
      <c r="E105" s="2038" t="s">
        <v>903</v>
      </c>
      <c r="F105" s="2202"/>
      <c r="G105" s="2198" t="s">
        <v>102</v>
      </c>
      <c r="H105" s="2203">
        <f>C37</f>
        <v>0</v>
      </c>
      <c r="I105" s="276"/>
    </row>
    <row r="106" spans="1:35" ht="18.75" customHeight="1">
      <c r="A106" s="1969" t="s">
        <v>904</v>
      </c>
      <c r="B106" s="1969"/>
      <c r="C106" s="1969"/>
      <c r="D106" s="1969"/>
      <c r="E106" s="2207" t="s">
        <v>905</v>
      </c>
      <c r="F106" s="2202"/>
      <c r="G106" s="2198" t="s">
        <v>102</v>
      </c>
      <c r="H106" s="2203">
        <f>C38</f>
        <v>0</v>
      </c>
      <c r="I106" s="276"/>
    </row>
    <row r="107" spans="1:35" ht="18.75" customHeight="1">
      <c r="A107" s="276"/>
      <c r="B107" s="276"/>
      <c r="C107" s="276"/>
      <c r="D107" s="276"/>
      <c r="E107" s="3145" t="str">
        <f>IF(项目基本情况!E8="已注销","——","3.房地产抵押价值")</f>
        <v>3.房地产抵押价值</v>
      </c>
      <c r="F107" s="3144"/>
      <c r="G107" s="2194" t="s">
        <v>898</v>
      </c>
      <c r="H107" s="2195">
        <f ca="1">IF(E107="——","——",H101-H103)</f>
        <v>1430</v>
      </c>
      <c r="I107" s="276"/>
    </row>
    <row r="108" spans="1:35" ht="18.75" customHeight="1">
      <c r="A108" s="276"/>
      <c r="B108" s="276"/>
      <c r="C108" s="276"/>
      <c r="D108" s="276"/>
      <c r="E108" s="3145"/>
      <c r="F108" s="3144"/>
      <c r="G108" s="2194" t="s">
        <v>99</v>
      </c>
      <c r="H108" s="1636">
        <f ca="1">ROUND(H107*10000/'数据-汇总表'!E3,0)</f>
        <v>416</v>
      </c>
      <c r="I108" s="276"/>
    </row>
    <row r="109" spans="1:35" ht="18.75" customHeight="1">
      <c r="A109" s="276"/>
      <c r="B109" s="276"/>
      <c r="C109" s="276"/>
      <c r="D109" s="276"/>
      <c r="E109" s="3145" t="str">
        <f>IF(项目基本情况!E8="已注销及未注销","4.抵押担保权已注销时的房地产抵押价值",IF(项目基本情况!E8="已注销","3.抵押担保权已注销时的房地产抵押价值","——"))</f>
        <v>——</v>
      </c>
      <c r="F109" s="3144"/>
      <c r="G109" s="2194" t="s">
        <v>898</v>
      </c>
      <c r="H109" s="1593" t="str">
        <f>IF(E109="——","——",H101-H105-H106)</f>
        <v>——</v>
      </c>
      <c r="I109" s="276"/>
    </row>
    <row r="110" spans="1:35" ht="18.75" customHeight="1">
      <c r="A110" s="276"/>
      <c r="B110" s="276"/>
      <c r="C110" s="276"/>
      <c r="D110" s="276"/>
      <c r="E110" s="3145"/>
      <c r="F110" s="3144"/>
      <c r="G110" s="2194" t="s">
        <v>99</v>
      </c>
      <c r="H110" s="1636" t="str">
        <f>IF(H109="——","——",ROUND(H109*10000/'数据-汇总表'!E3,0))</f>
        <v>——</v>
      </c>
      <c r="I110" s="276"/>
    </row>
    <row r="111" spans="1:35" ht="18.75" customHeight="1">
      <c r="A111" s="276"/>
      <c r="B111" s="276"/>
      <c r="C111" s="276"/>
      <c r="D111" s="276"/>
      <c r="E111" s="3146" t="str">
        <f>IF(项目基本情况!E9="抵押净值",IF(OR(项目基本情况!E8="已注销",项目基本情况!E8="房地产抵押价值"),"4.抵押净值","5.抵押净值"),"——")</f>
        <v>——</v>
      </c>
      <c r="F111" s="3147"/>
      <c r="G111" s="2194" t="s">
        <v>898</v>
      </c>
      <c r="H111" s="2195" t="str">
        <f>IF(E111="——","——",N59)</f>
        <v>——</v>
      </c>
      <c r="I111" s="276"/>
    </row>
    <row r="112" spans="1:35" ht="18.75" customHeight="1">
      <c r="A112" s="276"/>
      <c r="B112" s="276"/>
      <c r="C112" s="276"/>
      <c r="D112" s="276"/>
      <c r="E112" s="3148"/>
      <c r="F112" s="3149"/>
      <c r="G112" s="2208" t="s">
        <v>99</v>
      </c>
      <c r="H112" s="1997" t="str">
        <f>IF(E111="——","——",N61)</f>
        <v>——</v>
      </c>
      <c r="I112" s="276"/>
    </row>
    <row r="113" spans="1:11" ht="18.75" customHeight="1">
      <c r="A113" s="276"/>
      <c r="B113" s="276"/>
      <c r="C113" s="276"/>
      <c r="D113" s="276"/>
      <c r="E113" s="3132" t="s">
        <v>904</v>
      </c>
      <c r="F113" s="3132"/>
      <c r="G113" s="3132"/>
      <c r="H113" s="3132"/>
      <c r="I113" s="276"/>
    </row>
    <row r="114" spans="1:11" ht="3.75" customHeight="1">
      <c r="A114" s="1969"/>
      <c r="B114" s="1969"/>
      <c r="C114" s="1969"/>
      <c r="D114" s="1969"/>
      <c r="E114" s="2097"/>
      <c r="F114" s="2097"/>
      <c r="G114" s="2097"/>
      <c r="H114" s="2097"/>
      <c r="I114" s="1969"/>
    </row>
    <row r="115" spans="1:11" ht="18.75" customHeight="1">
      <c r="A115" s="3133" t="s">
        <v>906</v>
      </c>
      <c r="B115" s="3134"/>
      <c r="C115" s="3134"/>
      <c r="D115" s="3134"/>
      <c r="E115" s="3134"/>
      <c r="F115" s="3134"/>
      <c r="G115" s="3134"/>
      <c r="H115" s="3134"/>
      <c r="I115" s="3135"/>
    </row>
    <row r="116" spans="1:11" ht="27" customHeight="1">
      <c r="A116" s="3047" t="s">
        <v>907</v>
      </c>
      <c r="B116" s="3141" t="s">
        <v>908</v>
      </c>
      <c r="C116" s="3141" t="s">
        <v>909</v>
      </c>
      <c r="D116" s="3136" t="s">
        <v>910</v>
      </c>
      <c r="E116" s="3137"/>
      <c r="F116" s="3138" t="s">
        <v>911</v>
      </c>
      <c r="G116" s="3138"/>
      <c r="H116" s="3047" t="s">
        <v>912</v>
      </c>
      <c r="I116" s="3047"/>
    </row>
    <row r="117" spans="1:11" ht="18.75" customHeight="1">
      <c r="A117" s="3047"/>
      <c r="B117" s="3142"/>
      <c r="C117" s="3142"/>
      <c r="D117" s="1075" t="s">
        <v>913</v>
      </c>
      <c r="E117" s="1075" t="s">
        <v>742</v>
      </c>
      <c r="F117" s="1075" t="s">
        <v>913</v>
      </c>
      <c r="G117" s="1075" t="s">
        <v>742</v>
      </c>
      <c r="H117" s="1075" t="s">
        <v>913</v>
      </c>
      <c r="I117" s="1075" t="s">
        <v>742</v>
      </c>
    </row>
    <row r="118" spans="1:11" ht="24.75" customHeight="1">
      <c r="A118" s="2210" t="str">
        <f>项目基本情况!S2</f>
        <v>辽宁省朝阳市朝阳喀左经济开发区房地产</v>
      </c>
      <c r="B118" s="1075">
        <f>M18</f>
        <v>34364.589999999997</v>
      </c>
      <c r="C118" s="1075">
        <f>M19</f>
        <v>50693.68</v>
      </c>
      <c r="D118" s="1075">
        <f ca="1">ROUND(IF(D32="总价",C34,E118*B118/10000),0)</f>
        <v>1430</v>
      </c>
      <c r="E118" s="1075">
        <f ca="1">ROUND(IF(C33="自定义",IF(D32="楼面单价",C34,D118*10000/B118),I118-G118),0)</f>
        <v>416</v>
      </c>
      <c r="F118" s="1075">
        <f ca="1">ROUND(IF(D32="总价",C35,G118*B118/10000),0)</f>
        <v>0</v>
      </c>
      <c r="G118" s="1075">
        <f ca="1">ROUND(IF(D32="楼面单价",C35,F118*10000/B118),0)</f>
        <v>0</v>
      </c>
      <c r="H118" s="1075">
        <f ca="1">ROUND(IF(D32="总价",C32,I118*B118/10000),0)</f>
        <v>1430</v>
      </c>
      <c r="I118" s="1075">
        <f ca="1">ROUND(IF(D32="楼面单价",C32,H118*10000/B118),0)</f>
        <v>416</v>
      </c>
    </row>
    <row r="119" spans="1:11" ht="18.75" customHeight="1">
      <c r="A119" s="3047" t="s">
        <v>914</v>
      </c>
      <c r="B119" s="3047"/>
      <c r="C119" s="3047"/>
      <c r="D119" s="3139" t="str">
        <f ca="1">NUMBERSTRING(INT(D118*10000),2)&amp;"元整"</f>
        <v>壹仟肆佰叁拾万元整</v>
      </c>
      <c r="E119" s="3140"/>
      <c r="F119" s="3139" t="str">
        <f ca="1">NUMBERSTRING(INT(F118*10000),2)&amp;"元整"</f>
        <v>零元整</v>
      </c>
      <c r="G119" s="3140"/>
      <c r="H119" s="3139" t="str">
        <f ca="1">NUMBERSTRING(INT(H118*10000),2)&amp;"元整"</f>
        <v>壹仟肆佰叁拾万元整</v>
      </c>
      <c r="I119" s="3140"/>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1966" t="str">
        <f>IF(D120=0,"故，本次评估不存在"&amp;A120,"故，本次评估"&amp;A120&amp;"为人民币"&amp;D120&amp;"万元整。")</f>
        <v>故，本次评估不存在估价师知悉的法定优先受偿款</v>
      </c>
    </row>
    <row r="121" spans="1:11" ht="18.75" customHeight="1">
      <c r="A121" s="3153" t="s">
        <v>914</v>
      </c>
      <c r="B121" s="3154"/>
      <c r="C121" s="3155"/>
      <c r="D121" s="3139" t="str">
        <f>IF(D120=0,"零元整",NUMBERSTRING(INT(D120*10000),2)&amp;"元整")</f>
        <v>零元整</v>
      </c>
      <c r="E121" s="3156"/>
      <c r="F121" s="3156"/>
      <c r="G121" s="3156"/>
      <c r="H121" s="3156"/>
      <c r="I121" s="3140"/>
    </row>
    <row r="122" spans="1:11" ht="18.75" customHeight="1">
      <c r="A122" s="3157" t="str">
        <f>IF(项目基本情况!B9="房地产市场价值","",MID(E107,3,LEN(E107)-2))</f>
        <v>房地产抵押价值</v>
      </c>
      <c r="B122" s="3157"/>
      <c r="C122" s="3157"/>
      <c r="D122" s="3150">
        <f ca="1">H107</f>
        <v>1430</v>
      </c>
      <c r="E122" s="3151"/>
      <c r="F122" s="3151"/>
      <c r="G122" s="3151"/>
      <c r="H122" s="3151"/>
      <c r="I122" s="3152"/>
    </row>
    <row r="123" spans="1:11" ht="18.75" customHeight="1">
      <c r="A123" s="3047" t="s">
        <v>914</v>
      </c>
      <c r="B123" s="3047"/>
      <c r="C123" s="3047"/>
      <c r="D123" s="3139" t="str">
        <f ca="1">NUMBERSTRING(INT(D122*10000),2)&amp;"元整"</f>
        <v>壹仟肆佰叁拾万元整</v>
      </c>
      <c r="E123" s="3156"/>
      <c r="F123" s="3156"/>
      <c r="G123" s="3156"/>
      <c r="H123" s="3156"/>
      <c r="I123" s="3140"/>
    </row>
    <row r="124" spans="1:11" ht="18.75" customHeight="1">
      <c r="A124" s="3157" t="str">
        <f>IF(项目基本情况!B9="房地产市场价值","",MID(E109,3,LEN(E109)-2))</f>
        <v/>
      </c>
      <c r="B124" s="3157"/>
      <c r="C124" s="3157"/>
      <c r="D124" s="3150" t="str">
        <f>H109</f>
        <v>——</v>
      </c>
      <c r="E124" s="3151"/>
      <c r="F124" s="3151"/>
      <c r="G124" s="3151"/>
      <c r="H124" s="3151"/>
      <c r="I124" s="3152"/>
    </row>
    <row r="125" spans="1:11" ht="18.75" customHeight="1">
      <c r="A125" s="3047" t="s">
        <v>914</v>
      </c>
      <c r="B125" s="3047"/>
      <c r="C125" s="3047"/>
      <c r="D125" s="3139" t="e">
        <f>NUMBERSTRING(INT(D124*10000),2)&amp;"元整"</f>
        <v>#VALUE!</v>
      </c>
      <c r="E125" s="3156"/>
      <c r="F125" s="3156"/>
      <c r="G125" s="3156"/>
      <c r="H125" s="3156"/>
      <c r="I125" s="3140"/>
    </row>
    <row r="126" spans="1:11" ht="18.75" customHeight="1">
      <c r="A126" s="3157" t="str">
        <f>IF(项目基本情况!B9="房地产市场价值","",MID(E111,3,LEN(E111)-2))</f>
        <v/>
      </c>
      <c r="B126" s="3157"/>
      <c r="C126" s="3157"/>
      <c r="D126" s="3150" t="str">
        <f>H111</f>
        <v>——</v>
      </c>
      <c r="E126" s="3151"/>
      <c r="F126" s="3151"/>
      <c r="G126" s="3151"/>
      <c r="H126" s="3151"/>
      <c r="I126" s="3152"/>
    </row>
    <row r="127" spans="1:11" ht="18.75" customHeight="1">
      <c r="A127" s="3047" t="s">
        <v>914</v>
      </c>
      <c r="B127" s="3047"/>
      <c r="C127" s="3047"/>
      <c r="D127" s="3139" t="e">
        <f>NUMBERSTRING(INT(D126*10000),2)&amp;"元整"</f>
        <v>#VALUE!</v>
      </c>
      <c r="E127" s="3156"/>
      <c r="F127" s="3156"/>
      <c r="G127" s="3156"/>
      <c r="H127" s="3156"/>
      <c r="I127" s="3140"/>
    </row>
    <row r="128" spans="1:11" ht="21.75" customHeight="1">
      <c r="A128" s="3158" t="s">
        <v>113</v>
      </c>
      <c r="B128" s="3158"/>
      <c r="C128" s="3158"/>
      <c r="D128" s="3158"/>
      <c r="E128" s="3158"/>
      <c r="F128" s="3158"/>
      <c r="G128" s="3158"/>
      <c r="H128" s="3158"/>
      <c r="I128" s="3158"/>
    </row>
    <row r="129" spans="1:35" ht="21.75" customHeight="1">
      <c r="A129" s="2221" t="s">
        <v>915</v>
      </c>
      <c r="B129" s="2222"/>
      <c r="C129" s="2223" t="s">
        <v>916</v>
      </c>
      <c r="D129" s="2224"/>
      <c r="E129" s="2224"/>
      <c r="F129" s="2224"/>
      <c r="G129" s="2224"/>
      <c r="H129" s="2225"/>
      <c r="I129" s="2240"/>
    </row>
    <row r="130" spans="1:35" ht="21.75" customHeight="1">
      <c r="A130" s="2226">
        <v>1</v>
      </c>
      <c r="B130" s="2227"/>
      <c r="C130" s="2227"/>
      <c r="D130" s="2228"/>
      <c r="E130" s="2228"/>
      <c r="F130" s="2228"/>
      <c r="G130" s="2228"/>
      <c r="H130" s="2229"/>
      <c r="I130" s="2241"/>
    </row>
    <row r="131" spans="1:35" ht="21.75" customHeight="1">
      <c r="A131" s="2226">
        <v>2</v>
      </c>
      <c r="B131" s="2227"/>
      <c r="C131" s="2227"/>
      <c r="D131" s="2228"/>
      <c r="E131" s="2228"/>
      <c r="F131" s="2228"/>
      <c r="G131" s="2228"/>
      <c r="H131" s="2229"/>
      <c r="I131" s="2241"/>
    </row>
    <row r="132" spans="1:35" ht="21.75" customHeight="1">
      <c r="A132" s="2226">
        <v>3</v>
      </c>
      <c r="B132" s="2227"/>
      <c r="C132" s="2227"/>
      <c r="D132" s="2228"/>
      <c r="E132" s="2228"/>
      <c r="F132" s="2228"/>
      <c r="G132" s="2228"/>
      <c r="H132" s="2229"/>
      <c r="I132" s="2241"/>
    </row>
    <row r="133" spans="1:35" ht="21.75" customHeight="1">
      <c r="A133" s="2230"/>
      <c r="B133" s="2231"/>
      <c r="C133" s="2231"/>
      <c r="D133" s="2232"/>
      <c r="E133" s="2232"/>
      <c r="F133" s="2232"/>
      <c r="G133" s="2232"/>
      <c r="H133" s="2233"/>
      <c r="I133" s="2242"/>
    </row>
    <row r="134" spans="1:35" ht="21.75" customHeight="1">
      <c r="A134" s="2227"/>
      <c r="B134" s="2227"/>
      <c r="C134" s="2227"/>
      <c r="D134" s="2228"/>
      <c r="E134" s="2228"/>
      <c r="F134" s="2228"/>
      <c r="G134" s="2228"/>
      <c r="H134" s="2229"/>
      <c r="I134" s="233"/>
    </row>
    <row r="135" spans="1:35" ht="21.75" customHeight="1">
      <c r="A135" s="233"/>
      <c r="B135" s="233"/>
      <c r="C135" s="233"/>
      <c r="D135" s="233"/>
      <c r="E135" s="233"/>
      <c r="F135" s="2234" t="s">
        <v>917</v>
      </c>
      <c r="G135" s="2235"/>
      <c r="H135" s="2235"/>
      <c r="I135" s="2243" t="s">
        <v>918</v>
      </c>
    </row>
    <row r="136" spans="1:35" ht="21.75" customHeight="1">
      <c r="A136" s="233"/>
      <c r="B136" s="2236" t="s">
        <v>919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5"/>
      <c r="C138" s="2235"/>
      <c r="D138" s="2235"/>
      <c r="E138" s="2235"/>
      <c r="F138" s="2235"/>
      <c r="G138" s="2235"/>
      <c r="H138" s="2235"/>
      <c r="I138" s="2243" t="s">
        <v>920</v>
      </c>
    </row>
    <row r="139" spans="1:35" ht="21.75" customHeight="1">
      <c r="A139" s="233"/>
      <c r="B139" s="2236" t="s">
        <v>921</v>
      </c>
      <c r="C139" s="233"/>
      <c r="D139" s="233"/>
      <c r="E139" s="233"/>
      <c r="F139" s="233"/>
      <c r="G139" s="233"/>
      <c r="H139" s="233"/>
      <c r="I139" s="233"/>
    </row>
    <row r="140" spans="1:35" ht="21.75" customHeight="1">
      <c r="A140" s="233"/>
      <c r="B140" s="2236"/>
      <c r="C140" s="233"/>
      <c r="D140" s="233"/>
      <c r="E140" s="233"/>
      <c r="F140" s="233"/>
      <c r="G140" s="233"/>
      <c r="H140" s="233"/>
      <c r="I140" s="233"/>
    </row>
    <row r="141" spans="1:35" ht="21.75" customHeight="1">
      <c r="A141" s="233"/>
      <c r="B141" s="2235"/>
      <c r="C141" s="2235"/>
      <c r="D141" s="2235"/>
      <c r="E141" s="2235"/>
      <c r="F141" s="2235"/>
      <c r="G141" s="2235"/>
      <c r="H141" s="2235"/>
      <c r="I141" s="2243" t="s">
        <v>920</v>
      </c>
    </row>
    <row r="142" spans="1:35" ht="21.75" customHeight="1">
      <c r="A142" s="233"/>
      <c r="B142" s="2236"/>
      <c r="C142" s="2237"/>
      <c r="D142" s="2238"/>
      <c r="E142" s="2238"/>
      <c r="F142" s="2239"/>
      <c r="G142" s="233"/>
      <c r="H142" s="233"/>
      <c r="I142" s="233"/>
    </row>
    <row r="143" spans="1:35" s="230" customFormat="1" ht="21.75" customHeight="1">
      <c r="A143" s="233"/>
      <c r="B143" s="2236"/>
      <c r="C143" s="2237"/>
      <c r="D143" s="2238"/>
      <c r="E143" s="2238"/>
      <c r="F143" s="22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I15" sqref="I15"/>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873" customFormat="1" ht="28.5" customHeight="1">
      <c r="A1" s="883" t="s">
        <v>922</v>
      </c>
      <c r="B1" s="884"/>
      <c r="C1" s="885" t="s">
        <v>923</v>
      </c>
      <c r="D1" s="886"/>
      <c r="E1" s="886"/>
      <c r="F1" s="887" t="s">
        <v>924</v>
      </c>
      <c r="G1" s="886"/>
      <c r="H1" s="886"/>
      <c r="I1" s="886"/>
      <c r="J1" s="886"/>
      <c r="K1" s="1021"/>
      <c r="L1" s="1022"/>
      <c r="M1" s="1023"/>
      <c r="N1" s="1023"/>
      <c r="O1" s="1023"/>
      <c r="P1" s="1024"/>
      <c r="Q1" s="1024"/>
      <c r="R1" s="1024"/>
      <c r="S1" s="1024"/>
      <c r="T1" s="1024"/>
      <c r="U1" s="1024"/>
      <c r="V1" s="1024"/>
      <c r="W1" s="1024"/>
      <c r="X1" s="1024"/>
      <c r="Y1" s="1024"/>
      <c r="Z1" s="1024"/>
      <c r="AA1" s="1024"/>
      <c r="AB1" s="1024"/>
      <c r="AC1" s="1082"/>
    </row>
    <row r="2" spans="1:29" s="873" customFormat="1" ht="28.5" customHeight="1">
      <c r="A2" s="144" t="s">
        <v>925</v>
      </c>
      <c r="B2" s="888">
        <f>F61</f>
        <v>1130</v>
      </c>
      <c r="C2" s="890"/>
      <c r="D2" s="890"/>
      <c r="E2" s="890"/>
      <c r="F2" s="891"/>
      <c r="G2" s="890"/>
      <c r="H2" s="890"/>
      <c r="I2" s="890"/>
      <c r="J2" s="890"/>
      <c r="K2" s="1025"/>
      <c r="L2" s="1026"/>
      <c r="M2" s="1027"/>
      <c r="N2" s="1027"/>
      <c r="O2" s="1027"/>
      <c r="P2" s="1024"/>
      <c r="Q2" s="1024"/>
      <c r="R2" s="1024"/>
      <c r="S2" s="1024"/>
      <c r="T2" s="1024"/>
      <c r="U2" s="1024"/>
      <c r="V2" s="1024"/>
      <c r="W2" s="1024"/>
      <c r="X2" s="1024"/>
      <c r="Y2" s="1024"/>
      <c r="Z2" s="1024"/>
      <c r="AA2" s="1024"/>
      <c r="AB2" s="1024"/>
      <c r="AC2" s="1082"/>
    </row>
    <row r="3" spans="1:29" s="873" customFormat="1" ht="28.5" customHeight="1">
      <c r="A3" s="147" t="s">
        <v>926</v>
      </c>
      <c r="B3" s="892">
        <f>ROUND(IF(D3="",B2*10000/'数据-汇总表'!E3,B2*10000/D3),0)</f>
        <v>329</v>
      </c>
      <c r="C3" s="147" t="s">
        <v>927</v>
      </c>
      <c r="D3" s="893"/>
      <c r="E3" s="890"/>
      <c r="F3" s="891"/>
      <c r="G3" s="890"/>
      <c r="H3" s="890"/>
      <c r="I3" s="890"/>
      <c r="J3" s="890"/>
      <c r="K3" s="1025"/>
      <c r="L3" s="1026"/>
      <c r="M3" s="1027"/>
      <c r="N3" s="1027"/>
      <c r="O3" s="1027"/>
      <c r="P3" s="1024"/>
      <c r="Q3" s="1024"/>
      <c r="R3" s="1024"/>
      <c r="S3" s="1024"/>
      <c r="T3" s="1024"/>
      <c r="U3" s="1024"/>
      <c r="V3" s="1024"/>
      <c r="W3" s="1024"/>
      <c r="X3" s="1024"/>
      <c r="Y3" s="1024"/>
      <c r="Z3" s="1024"/>
      <c r="AA3" s="1024"/>
      <c r="AB3" s="1084"/>
      <c r="AC3" s="1085"/>
    </row>
    <row r="4" spans="1:29"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6" t="s">
        <v>931</v>
      </c>
      <c r="AC4" s="3195" t="s">
        <v>932</v>
      </c>
    </row>
    <row r="5" spans="1:29" ht="15">
      <c r="A5" s="896"/>
      <c r="B5" s="897"/>
      <c r="C5" s="3171" t="s">
        <v>935</v>
      </c>
      <c r="D5" s="3172"/>
      <c r="E5" s="3173" t="str">
        <f>土地案例!A2</f>
        <v>喀左县公营子镇端正村</v>
      </c>
      <c r="F5" s="3174"/>
      <c r="G5" s="3171" t="str">
        <f>土地案例!A5</f>
        <v>公营子镇端正村、土城子村</v>
      </c>
      <c r="H5" s="3172"/>
      <c r="I5" s="3171" t="str">
        <f>土地案例!A6</f>
        <v>公营子镇土城子村、下三家村</v>
      </c>
      <c r="J5" s="3172"/>
      <c r="K5" s="1028"/>
      <c r="L5" s="1029"/>
      <c r="M5" s="1030"/>
      <c r="N5" s="1030"/>
      <c r="O5" s="1030"/>
      <c r="P5" s="3200"/>
      <c r="Q5" s="3201"/>
      <c r="R5" s="3206"/>
      <c r="S5" s="3207"/>
      <c r="T5" s="3206"/>
      <c r="U5" s="3207"/>
      <c r="V5" s="3183"/>
      <c r="W5" s="3183"/>
      <c r="X5" s="1070"/>
      <c r="Y5" s="3206"/>
      <c r="Z5" s="3207"/>
      <c r="AA5" s="3196"/>
      <c r="AB5" s="3196"/>
      <c r="AC5" s="3196"/>
    </row>
    <row r="6" spans="1:29" ht="15">
      <c r="A6" s="898"/>
      <c r="B6" s="899"/>
      <c r="C6" s="3175" t="s">
        <v>936</v>
      </c>
      <c r="D6" s="3176"/>
      <c r="E6" s="3177" t="s">
        <v>2761</v>
      </c>
      <c r="F6" s="3178"/>
      <c r="G6" s="3177" t="s">
        <v>2761</v>
      </c>
      <c r="H6" s="3178"/>
      <c r="I6" s="3177" t="s">
        <v>2761</v>
      </c>
      <c r="J6" s="3178"/>
      <c r="K6" s="1028" t="s">
        <v>937</v>
      </c>
      <c r="L6" s="1029"/>
      <c r="M6" s="1030"/>
      <c r="N6" s="1030"/>
      <c r="O6" s="1030"/>
      <c r="P6" s="3202"/>
      <c r="Q6" s="3203"/>
      <c r="R6" s="3206"/>
      <c r="S6" s="3207"/>
      <c r="T6" s="3208"/>
      <c r="U6" s="3209"/>
      <c r="V6" s="3183"/>
      <c r="W6" s="3183"/>
      <c r="X6" s="1070"/>
      <c r="Y6" s="3208"/>
      <c r="Z6" s="3209"/>
      <c r="AA6" s="3197"/>
      <c r="AB6" s="3197"/>
      <c r="AC6" s="3197"/>
    </row>
    <row r="7" spans="1:29" s="874" customFormat="1" ht="15">
      <c r="A7" s="900" t="s">
        <v>938</v>
      </c>
      <c r="B7" s="901"/>
      <c r="C7" s="902">
        <f>'数据-取费表'!B2</f>
        <v>44393</v>
      </c>
      <c r="D7" s="903">
        <v>100</v>
      </c>
      <c r="E7" s="904" t="str">
        <f>土地案例!AA2</f>
        <v>2021-02-01</v>
      </c>
      <c r="F7" s="905">
        <f>SUMIF(65:65,YEAR(E7)&amp;"-"&amp;INT((MONTH(E7)+2)/3),66:66)</f>
        <v>99.6</v>
      </c>
      <c r="G7" s="906" t="str">
        <f>土地案例!AA5</f>
        <v>2020-11-19</v>
      </c>
      <c r="H7" s="903">
        <f>SUMIF(65:65,YEAR(G7)&amp;"-"&amp;INT((MONTH(G7)+2)/3),66:66)</f>
        <v>99.399999999999991</v>
      </c>
      <c r="I7" s="906" t="str">
        <f>土地案例!AA6</f>
        <v>2020-11-19</v>
      </c>
      <c r="J7" s="903">
        <f>SUMIF(65:65,YEAR(I7)&amp;"-"&amp;INT((MONTH(I7)+2)/3),66:66)</f>
        <v>99.399999999999991</v>
      </c>
      <c r="K7" s="1031"/>
      <c r="L7" s="1032"/>
      <c r="M7" s="1033"/>
      <c r="N7" s="1033"/>
      <c r="O7" s="1033"/>
      <c r="P7" s="3179" t="s">
        <v>939</v>
      </c>
      <c r="Q7" s="3180"/>
      <c r="R7" s="1071" t="s">
        <v>940</v>
      </c>
      <c r="S7" s="1072">
        <f t="shared" ref="S7:S15" si="0">F7</f>
        <v>99.6</v>
      </c>
      <c r="T7" s="1071" t="s">
        <v>940</v>
      </c>
      <c r="U7" s="1072">
        <f t="shared" ref="U7:U15" si="1">H7</f>
        <v>99.399999999999991</v>
      </c>
      <c r="V7" s="1071" t="s">
        <v>940</v>
      </c>
      <c r="W7" s="1072">
        <f t="shared" ref="W7:W15" si="2">J7</f>
        <v>99.399999999999991</v>
      </c>
      <c r="X7" s="1073"/>
      <c r="Y7" s="3179" t="s">
        <v>939</v>
      </c>
      <c r="Z7" s="3181"/>
      <c r="AA7" s="1086">
        <f>D7/F7</f>
        <v>1.0040160642570282</v>
      </c>
      <c r="AB7" s="1086">
        <f>D7/H7</f>
        <v>1.0060362173038231</v>
      </c>
      <c r="AC7" s="1086">
        <f>D7/J7</f>
        <v>1.0060362173038231</v>
      </c>
    </row>
    <row r="8" spans="1:29" s="874" customFormat="1" ht="15">
      <c r="A8" s="900" t="s">
        <v>941</v>
      </c>
      <c r="B8" s="901"/>
      <c r="C8" s="907" t="s">
        <v>942</v>
      </c>
      <c r="D8" s="903">
        <v>100</v>
      </c>
      <c r="E8" s="907" t="s">
        <v>942</v>
      </c>
      <c r="F8" s="905">
        <f>SUMIF(68:68,E8,69:69)-SUMIF(68:68,C8,69:69)+100</f>
        <v>100</v>
      </c>
      <c r="G8" s="907" t="s">
        <v>942</v>
      </c>
      <c r="H8" s="903">
        <f>SUMIF(68:68,G8,69:69)-SUMIF(68:68,C8,69:69)+100</f>
        <v>100</v>
      </c>
      <c r="I8" s="907" t="s">
        <v>942</v>
      </c>
      <c r="J8" s="903">
        <f>SUMIF(68:68,I8,69:69)-SUMIF(68:68,C8,69:69)+100</f>
        <v>100</v>
      </c>
      <c r="K8" s="1031"/>
      <c r="L8" s="1032"/>
      <c r="M8" s="1033"/>
      <c r="N8" s="1033"/>
      <c r="O8" s="1033"/>
      <c r="P8" s="3179" t="s">
        <v>943</v>
      </c>
      <c r="Q8" s="3181"/>
      <c r="R8" s="1071" t="s">
        <v>940</v>
      </c>
      <c r="S8" s="1072">
        <f t="shared" si="0"/>
        <v>100</v>
      </c>
      <c r="T8" s="1071" t="s">
        <v>940</v>
      </c>
      <c r="U8" s="1072">
        <f t="shared" si="1"/>
        <v>100</v>
      </c>
      <c r="V8" s="1071" t="s">
        <v>940</v>
      </c>
      <c r="W8" s="1072">
        <f t="shared" si="2"/>
        <v>100</v>
      </c>
      <c r="X8" s="1073"/>
      <c r="Y8" s="3179" t="s">
        <v>943</v>
      </c>
      <c r="Z8" s="3181"/>
      <c r="AA8" s="1086">
        <f t="shared" ref="AA8:AA40" si="3">D8/F8</f>
        <v>1</v>
      </c>
      <c r="AB8" s="1086">
        <f t="shared" ref="AB8:AB40" si="4">D8/H8</f>
        <v>1</v>
      </c>
      <c r="AC8" s="1086">
        <f t="shared" ref="AC8:AC40" si="5">D8/J8</f>
        <v>1</v>
      </c>
    </row>
    <row r="9" spans="1:29" s="874" customFormat="1">
      <c r="A9" s="908" t="s">
        <v>944</v>
      </c>
      <c r="B9" s="909" t="s">
        <v>349</v>
      </c>
      <c r="C9" s="910" t="s">
        <v>464</v>
      </c>
      <c r="D9" s="911">
        <v>100</v>
      </c>
      <c r="E9" s="910" t="s">
        <v>464</v>
      </c>
      <c r="F9" s="911">
        <f>SUMIF(70:70,E9,71:71)-SUMIF(70:70,C9,71:71)+100</f>
        <v>100</v>
      </c>
      <c r="G9" s="910" t="s">
        <v>464</v>
      </c>
      <c r="H9" s="911">
        <f>SUMIF(70:70,G9,71:71)-SUMIF(70:70,C9,71:71)+100</f>
        <v>100</v>
      </c>
      <c r="I9" s="910" t="s">
        <v>464</v>
      </c>
      <c r="J9" s="911">
        <f>SUMIF(70:70,I9,71:71)-SUMIF(70:70,C9,71:71)+100</f>
        <v>100</v>
      </c>
      <c r="K9" s="1031"/>
      <c r="L9" s="1032"/>
      <c r="M9" s="1033"/>
      <c r="N9" s="1033"/>
      <c r="O9" s="1034"/>
      <c r="P9" s="3182"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086">
        <f t="shared" si="5"/>
        <v>1</v>
      </c>
    </row>
    <row r="10" spans="1:29" s="875" customFormat="1" ht="27">
      <c r="A10" s="912"/>
      <c r="B10" s="913" t="s">
        <v>947</v>
      </c>
      <c r="C10" s="914">
        <f>'数据-取费表'!F6</f>
        <v>46.69</v>
      </c>
      <c r="D10" s="915">
        <v>100</v>
      </c>
      <c r="E10" s="914">
        <v>50</v>
      </c>
      <c r="F10" s="915">
        <f>ROUND(100/'数据-取费表'!G16,0)</f>
        <v>102</v>
      </c>
      <c r="G10" s="914">
        <v>50</v>
      </c>
      <c r="H10" s="915">
        <f>ROUND(100/'数据-取费表'!G16,0)</f>
        <v>102</v>
      </c>
      <c r="I10" s="914">
        <v>50</v>
      </c>
      <c r="J10" s="915">
        <f>ROUND(100/'数据-取费表'!G16,0)</f>
        <v>102</v>
      </c>
      <c r="K10" s="1035"/>
      <c r="L10" s="1036"/>
      <c r="M10" s="1037"/>
      <c r="N10" s="1037"/>
      <c r="O10" s="1038"/>
      <c r="P10" s="3182"/>
      <c r="Q10" s="1075" t="str">
        <f t="shared" si="6"/>
        <v>土地使用年限（年）</v>
      </c>
      <c r="R10" s="1071" t="s">
        <v>940</v>
      </c>
      <c r="S10" s="1072">
        <f t="shared" si="0"/>
        <v>102</v>
      </c>
      <c r="T10" s="1071" t="s">
        <v>940</v>
      </c>
      <c r="U10" s="1072">
        <f t="shared" si="1"/>
        <v>102</v>
      </c>
      <c r="V10" s="1071" t="s">
        <v>940</v>
      </c>
      <c r="W10" s="1072">
        <f t="shared" si="2"/>
        <v>102</v>
      </c>
      <c r="X10" s="1073"/>
      <c r="Y10" s="3047"/>
      <c r="Z10" s="1087" t="str">
        <f t="shared" si="7"/>
        <v>土地使用年限（年）</v>
      </c>
      <c r="AA10" s="1086">
        <f t="shared" si="3"/>
        <v>0.98039215686274506</v>
      </c>
      <c r="AB10" s="1086">
        <f t="shared" si="4"/>
        <v>0.98039215686274506</v>
      </c>
      <c r="AC10" s="1086">
        <f t="shared" si="5"/>
        <v>0.98039215686274506</v>
      </c>
    </row>
    <row r="11" spans="1:29" ht="15">
      <c r="A11" s="918"/>
      <c r="B11" s="913" t="s">
        <v>948</v>
      </c>
      <c r="C11" s="919">
        <f>'数据-汇总表'!I4</f>
        <v>0.68</v>
      </c>
      <c r="D11" s="915">
        <v>100</v>
      </c>
      <c r="E11" s="919">
        <v>0.8</v>
      </c>
      <c r="F11" s="915">
        <f>LOOKUP(E11,75:75,76:76)-LOOKUP(C11,75:75,76:76)+100</f>
        <v>100</v>
      </c>
      <c r="G11" s="920">
        <v>0.8</v>
      </c>
      <c r="H11" s="915">
        <f>LOOKUP(G11,75:75,76:76)-LOOKUP(C11,75:75,76:76)+100</f>
        <v>100</v>
      </c>
      <c r="I11" s="919">
        <v>0.8</v>
      </c>
      <c r="J11" s="915">
        <f>LOOKUP(I11,75:75,76:76)-LOOKUP(C11,75:75,76:76)+100</f>
        <v>100</v>
      </c>
      <c r="K11" s="1039">
        <f>'[2]土地比较法-工业'!$K$11</f>
        <v>0.5</v>
      </c>
      <c r="L11" s="1040"/>
      <c r="M11" s="1030"/>
      <c r="N11" s="1030"/>
      <c r="O11" s="1041"/>
      <c r="P11" s="3182"/>
      <c r="Q11" s="1075" t="str">
        <f t="shared" si="6"/>
        <v>容积率</v>
      </c>
      <c r="R11" s="1071" t="s">
        <v>940</v>
      </c>
      <c r="S11" s="1072">
        <f t="shared" si="0"/>
        <v>100</v>
      </c>
      <c r="T11" s="1071" t="s">
        <v>940</v>
      </c>
      <c r="U11" s="1072">
        <f t="shared" si="1"/>
        <v>100</v>
      </c>
      <c r="V11" s="1071" t="s">
        <v>940</v>
      </c>
      <c r="W11" s="1072">
        <f t="shared" si="2"/>
        <v>100</v>
      </c>
      <c r="X11" s="1073"/>
      <c r="Y11" s="3047"/>
      <c r="Z11" s="1087" t="str">
        <f t="shared" si="7"/>
        <v>容积率</v>
      </c>
      <c r="AA11" s="1086">
        <f t="shared" si="3"/>
        <v>1</v>
      </c>
      <c r="AB11" s="1086">
        <f t="shared" si="4"/>
        <v>1</v>
      </c>
      <c r="AC11" s="1086">
        <f t="shared" si="5"/>
        <v>1</v>
      </c>
    </row>
    <row r="12" spans="1:29" s="874" customFormat="1" ht="15" hidden="1">
      <c r="A12" s="921"/>
      <c r="B12" s="922">
        <v>111</v>
      </c>
      <c r="C12" s="914"/>
      <c r="D12" s="923">
        <v>100</v>
      </c>
      <c r="E12" s="926"/>
      <c r="F12" s="915">
        <f>SUMIF(77:77,E12,78:78)-SUMIF(77:77,C12,78:78)+100</f>
        <v>100</v>
      </c>
      <c r="G12" s="927"/>
      <c r="H12" s="915">
        <f>SUMIF(77:77,G12,78:78)-SUMIF(77:77,C12,78:78)+100</f>
        <v>100</v>
      </c>
      <c r="I12" s="926"/>
      <c r="J12" s="915">
        <f>SUMIF(77:77,I12,78:78)-SUMIF(77:77,C12,78:78)+100</f>
        <v>100</v>
      </c>
      <c r="K12" s="1035"/>
      <c r="L12" s="1032"/>
      <c r="M12" s="1033"/>
      <c r="N12" s="1033"/>
      <c r="O12" s="1034"/>
      <c r="P12" s="3182"/>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hidden="1">
      <c r="A13" s="918"/>
      <c r="B13" s="922">
        <v>111</v>
      </c>
      <c r="C13" s="924"/>
      <c r="D13" s="925">
        <v>100</v>
      </c>
      <c r="E13" s="926"/>
      <c r="F13" s="915">
        <f>SUMIF(79:79,E13,80:80)-SUMIF(79:79,C13,80:80)+100</f>
        <v>100</v>
      </c>
      <c r="G13" s="927"/>
      <c r="H13" s="925">
        <f>SUMIF(79:79,G13,80:80)-SUMIF(79:79,C13,80:80)+100</f>
        <v>100</v>
      </c>
      <c r="I13" s="926"/>
      <c r="J13" s="925">
        <f>SUMIF(79:79,I13,80:80)-SUMIF(79:79,C13,80:80)+100</f>
        <v>100</v>
      </c>
      <c r="K13" s="1035"/>
      <c r="L13" s="1042"/>
      <c r="M13" s="1030"/>
      <c r="N13" s="1030"/>
      <c r="O13" s="1041"/>
      <c r="P13" s="3182"/>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15" hidden="1">
      <c r="A14" s="928"/>
      <c r="B14" s="929">
        <v>111</v>
      </c>
      <c r="C14" s="930"/>
      <c r="D14" s="931">
        <v>100</v>
      </c>
      <c r="E14" s="926"/>
      <c r="F14" s="931">
        <f>SUMIF(81:81,E14,82:82)-SUMIF(81:81,C14,82:82)+100</f>
        <v>100</v>
      </c>
      <c r="G14" s="927"/>
      <c r="H14" s="931">
        <f>SUMIF(81:81,G14,82:82)-SUMIF(81:81,C14,82:82)+100</f>
        <v>100</v>
      </c>
      <c r="I14" s="926"/>
      <c r="J14" s="931">
        <f>SUMIF(81:81,I14,82:82)-SUMIF(81:81,C14,82:82)+100</f>
        <v>100</v>
      </c>
      <c r="K14" s="1035"/>
      <c r="L14" s="1042"/>
      <c r="M14" s="1030"/>
      <c r="N14" s="1030"/>
      <c r="O14" s="1041"/>
      <c r="P14" s="3182"/>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086">
        <f t="shared" si="5"/>
        <v>1</v>
      </c>
    </row>
    <row r="15" spans="1:29" ht="15">
      <c r="A15" s="932" t="s">
        <v>949</v>
      </c>
      <c r="B15" s="1317" t="s">
        <v>659</v>
      </c>
      <c r="C15" s="1242" t="str">
        <f>估价对象房地状况!G15</f>
        <v>较好</v>
      </c>
      <c r="D15" s="935">
        <v>100</v>
      </c>
      <c r="E15" s="936"/>
      <c r="F15" s="935">
        <f>SUMIF(83:83,E16,84:84)-SUMIF(83:83,C16,84:84)+100</f>
        <v>100</v>
      </c>
      <c r="G15" s="936"/>
      <c r="H15" s="935">
        <f>SUMIF(83:83,G16,84:84)-SUMIF(83:83,C16,84:84)+100</f>
        <v>100</v>
      </c>
      <c r="I15" s="1043"/>
      <c r="J15" s="935">
        <f>SUMIF(83:83,I16,84:84)-SUMIF(83:83,C16,84:84)+100</f>
        <v>100</v>
      </c>
      <c r="K15" s="1039">
        <v>2</v>
      </c>
      <c r="L15" s="1042"/>
      <c r="M15" s="1030"/>
      <c r="N15" s="1030"/>
      <c r="O15" s="1041"/>
      <c r="P15" s="3185" t="s">
        <v>950</v>
      </c>
      <c r="Q15" s="657" t="str">
        <f t="shared" si="6"/>
        <v>产业集聚程度</v>
      </c>
      <c r="R15" s="1076" t="s">
        <v>940</v>
      </c>
      <c r="S15" s="1077">
        <f t="shared" si="0"/>
        <v>100</v>
      </c>
      <c r="T15" s="1076" t="s">
        <v>940</v>
      </c>
      <c r="U15" s="1077">
        <f t="shared" si="1"/>
        <v>100</v>
      </c>
      <c r="V15" s="1076" t="s">
        <v>940</v>
      </c>
      <c r="W15" s="1077">
        <f t="shared" si="2"/>
        <v>100</v>
      </c>
      <c r="X15" s="1070"/>
      <c r="Y15" s="3185" t="s">
        <v>950</v>
      </c>
      <c r="Z15" s="1069" t="str">
        <f t="shared" si="7"/>
        <v>产业集聚程度</v>
      </c>
      <c r="AA15" s="1088">
        <f t="shared" si="3"/>
        <v>1</v>
      </c>
      <c r="AB15" s="1088">
        <f t="shared" si="4"/>
        <v>1</v>
      </c>
      <c r="AC15" s="1088">
        <f t="shared" si="5"/>
        <v>1</v>
      </c>
    </row>
    <row r="16" spans="1:29" ht="15">
      <c r="A16" s="918"/>
      <c r="B16" s="1383"/>
      <c r="C16" s="938" t="s">
        <v>660</v>
      </c>
      <c r="D16" s="939"/>
      <c r="E16" s="938" t="s">
        <v>660</v>
      </c>
      <c r="F16" s="939"/>
      <c r="G16" s="938" t="s">
        <v>660</v>
      </c>
      <c r="H16" s="941"/>
      <c r="I16" s="938" t="s">
        <v>660</v>
      </c>
      <c r="J16" s="939"/>
      <c r="K16" s="1035"/>
      <c r="L16" s="1042"/>
      <c r="M16" s="1030"/>
      <c r="N16" s="1030"/>
      <c r="O16" s="1041"/>
      <c r="P16" s="3186"/>
      <c r="Q16" s="657"/>
      <c r="R16" s="1076"/>
      <c r="S16" s="1077"/>
      <c r="T16" s="1076"/>
      <c r="U16" s="1077"/>
      <c r="V16" s="1076"/>
      <c r="W16" s="1077"/>
      <c r="X16" s="1070"/>
      <c r="Y16" s="3186"/>
      <c r="Z16" s="1069"/>
      <c r="AA16" s="1088">
        <v>1</v>
      </c>
      <c r="AB16" s="1088">
        <v>1</v>
      </c>
      <c r="AC16" s="1088">
        <v>1</v>
      </c>
    </row>
    <row r="17" spans="1:29" ht="15">
      <c r="A17" s="918"/>
      <c r="B17" s="1319" t="s">
        <v>663</v>
      </c>
      <c r="C17" s="949" t="str">
        <f>估价对象房地状况!G16</f>
        <v>一般</v>
      </c>
      <c r="D17" s="941">
        <v>100</v>
      </c>
      <c r="E17" s="943"/>
      <c r="F17" s="944">
        <f>SUMIF(85:85,E18,86:86)-SUMIF(85:85,C18,86:86)+100</f>
        <v>100</v>
      </c>
      <c r="G17" s="943"/>
      <c r="H17" s="944">
        <f>SUMIF(85:85,G18,86:86)-SUMIF(85:85,C18,86:86)+100</f>
        <v>100</v>
      </c>
      <c r="I17" s="952"/>
      <c r="J17" s="941">
        <f>SUMIF(85:85,I18,86:86)-SUMIF(85:85,C18,86:86)+100</f>
        <v>100</v>
      </c>
      <c r="K17" s="1039">
        <v>2</v>
      </c>
      <c r="L17" s="1042"/>
      <c r="M17" s="1030"/>
      <c r="N17" s="1030"/>
      <c r="O17" s="1041"/>
      <c r="P17" s="3186"/>
      <c r="Q17" s="657" t="str">
        <f>B17</f>
        <v>交通便捷度</v>
      </c>
      <c r="R17" s="1076" t="s">
        <v>940</v>
      </c>
      <c r="S17" s="1077">
        <f>F17</f>
        <v>100</v>
      </c>
      <c r="T17" s="1076" t="s">
        <v>940</v>
      </c>
      <c r="U17" s="1077">
        <f>H17</f>
        <v>100</v>
      </c>
      <c r="V17" s="1076" t="s">
        <v>940</v>
      </c>
      <c r="W17" s="1077">
        <f>J17</f>
        <v>100</v>
      </c>
      <c r="X17" s="1070"/>
      <c r="Y17" s="3186"/>
      <c r="Z17" s="1069" t="str">
        <f>Q17</f>
        <v>交通便捷度</v>
      </c>
      <c r="AA17" s="1088">
        <f t="shared" si="3"/>
        <v>1</v>
      </c>
      <c r="AB17" s="1088">
        <f t="shared" si="4"/>
        <v>1</v>
      </c>
      <c r="AC17" s="1088">
        <f t="shared" si="5"/>
        <v>1</v>
      </c>
    </row>
    <row r="18" spans="1:29" ht="15">
      <c r="A18" s="918"/>
      <c r="B18" s="1320"/>
      <c r="C18" s="938" t="s">
        <v>664</v>
      </c>
      <c r="D18" s="939"/>
      <c r="E18" s="938" t="s">
        <v>664</v>
      </c>
      <c r="F18" s="939"/>
      <c r="G18" s="938" t="s">
        <v>664</v>
      </c>
      <c r="H18" s="939"/>
      <c r="I18" s="938" t="s">
        <v>664</v>
      </c>
      <c r="J18" s="939"/>
      <c r="K18" s="1035"/>
      <c r="L18" s="1042"/>
      <c r="M18" s="1030"/>
      <c r="N18" s="1030"/>
      <c r="O18" s="1041"/>
      <c r="P18" s="3186"/>
      <c r="Q18" s="657"/>
      <c r="R18" s="1076"/>
      <c r="S18" s="1077"/>
      <c r="T18" s="1076"/>
      <c r="U18" s="1077"/>
      <c r="V18" s="1076"/>
      <c r="W18" s="1077"/>
      <c r="X18" s="1070"/>
      <c r="Y18" s="3186"/>
      <c r="Z18" s="1069"/>
      <c r="AA18" s="1088">
        <v>1</v>
      </c>
      <c r="AB18" s="1088">
        <v>1</v>
      </c>
      <c r="AC18" s="1088">
        <v>1</v>
      </c>
    </row>
    <row r="19" spans="1:29" ht="15">
      <c r="A19" s="918"/>
      <c r="B19" s="1319" t="s">
        <v>677</v>
      </c>
      <c r="C19" s="949" t="str">
        <f>估价对象房地状况!G17</f>
        <v>较好</v>
      </c>
      <c r="D19" s="941">
        <v>100</v>
      </c>
      <c r="E19" s="943"/>
      <c r="F19" s="944">
        <f>SUMIF(87:87,E20,88:88)-SUMIF(87:87,C20,88:88)+100</f>
        <v>100</v>
      </c>
      <c r="G19" s="943"/>
      <c r="H19" s="944">
        <f>SUMIF(87:87,G20,88:88)-SUMIF(87:87,C20,88:88)+100</f>
        <v>100</v>
      </c>
      <c r="I19" s="943"/>
      <c r="J19" s="944">
        <f>SUMIF(87:87,I20,88:88)-SUMIF(87:87,C20,88:88)+100</f>
        <v>100</v>
      </c>
      <c r="K19" s="1039">
        <v>2</v>
      </c>
      <c r="L19" s="1042"/>
      <c r="M19" s="1030"/>
      <c r="N19" s="1030"/>
      <c r="O19" s="1041"/>
      <c r="P19" s="3186"/>
      <c r="Q19" s="657" t="str">
        <f t="shared" ref="Q19:Q34" si="8">B19</f>
        <v>区域土地利用方向</v>
      </c>
      <c r="R19" s="1076" t="s">
        <v>940</v>
      </c>
      <c r="S19" s="1077">
        <f>F19</f>
        <v>100</v>
      </c>
      <c r="T19" s="1076" t="s">
        <v>940</v>
      </c>
      <c r="U19" s="1077">
        <f>H19</f>
        <v>100</v>
      </c>
      <c r="V19" s="1076" t="s">
        <v>940</v>
      </c>
      <c r="W19" s="1077">
        <f>J19</f>
        <v>100</v>
      </c>
      <c r="X19" s="1070"/>
      <c r="Y19" s="3186"/>
      <c r="Z19" s="1069" t="str">
        <f>Q19</f>
        <v>区域土地利用方向</v>
      </c>
      <c r="AA19" s="1088">
        <f t="shared" si="3"/>
        <v>1</v>
      </c>
      <c r="AB19" s="1088">
        <f t="shared" si="4"/>
        <v>1</v>
      </c>
      <c r="AC19" s="1088">
        <f t="shared" si="5"/>
        <v>1</v>
      </c>
    </row>
    <row r="20" spans="1:29" ht="15">
      <c r="A20" s="896"/>
      <c r="B20" s="1320"/>
      <c r="C20" s="938" t="s">
        <v>660</v>
      </c>
      <c r="D20" s="939"/>
      <c r="E20" s="938" t="s">
        <v>660</v>
      </c>
      <c r="F20" s="939"/>
      <c r="G20" s="938" t="s">
        <v>660</v>
      </c>
      <c r="H20" s="939"/>
      <c r="I20" s="938" t="s">
        <v>660</v>
      </c>
      <c r="J20" s="939"/>
      <c r="K20" s="1046"/>
      <c r="L20" s="1042"/>
      <c r="M20" s="1030"/>
      <c r="N20" s="1030"/>
      <c r="O20" s="1041"/>
      <c r="P20" s="3186"/>
      <c r="Q20" s="657"/>
      <c r="R20" s="1076"/>
      <c r="S20" s="1077"/>
      <c r="T20" s="1076"/>
      <c r="U20" s="1077"/>
      <c r="V20" s="1076"/>
      <c r="W20" s="1077"/>
      <c r="X20" s="1070"/>
      <c r="Y20" s="3186"/>
      <c r="Z20" s="1069"/>
      <c r="AA20" s="1088"/>
      <c r="AB20" s="1088"/>
      <c r="AC20" s="1088"/>
    </row>
    <row r="21" spans="1:29" ht="15">
      <c r="A21" s="896"/>
      <c r="B21" s="1319" t="s">
        <v>671</v>
      </c>
      <c r="C21" s="949" t="str">
        <f>估价对象房地状况!G18</f>
        <v>一般</v>
      </c>
      <c r="D21" s="941">
        <v>100</v>
      </c>
      <c r="E21" s="943"/>
      <c r="F21" s="941">
        <f>SUMIF(89:89,E22,90:90)-SUMIF(89:89,C22,90:90)+100</f>
        <v>100</v>
      </c>
      <c r="G21" s="943"/>
      <c r="H21" s="941">
        <f>SUMIF(89:89,G22,90:90)-SUMIF(89:89,C22,90:90)+100</f>
        <v>100</v>
      </c>
      <c r="I21" s="952"/>
      <c r="J21" s="941">
        <f>SUMIF(89:89,I22,90:90)-SUMIF(89:89,C22,90:90)+100</f>
        <v>100</v>
      </c>
      <c r="K21" s="1039">
        <v>2</v>
      </c>
      <c r="L21" s="1042"/>
      <c r="M21" s="1030"/>
      <c r="N21" s="1030"/>
      <c r="O21" s="1041"/>
      <c r="P21" s="3186"/>
      <c r="Q21" s="657" t="str">
        <f t="shared" si="8"/>
        <v>环境状况</v>
      </c>
      <c r="R21" s="1076" t="s">
        <v>940</v>
      </c>
      <c r="S21" s="1077">
        <f>F21</f>
        <v>100</v>
      </c>
      <c r="T21" s="1076" t="s">
        <v>940</v>
      </c>
      <c r="U21" s="1077">
        <f>H21</f>
        <v>100</v>
      </c>
      <c r="V21" s="1076" t="s">
        <v>940</v>
      </c>
      <c r="W21" s="1077">
        <f>J21</f>
        <v>100</v>
      </c>
      <c r="X21" s="1070"/>
      <c r="Y21" s="3186"/>
      <c r="Z21" s="1069" t="str">
        <f>Q21</f>
        <v>环境状况</v>
      </c>
      <c r="AA21" s="1088">
        <f t="shared" si="3"/>
        <v>1</v>
      </c>
      <c r="AB21" s="1088">
        <f t="shared" si="4"/>
        <v>1</v>
      </c>
      <c r="AC21" s="1088">
        <f t="shared" si="5"/>
        <v>1</v>
      </c>
    </row>
    <row r="22" spans="1:29" ht="15">
      <c r="A22" s="896"/>
      <c r="B22" s="1320"/>
      <c r="C22" s="938" t="s">
        <v>664</v>
      </c>
      <c r="D22" s="939"/>
      <c r="E22" s="938" t="s">
        <v>664</v>
      </c>
      <c r="F22" s="939"/>
      <c r="G22" s="938" t="s">
        <v>664</v>
      </c>
      <c r="H22" s="939"/>
      <c r="I22" s="938" t="s">
        <v>664</v>
      </c>
      <c r="J22" s="939"/>
      <c r="K22" s="1035"/>
      <c r="L22" s="1042"/>
      <c r="M22" s="1030"/>
      <c r="N22" s="1030"/>
      <c r="O22" s="1041"/>
      <c r="P22" s="3186"/>
      <c r="Q22" s="657"/>
      <c r="R22" s="1076"/>
      <c r="S22" s="1077"/>
      <c r="T22" s="1076"/>
      <c r="U22" s="1077"/>
      <c r="V22" s="1076"/>
      <c r="W22" s="1077"/>
      <c r="X22" s="1070"/>
      <c r="Y22" s="3186"/>
      <c r="Z22" s="1069"/>
      <c r="AA22" s="1088">
        <v>1</v>
      </c>
      <c r="AB22" s="1088">
        <v>1</v>
      </c>
      <c r="AC22" s="1088">
        <v>1</v>
      </c>
    </row>
    <row r="23" spans="1:29" s="874" customFormat="1" ht="15">
      <c r="A23" s="956"/>
      <c r="B23" s="1321" t="s">
        <v>667</v>
      </c>
      <c r="C23" s="949" t="str">
        <f>估价对象房地状况!G19</f>
        <v>一般</v>
      </c>
      <c r="D23" s="941">
        <v>100</v>
      </c>
      <c r="E23" s="943"/>
      <c r="F23" s="941">
        <f>SUMIF(91:91,E24,92:92)-SUMIF(91:91,C24,92:92)+100</f>
        <v>100</v>
      </c>
      <c r="G23" s="943"/>
      <c r="H23" s="941">
        <f>SUMIF(91:91,G24,92:92)-SUMIF(91:91,C24,92:92)+100</f>
        <v>100</v>
      </c>
      <c r="I23" s="952"/>
      <c r="J23" s="941">
        <f>SUMIF(91:91,I24,92:92)-SUMIF(91:91,C24,92:92)+100</f>
        <v>100</v>
      </c>
      <c r="K23" s="1039">
        <v>2</v>
      </c>
      <c r="L23" s="1032"/>
      <c r="M23" s="1033"/>
      <c r="N23" s="1033"/>
      <c r="O23" s="1034"/>
      <c r="P23" s="3186"/>
      <c r="Q23" s="1075" t="str">
        <f t="shared" si="8"/>
        <v>公共配套设施</v>
      </c>
      <c r="R23" s="1071" t="s">
        <v>940</v>
      </c>
      <c r="S23" s="1072">
        <f>F23</f>
        <v>100</v>
      </c>
      <c r="T23" s="1071" t="s">
        <v>940</v>
      </c>
      <c r="U23" s="1072">
        <f>H23</f>
        <v>100</v>
      </c>
      <c r="V23" s="1071" t="s">
        <v>940</v>
      </c>
      <c r="W23" s="1072">
        <f>J23</f>
        <v>100</v>
      </c>
      <c r="X23" s="1073"/>
      <c r="Y23" s="3186"/>
      <c r="Z23" s="1087" t="str">
        <f>Q23</f>
        <v>公共配套设施</v>
      </c>
      <c r="AA23" s="1088">
        <f>D23/F23</f>
        <v>1</v>
      </c>
      <c r="AB23" s="1088">
        <f>D23/H23</f>
        <v>1</v>
      </c>
      <c r="AC23" s="1088">
        <f>D23/J23</f>
        <v>1</v>
      </c>
    </row>
    <row r="24" spans="1:29" s="874" customFormat="1" ht="15">
      <c r="A24" s="956"/>
      <c r="B24" s="1320"/>
      <c r="C24" s="957" t="s">
        <v>664</v>
      </c>
      <c r="D24" s="939"/>
      <c r="E24" s="957" t="s">
        <v>664</v>
      </c>
      <c r="F24" s="939"/>
      <c r="G24" s="957" t="s">
        <v>664</v>
      </c>
      <c r="H24" s="939"/>
      <c r="I24" s="957" t="s">
        <v>664</v>
      </c>
      <c r="J24" s="939"/>
      <c r="K24" s="1035"/>
      <c r="L24" s="1032"/>
      <c r="M24" s="1033"/>
      <c r="N24" s="1033"/>
      <c r="O24" s="1034"/>
      <c r="P24" s="3186"/>
      <c r="Q24" s="1075"/>
      <c r="R24" s="1071"/>
      <c r="S24" s="1072"/>
      <c r="T24" s="1071"/>
      <c r="U24" s="1072"/>
      <c r="V24" s="1071"/>
      <c r="W24" s="1072"/>
      <c r="X24" s="1073"/>
      <c r="Y24" s="3186"/>
      <c r="Z24" s="1087"/>
      <c r="AA24" s="1086">
        <v>1</v>
      </c>
      <c r="AB24" s="1086">
        <v>1</v>
      </c>
      <c r="AC24" s="1086">
        <v>1</v>
      </c>
    </row>
    <row r="25" spans="1:29" s="874" customFormat="1" ht="15">
      <c r="A25" s="956"/>
      <c r="B25" s="1321" t="s">
        <v>669</v>
      </c>
      <c r="C25" s="949" t="str">
        <f>估价对象房地状况!G20</f>
        <v>七通</v>
      </c>
      <c r="D25" s="941">
        <v>100</v>
      </c>
      <c r="E25" s="943"/>
      <c r="F25" s="941">
        <f>SUMIF(93:93,E26,94:94)-SUMIF(93:93,C26,94:94)+100</f>
        <v>100</v>
      </c>
      <c r="G25" s="943"/>
      <c r="H25" s="941">
        <f>SUMIF(93:93,G26,94:94)-SUMIF(93:93,C26,94:94)+100</f>
        <v>100</v>
      </c>
      <c r="I25" s="952"/>
      <c r="J25" s="941">
        <f>SUMIF(93:93,I26,94:94)-SUMIF(93:93,C26,94:94)+100</f>
        <v>100</v>
      </c>
      <c r="K25" s="1039">
        <v>1</v>
      </c>
      <c r="L25" s="1032"/>
      <c r="M25" s="1033"/>
      <c r="N25" s="1033"/>
      <c r="O25" s="1034"/>
      <c r="P25" s="3186"/>
      <c r="Q25" s="1075" t="str">
        <f t="shared" ref="Q25" si="9">B25</f>
        <v>基础设施水平</v>
      </c>
      <c r="R25" s="1071" t="s">
        <v>940</v>
      </c>
      <c r="S25" s="1072">
        <f>F25</f>
        <v>100</v>
      </c>
      <c r="T25" s="1071" t="s">
        <v>940</v>
      </c>
      <c r="U25" s="1072">
        <f>H25</f>
        <v>100</v>
      </c>
      <c r="V25" s="1071" t="s">
        <v>940</v>
      </c>
      <c r="W25" s="1072">
        <f>J25</f>
        <v>100</v>
      </c>
      <c r="X25" s="1073"/>
      <c r="Y25" s="3186"/>
      <c r="Z25" s="1087" t="str">
        <f>Q25</f>
        <v>基础设施水平</v>
      </c>
      <c r="AA25" s="1088">
        <f>D25/F25</f>
        <v>1</v>
      </c>
      <c r="AB25" s="1088">
        <f>D25/H25</f>
        <v>1</v>
      </c>
      <c r="AC25" s="1088">
        <f>D25/J25</f>
        <v>1</v>
      </c>
    </row>
    <row r="26" spans="1:29" s="874" customFormat="1" ht="15">
      <c r="A26" s="956"/>
      <c r="B26" s="1320"/>
      <c r="C26" s="957" t="s">
        <v>238</v>
      </c>
      <c r="D26" s="939"/>
      <c r="E26" s="957" t="s">
        <v>238</v>
      </c>
      <c r="F26" s="939"/>
      <c r="G26" s="957" t="s">
        <v>238</v>
      </c>
      <c r="H26" s="939"/>
      <c r="I26" s="957" t="s">
        <v>238</v>
      </c>
      <c r="J26" s="939"/>
      <c r="K26" s="1035"/>
      <c r="L26" s="1032"/>
      <c r="M26" s="1033"/>
      <c r="N26" s="1033"/>
      <c r="O26" s="1034"/>
      <c r="P26" s="3186"/>
      <c r="Q26" s="1075"/>
      <c r="R26" s="1071"/>
      <c r="S26" s="1072"/>
      <c r="T26" s="1071"/>
      <c r="U26" s="1072"/>
      <c r="V26" s="1071"/>
      <c r="W26" s="1072"/>
      <c r="X26" s="1073"/>
      <c r="Y26" s="3186"/>
      <c r="Z26" s="1087"/>
      <c r="AA26" s="1086">
        <v>1</v>
      </c>
      <c r="AB26" s="1086">
        <v>1</v>
      </c>
      <c r="AC26" s="1086">
        <v>1</v>
      </c>
    </row>
    <row r="27" spans="1:29" ht="15">
      <c r="A27" s="918"/>
      <c r="B27" s="1320" t="s">
        <v>679</v>
      </c>
      <c r="C27" s="953"/>
      <c r="D27" s="925">
        <v>100</v>
      </c>
      <c r="E27" s="959"/>
      <c r="F27" s="925">
        <f>SUMIF(95:95,E27,96:96)-SUMIF(95:95,C27,96:96)+100</f>
        <v>100</v>
      </c>
      <c r="G27" s="959"/>
      <c r="H27" s="925">
        <f>SUMIF(95:95,G27,96:96)-SUMIF(95:95,C27,96:96)+100</f>
        <v>100</v>
      </c>
      <c r="I27" s="959"/>
      <c r="J27" s="925">
        <f>SUMIF(95:95,I27,96:96)-SUMIF(95:95,C27,96:96)+100</f>
        <v>100</v>
      </c>
      <c r="K27" s="1039"/>
      <c r="L27" s="1042"/>
      <c r="M27" s="1030"/>
      <c r="N27" s="1030"/>
      <c r="O27" s="1041"/>
      <c r="P27" s="3186"/>
      <c r="Q27" s="657" t="str">
        <f t="shared" si="8"/>
        <v>临街状况</v>
      </c>
      <c r="R27" s="1076" t="s">
        <v>940</v>
      </c>
      <c r="S27" s="1077">
        <f t="shared" ref="S27:S40" si="10">F27</f>
        <v>100</v>
      </c>
      <c r="T27" s="1076" t="s">
        <v>940</v>
      </c>
      <c r="U27" s="1077">
        <f t="shared" ref="U27:U40" si="11">H27</f>
        <v>100</v>
      </c>
      <c r="V27" s="1076" t="s">
        <v>940</v>
      </c>
      <c r="W27" s="1077">
        <f t="shared" ref="W27:W40" si="12">J27</f>
        <v>100</v>
      </c>
      <c r="X27" s="1070"/>
      <c r="Y27" s="3186"/>
      <c r="Z27" s="1069" t="str">
        <f t="shared" ref="Z27:Z40" si="13">Q27</f>
        <v>临街状况</v>
      </c>
      <c r="AA27" s="1088">
        <f t="shared" si="3"/>
        <v>1</v>
      </c>
      <c r="AB27" s="1088">
        <f t="shared" si="4"/>
        <v>1</v>
      </c>
      <c r="AC27" s="1088">
        <f t="shared" si="5"/>
        <v>1</v>
      </c>
    </row>
    <row r="28" spans="1:29" ht="27">
      <c r="A28" s="918"/>
      <c r="B28" s="1321" t="s">
        <v>675</v>
      </c>
      <c r="C28" s="1951">
        <f>估价对象房地状况!G22</f>
        <v>0</v>
      </c>
      <c r="D28" s="941">
        <v>100</v>
      </c>
      <c r="E28" s="943"/>
      <c r="F28" s="941">
        <f>SUMIF(97:97,E29,98:98)-SUMIF(97:97,C29,98:98)+100</f>
        <v>100</v>
      </c>
      <c r="G28" s="943"/>
      <c r="H28" s="941">
        <f>SUMIF(97:97,G29,98:98)-SUMIF(97:97,C29,98:98)+100</f>
        <v>100</v>
      </c>
      <c r="I28" s="952"/>
      <c r="J28" s="941">
        <f>SUMIF(97:97,I29,98:98)-SUMIF(97:97,C29,98:98)+100</f>
        <v>100</v>
      </c>
      <c r="K28" s="1039"/>
      <c r="L28" s="1042"/>
      <c r="M28" s="1030"/>
      <c r="N28" s="1030"/>
      <c r="O28" s="1041"/>
      <c r="P28" s="3186"/>
      <c r="Q28" s="657" t="str">
        <f t="shared" si="8"/>
        <v>毗邻道路的类型与等级</v>
      </c>
      <c r="R28" s="1076" t="s">
        <v>940</v>
      </c>
      <c r="S28" s="1077">
        <f t="shared" si="10"/>
        <v>100</v>
      </c>
      <c r="T28" s="1076" t="s">
        <v>940</v>
      </c>
      <c r="U28" s="1077">
        <f t="shared" si="11"/>
        <v>100</v>
      </c>
      <c r="V28" s="1076" t="s">
        <v>940</v>
      </c>
      <c r="W28" s="1077">
        <f t="shared" si="12"/>
        <v>100</v>
      </c>
      <c r="X28" s="1070"/>
      <c r="Y28" s="3186"/>
      <c r="Z28" s="1069" t="str">
        <f t="shared" si="13"/>
        <v>毗邻道路的类型与等级</v>
      </c>
      <c r="AA28" s="1088">
        <f t="shared" si="3"/>
        <v>1</v>
      </c>
      <c r="AB28" s="1088">
        <f t="shared" si="4"/>
        <v>1</v>
      </c>
      <c r="AC28" s="1088">
        <f t="shared" si="5"/>
        <v>1</v>
      </c>
    </row>
    <row r="29" spans="1:29" ht="15">
      <c r="A29" s="918"/>
      <c r="B29" s="1320"/>
      <c r="C29" s="938"/>
      <c r="D29" s="939"/>
      <c r="E29" s="955"/>
      <c r="F29" s="939"/>
      <c r="G29" s="955"/>
      <c r="H29" s="939"/>
      <c r="I29" s="955"/>
      <c r="J29" s="939"/>
      <c r="K29" s="1047"/>
      <c r="L29" s="1042"/>
      <c r="M29" s="1030"/>
      <c r="N29" s="1030"/>
      <c r="O29" s="1041"/>
      <c r="P29" s="3186"/>
      <c r="Q29" s="657"/>
      <c r="R29" s="1076"/>
      <c r="S29" s="1077"/>
      <c r="T29" s="1076"/>
      <c r="U29" s="1077"/>
      <c r="V29" s="1076"/>
      <c r="W29" s="1077"/>
      <c r="X29" s="1070"/>
      <c r="Y29" s="3186"/>
      <c r="Z29" s="1069"/>
      <c r="AA29" s="1088">
        <v>1</v>
      </c>
      <c r="AB29" s="1088">
        <v>1</v>
      </c>
      <c r="AC29" s="1088">
        <v>1</v>
      </c>
    </row>
    <row r="30" spans="1:29" ht="15" hidden="1">
      <c r="A30" s="918"/>
      <c r="B30" s="1331" t="s">
        <v>680</v>
      </c>
      <c r="C30" s="951">
        <f>估价对象房地状况!G23</f>
        <v>0</v>
      </c>
      <c r="D30" s="925">
        <v>100</v>
      </c>
      <c r="E30" s="959"/>
      <c r="F30" s="925">
        <f>SUMIF(99:99,E30,100:100)-SUMIF(99:99,C30,100:100)+100</f>
        <v>100</v>
      </c>
      <c r="G30" s="959"/>
      <c r="H30" s="925">
        <f>SUMIF(99:99,G30,100:100)-SUMIF(99:99,C30,100:100)+100</f>
        <v>100</v>
      </c>
      <c r="I30" s="959"/>
      <c r="J30" s="925">
        <f>SUMIF(99:99,I30,100:100)-SUMIF(99:99,C30,100:100)+100</f>
        <v>100</v>
      </c>
      <c r="K30" s="1048"/>
      <c r="L30" s="1042"/>
      <c r="M30" s="1030"/>
      <c r="N30" s="1030"/>
      <c r="O30" s="1041"/>
      <c r="P30" s="3186"/>
      <c r="Q30" s="657" t="str">
        <f t="shared" si="8"/>
        <v>土地级别</v>
      </c>
      <c r="R30" s="1076" t="s">
        <v>940</v>
      </c>
      <c r="S30" s="1077">
        <f t="shared" si="10"/>
        <v>100</v>
      </c>
      <c r="T30" s="1076" t="s">
        <v>940</v>
      </c>
      <c r="U30" s="1077">
        <f t="shared" si="11"/>
        <v>100</v>
      </c>
      <c r="V30" s="1076" t="s">
        <v>940</v>
      </c>
      <c r="W30" s="1077">
        <f t="shared" si="12"/>
        <v>100</v>
      </c>
      <c r="X30" s="1070"/>
      <c r="Y30" s="3186"/>
      <c r="Z30" s="1069" t="str">
        <f t="shared" si="13"/>
        <v>土地级别</v>
      </c>
      <c r="AA30" s="1088">
        <f t="shared" si="3"/>
        <v>1</v>
      </c>
      <c r="AB30" s="1088">
        <f t="shared" si="4"/>
        <v>1</v>
      </c>
      <c r="AC30" s="1088">
        <f t="shared" si="5"/>
        <v>1</v>
      </c>
    </row>
    <row r="31" spans="1:29" ht="15" hidden="1">
      <c r="A31" s="896"/>
      <c r="B31" s="1389">
        <v>111</v>
      </c>
      <c r="C31" s="927"/>
      <c r="D31" s="925">
        <v>100</v>
      </c>
      <c r="E31" s="961"/>
      <c r="F31" s="925">
        <f>SUMIF(101:101,E31,102:102)-SUMIF(101:101,C31,102:102)+100</f>
        <v>100</v>
      </c>
      <c r="G31" s="961"/>
      <c r="H31" s="925">
        <f>SUMIF(101:101,G31,102:102)-SUMIF(101:101,C31,102:102)+100</f>
        <v>100</v>
      </c>
      <c r="I31" s="926"/>
      <c r="J31" s="925">
        <f>SUMIF(101:101,I31,102:102)-SUMIF(101:101,C31,102:102)+100</f>
        <v>100</v>
      </c>
      <c r="K31" s="1047"/>
      <c r="L31" s="1042"/>
      <c r="M31" s="1030"/>
      <c r="N31" s="1030"/>
      <c r="O31" s="1041"/>
      <c r="P31" s="3186"/>
      <c r="Q31" s="657">
        <f t="shared" si="8"/>
        <v>111</v>
      </c>
      <c r="R31" s="1076" t="s">
        <v>940</v>
      </c>
      <c r="S31" s="1077">
        <f t="shared" si="10"/>
        <v>100</v>
      </c>
      <c r="T31" s="1076" t="s">
        <v>940</v>
      </c>
      <c r="U31" s="1077">
        <f t="shared" si="11"/>
        <v>100</v>
      </c>
      <c r="V31" s="1076" t="s">
        <v>940</v>
      </c>
      <c r="W31" s="1077">
        <f t="shared" si="12"/>
        <v>100</v>
      </c>
      <c r="X31" s="1070"/>
      <c r="Y31" s="3186"/>
      <c r="Z31" s="1069">
        <f t="shared" si="13"/>
        <v>111</v>
      </c>
      <c r="AA31" s="1088">
        <f t="shared" si="3"/>
        <v>1</v>
      </c>
      <c r="AB31" s="1088">
        <f t="shared" si="4"/>
        <v>1</v>
      </c>
      <c r="AC31" s="1088">
        <f t="shared" si="5"/>
        <v>1</v>
      </c>
    </row>
    <row r="32" spans="1:29" ht="15" hidden="1">
      <c r="A32" s="962"/>
      <c r="B32" s="1952">
        <v>111</v>
      </c>
      <c r="C32" s="927"/>
      <c r="D32" s="925">
        <v>100</v>
      </c>
      <c r="E32" s="961"/>
      <c r="F32" s="925">
        <f>SUMIF(103:103,E33,104:104)-SUMIF(103:103,C33,104:104)+100</f>
        <v>100</v>
      </c>
      <c r="G32" s="961"/>
      <c r="H32" s="925">
        <f>SUMIF(103:103,G32,104:104)-SUMIF(103:103,C32,104:104)+100</f>
        <v>100</v>
      </c>
      <c r="I32" s="927"/>
      <c r="J32" s="925">
        <f>SUMIF(103:103,I32,104:104)-SUMIF(103:103,C32,104:104)+100</f>
        <v>100</v>
      </c>
      <c r="K32" s="1047"/>
      <c r="L32" s="1042"/>
      <c r="M32" s="1030"/>
      <c r="N32" s="1030"/>
      <c r="O32" s="1041"/>
      <c r="P32" s="3187" t="s">
        <v>951</v>
      </c>
      <c r="Q32" s="657">
        <f t="shared" si="8"/>
        <v>111</v>
      </c>
      <c r="R32" s="1076" t="s">
        <v>940</v>
      </c>
      <c r="S32" s="1077">
        <f t="shared" si="10"/>
        <v>100</v>
      </c>
      <c r="T32" s="1076" t="s">
        <v>940</v>
      </c>
      <c r="U32" s="1077">
        <f t="shared" si="11"/>
        <v>100</v>
      </c>
      <c r="V32" s="1076" t="s">
        <v>940</v>
      </c>
      <c r="W32" s="1077">
        <f t="shared" si="12"/>
        <v>100</v>
      </c>
      <c r="X32" s="1070"/>
      <c r="Y32" s="3188" t="s">
        <v>951</v>
      </c>
      <c r="Z32" s="1069">
        <f t="shared" si="13"/>
        <v>111</v>
      </c>
      <c r="AA32" s="1088">
        <f t="shared" si="3"/>
        <v>1</v>
      </c>
      <c r="AB32" s="1088">
        <f t="shared" si="4"/>
        <v>1</v>
      </c>
      <c r="AC32" s="1088">
        <f t="shared" si="5"/>
        <v>1</v>
      </c>
    </row>
    <row r="33" spans="1:29" s="876" customFormat="1" ht="15" hidden="1">
      <c r="A33" s="964"/>
      <c r="B33" s="1953">
        <v>111</v>
      </c>
      <c r="C33" s="966"/>
      <c r="D33" s="967">
        <v>100</v>
      </c>
      <c r="E33" s="968"/>
      <c r="F33" s="931">
        <f>SUMIF(105:105,E33,106:106)-SUMIF(105:105,C33,106:106)+100</f>
        <v>100</v>
      </c>
      <c r="G33" s="968"/>
      <c r="H33" s="931">
        <f>SUMIF(105:105,G33,106:106)-SUMIF(105:105,C33,106:106)+100</f>
        <v>100</v>
      </c>
      <c r="I33" s="966"/>
      <c r="J33" s="931">
        <f>SUMIF(105:105,I33,106:106)-SUMIF(105:105,C33,106:106)+100</f>
        <v>100</v>
      </c>
      <c r="K33" s="1047"/>
      <c r="L33" s="1040"/>
      <c r="M33" s="1049"/>
      <c r="N33" s="1049"/>
      <c r="O33" s="1050"/>
      <c r="P33" s="3188"/>
      <c r="Q33" s="657">
        <f t="shared" si="8"/>
        <v>111</v>
      </c>
      <c r="R33" s="1078" t="s">
        <v>940</v>
      </c>
      <c r="S33" s="1079">
        <f t="shared" si="10"/>
        <v>100</v>
      </c>
      <c r="T33" s="1078" t="s">
        <v>940</v>
      </c>
      <c r="U33" s="1079">
        <f t="shared" si="11"/>
        <v>100</v>
      </c>
      <c r="V33" s="1078" t="s">
        <v>940</v>
      </c>
      <c r="W33" s="1079">
        <f t="shared" si="12"/>
        <v>100</v>
      </c>
      <c r="X33" s="1080"/>
      <c r="Y33" s="3188"/>
      <c r="Z33" s="1089">
        <f t="shared" si="13"/>
        <v>111</v>
      </c>
      <c r="AA33" s="1088">
        <f t="shared" si="3"/>
        <v>1</v>
      </c>
      <c r="AB33" s="1088">
        <f t="shared" si="4"/>
        <v>1</v>
      </c>
      <c r="AC33" s="1088">
        <f t="shared" si="5"/>
        <v>1</v>
      </c>
    </row>
    <row r="34" spans="1:29" ht="15">
      <c r="A34" s="932" t="s">
        <v>952</v>
      </c>
      <c r="B34" s="945" t="s">
        <v>953</v>
      </c>
      <c r="C34" s="970">
        <f>'数据-基础表'!A3</f>
        <v>92973</v>
      </c>
      <c r="D34" s="971">
        <v>100</v>
      </c>
      <c r="E34" s="970">
        <f>土地案例!H2</f>
        <v>18130</v>
      </c>
      <c r="F34" s="971">
        <f>LOOKUP(E34,108:108,109:109)-LOOKUP(C34,108:108,109:109)+100</f>
        <v>96</v>
      </c>
      <c r="G34" s="970">
        <f>土地案例!H5</f>
        <v>35628</v>
      </c>
      <c r="H34" s="971">
        <f>LOOKUP(G34,108:108,109:109)-LOOKUP(C34,108:108,109:109)+100</f>
        <v>98</v>
      </c>
      <c r="I34" s="1051">
        <f>土地案例!H6</f>
        <v>33535</v>
      </c>
      <c r="J34" s="971">
        <f>LOOKUP(I34,108:108,109:109)-LOOKUP(C34,108:108,109:109)+100</f>
        <v>98</v>
      </c>
      <c r="K34" s="1047"/>
      <c r="L34" s="1042"/>
      <c r="M34" s="1030"/>
      <c r="N34" s="1030"/>
      <c r="O34" s="1041"/>
      <c r="P34" s="3188"/>
      <c r="Q34" s="657" t="str">
        <f t="shared" si="8"/>
        <v>宗地面积</v>
      </c>
      <c r="R34" s="1076" t="s">
        <v>940</v>
      </c>
      <c r="S34" s="1077">
        <f t="shared" si="10"/>
        <v>96</v>
      </c>
      <c r="T34" s="1076" t="s">
        <v>940</v>
      </c>
      <c r="U34" s="1077">
        <f t="shared" si="11"/>
        <v>98</v>
      </c>
      <c r="V34" s="1076" t="s">
        <v>940</v>
      </c>
      <c r="W34" s="1077">
        <f t="shared" si="12"/>
        <v>98</v>
      </c>
      <c r="X34" s="1070"/>
      <c r="Y34" s="3188"/>
      <c r="Z34" s="1069" t="str">
        <f t="shared" si="13"/>
        <v>宗地面积</v>
      </c>
      <c r="AA34" s="1088">
        <f t="shared" si="3"/>
        <v>1.0416666666666667</v>
      </c>
      <c r="AB34" s="1088">
        <f t="shared" si="4"/>
        <v>1.0204081632653061</v>
      </c>
      <c r="AC34" s="1088">
        <f t="shared" si="5"/>
        <v>1.0204081632653061</v>
      </c>
    </row>
    <row r="35" spans="1:29" ht="15">
      <c r="A35" s="969"/>
      <c r="B35" s="913" t="s">
        <v>954</v>
      </c>
      <c r="C35" s="972" t="s">
        <v>955</v>
      </c>
      <c r="D35" s="925">
        <v>100</v>
      </c>
      <c r="E35" s="972" t="s">
        <v>955</v>
      </c>
      <c r="F35" s="925">
        <f>SUMIF(110:110,E35,111:111)-SUMIF(110:110,C35,111:111)+100</f>
        <v>100</v>
      </c>
      <c r="G35" s="972" t="s">
        <v>955</v>
      </c>
      <c r="H35" s="925">
        <f>SUMIF(110:110,G35,111:111)-SUMIF(110:110,C35,111:111)+100</f>
        <v>100</v>
      </c>
      <c r="I35" s="972" t="s">
        <v>955</v>
      </c>
      <c r="J35" s="925">
        <f>SUMIF(110:110,I35,111:111)-SUMIF(110:110,C35,111:111)+100</f>
        <v>100</v>
      </c>
      <c r="K35" s="1048">
        <v>2</v>
      </c>
      <c r="L35" s="1042"/>
      <c r="M35" s="1030"/>
      <c r="N35" s="1030"/>
      <c r="O35" s="1041"/>
      <c r="P35" s="3188"/>
      <c r="Q35" s="657" t="str">
        <f t="shared" ref="Q35:Q40" si="14">B35</f>
        <v>宗地形状</v>
      </c>
      <c r="R35" s="1076" t="s">
        <v>940</v>
      </c>
      <c r="S35" s="1077">
        <f t="shared" si="10"/>
        <v>100</v>
      </c>
      <c r="T35" s="1076" t="s">
        <v>940</v>
      </c>
      <c r="U35" s="1077">
        <f t="shared" si="11"/>
        <v>100</v>
      </c>
      <c r="V35" s="1076" t="s">
        <v>940</v>
      </c>
      <c r="W35" s="1077">
        <f t="shared" si="12"/>
        <v>100</v>
      </c>
      <c r="X35" s="1070"/>
      <c r="Y35" s="3188"/>
      <c r="Z35" s="1069" t="str">
        <f t="shared" si="13"/>
        <v>宗地形状</v>
      </c>
      <c r="AA35" s="1088">
        <f t="shared" si="3"/>
        <v>1</v>
      </c>
      <c r="AB35" s="1088">
        <f t="shared" si="4"/>
        <v>1</v>
      </c>
      <c r="AC35" s="1088">
        <f t="shared" si="5"/>
        <v>1</v>
      </c>
    </row>
    <row r="36" spans="1:29" s="874" customFormat="1" ht="15">
      <c r="A36" s="973"/>
      <c r="B36" s="913" t="s">
        <v>956</v>
      </c>
      <c r="C36" s="974" t="s">
        <v>257</v>
      </c>
      <c r="D36" s="915">
        <v>100</v>
      </c>
      <c r="E36" s="974" t="s">
        <v>257</v>
      </c>
      <c r="F36" s="925">
        <f>SUMIF(112:112,E36,113:113)-SUMIF(112:112,C36,113:113)+100</f>
        <v>100</v>
      </c>
      <c r="G36" s="974" t="s">
        <v>257</v>
      </c>
      <c r="H36" s="925">
        <f>SUMIF(112:112,G36,113:113)-SUMIF(112:112,C36,113:113)+100</f>
        <v>100</v>
      </c>
      <c r="I36" s="974" t="s">
        <v>257</v>
      </c>
      <c r="J36" s="925">
        <f>SUMIF(112:112,I36,113:113)-SUMIF(112:112,C36,113:113)+100</f>
        <v>100</v>
      </c>
      <c r="K36" s="1048">
        <v>1</v>
      </c>
      <c r="L36" s="1032"/>
      <c r="M36" s="1033"/>
      <c r="N36" s="1033"/>
      <c r="O36" s="1034"/>
      <c r="P36" s="3188"/>
      <c r="Q36" s="657" t="str">
        <f t="shared" si="14"/>
        <v>宗地开发程度</v>
      </c>
      <c r="R36" s="1071" t="s">
        <v>940</v>
      </c>
      <c r="S36" s="1072">
        <f t="shared" si="10"/>
        <v>100</v>
      </c>
      <c r="T36" s="1071" t="s">
        <v>940</v>
      </c>
      <c r="U36" s="1072">
        <f t="shared" si="11"/>
        <v>100</v>
      </c>
      <c r="V36" s="1071" t="s">
        <v>940</v>
      </c>
      <c r="W36" s="1072">
        <f t="shared" si="12"/>
        <v>100</v>
      </c>
      <c r="X36" s="1073"/>
      <c r="Y36" s="3188"/>
      <c r="Z36" s="1087" t="str">
        <f t="shared" si="13"/>
        <v>宗地开发程度</v>
      </c>
      <c r="AA36" s="1086">
        <f t="shared" si="3"/>
        <v>1</v>
      </c>
      <c r="AB36" s="1086">
        <f t="shared" si="4"/>
        <v>1</v>
      </c>
      <c r="AC36" s="1086">
        <f t="shared" si="5"/>
        <v>1</v>
      </c>
    </row>
    <row r="37" spans="1:29" ht="15">
      <c r="A37" s="969"/>
      <c r="B37" s="913" t="s">
        <v>957</v>
      </c>
      <c r="C37" s="972" t="s">
        <v>660</v>
      </c>
      <c r="D37" s="925">
        <v>100</v>
      </c>
      <c r="E37" s="972" t="s">
        <v>660</v>
      </c>
      <c r="F37" s="925">
        <f>SUMIF(114:114,E37,115:115)-SUMIF(114:114,C37,115:115)+100</f>
        <v>100</v>
      </c>
      <c r="G37" s="972" t="s">
        <v>660</v>
      </c>
      <c r="H37" s="925">
        <f>SUMIF(114:114,G37,115:115)-SUMIF(114:114,C37,115:115)+100</f>
        <v>100</v>
      </c>
      <c r="I37" s="972" t="s">
        <v>660</v>
      </c>
      <c r="J37" s="925">
        <f>SUMIF(114:114,I37,115:115)-SUMIF(114:114,C37,115:115)+100</f>
        <v>100</v>
      </c>
      <c r="K37" s="1048">
        <v>2</v>
      </c>
      <c r="L37" s="1042"/>
      <c r="M37" s="1030"/>
      <c r="N37" s="1030"/>
      <c r="O37" s="1041"/>
      <c r="P37" s="3188" t="s">
        <v>951</v>
      </c>
      <c r="Q37" s="657" t="str">
        <f t="shared" si="14"/>
        <v>工程地质条件</v>
      </c>
      <c r="R37" s="1076" t="s">
        <v>940</v>
      </c>
      <c r="S37" s="1077">
        <f t="shared" si="10"/>
        <v>100</v>
      </c>
      <c r="T37" s="1076" t="s">
        <v>940</v>
      </c>
      <c r="U37" s="1077">
        <f t="shared" si="11"/>
        <v>100</v>
      </c>
      <c r="V37" s="1076" t="s">
        <v>940</v>
      </c>
      <c r="W37" s="1077">
        <f t="shared" si="12"/>
        <v>100</v>
      </c>
      <c r="X37" s="1070"/>
      <c r="Y37" s="3188" t="s">
        <v>951</v>
      </c>
      <c r="Z37" s="1069" t="str">
        <f t="shared" si="13"/>
        <v>工程地质条件</v>
      </c>
      <c r="AA37" s="1088">
        <f t="shared" si="3"/>
        <v>1</v>
      </c>
      <c r="AB37" s="1088">
        <f t="shared" si="4"/>
        <v>1</v>
      </c>
      <c r="AC37" s="1088">
        <f t="shared" si="5"/>
        <v>1</v>
      </c>
    </row>
    <row r="38" spans="1:29" ht="15" hidden="1">
      <c r="A38" s="969"/>
      <c r="B38" s="963">
        <v>111</v>
      </c>
      <c r="C38" s="927"/>
      <c r="D38" s="925">
        <v>100</v>
      </c>
      <c r="E38" s="927"/>
      <c r="F38" s="925">
        <f>SUMIF(116:116,E38,117:117)-SUMIF(116:116,C38,117:117)+100</f>
        <v>100</v>
      </c>
      <c r="G38" s="927"/>
      <c r="H38" s="925">
        <f>SUMIF(116:116,G38,117:117)-SUMIF(116:116,C38,117:117)+100</f>
        <v>100</v>
      </c>
      <c r="I38" s="926"/>
      <c r="J38" s="925">
        <f>SUMIF(116:116,I38,117:117)-SUMIF(116:116,C38,117:117)+100</f>
        <v>100</v>
      </c>
      <c r="K38" s="1047"/>
      <c r="L38" s="1042"/>
      <c r="M38" s="1030"/>
      <c r="N38" s="1030"/>
      <c r="O38" s="1041"/>
      <c r="P38" s="3188"/>
      <c r="Q38" s="657">
        <f t="shared" si="14"/>
        <v>111</v>
      </c>
      <c r="R38" s="1076" t="s">
        <v>940</v>
      </c>
      <c r="S38" s="1077">
        <f t="shared" si="10"/>
        <v>100</v>
      </c>
      <c r="T38" s="1076" t="s">
        <v>940</v>
      </c>
      <c r="U38" s="1077">
        <f t="shared" si="11"/>
        <v>100</v>
      </c>
      <c r="V38" s="1076" t="s">
        <v>940</v>
      </c>
      <c r="W38" s="1077">
        <f t="shared" si="12"/>
        <v>100</v>
      </c>
      <c r="X38" s="1070"/>
      <c r="Y38" s="3188"/>
      <c r="Z38" s="1069">
        <f t="shared" si="13"/>
        <v>111</v>
      </c>
      <c r="AA38" s="1088">
        <f t="shared" si="3"/>
        <v>1</v>
      </c>
      <c r="AB38" s="1088">
        <f t="shared" si="4"/>
        <v>1</v>
      </c>
      <c r="AC38" s="1088">
        <f t="shared" si="5"/>
        <v>1</v>
      </c>
    </row>
    <row r="39" spans="1:29" ht="15" hidden="1">
      <c r="A39" s="969"/>
      <c r="B39" s="963">
        <v>111</v>
      </c>
      <c r="C39" s="927"/>
      <c r="D39" s="925">
        <v>100</v>
      </c>
      <c r="E39" s="927"/>
      <c r="F39" s="925">
        <f>SUMIF(118:118,E39,119:119)-SUMIF(118:118,C39,119:119)+100</f>
        <v>100</v>
      </c>
      <c r="G39" s="927"/>
      <c r="H39" s="925">
        <f>SUMIF(118:118,G39,119:119)-SUMIF(118:118,C39,119:119)+100</f>
        <v>100</v>
      </c>
      <c r="I39" s="926"/>
      <c r="J39" s="925">
        <f>SUMIF(118:118,I39,119:119)-SUMIF(118:118,C39,119:119)+100</f>
        <v>100</v>
      </c>
      <c r="K39" s="1047"/>
      <c r="L39" s="1042"/>
      <c r="M39" s="1030"/>
      <c r="N39" s="1030"/>
      <c r="O39" s="1041"/>
      <c r="P39" s="3188"/>
      <c r="Q39" s="657">
        <f t="shared" si="14"/>
        <v>111</v>
      </c>
      <c r="R39" s="1076" t="s">
        <v>940</v>
      </c>
      <c r="S39" s="1077">
        <f t="shared" si="10"/>
        <v>100</v>
      </c>
      <c r="T39" s="1076" t="s">
        <v>940</v>
      </c>
      <c r="U39" s="1077">
        <f t="shared" si="11"/>
        <v>100</v>
      </c>
      <c r="V39" s="1076" t="s">
        <v>940</v>
      </c>
      <c r="W39" s="1077">
        <f t="shared" si="12"/>
        <v>100</v>
      </c>
      <c r="X39" s="1070"/>
      <c r="Y39" s="3188"/>
      <c r="Z39" s="1069">
        <f t="shared" si="13"/>
        <v>111</v>
      </c>
      <c r="AA39" s="1088">
        <f t="shared" si="3"/>
        <v>1</v>
      </c>
      <c r="AB39" s="1088">
        <f t="shared" si="4"/>
        <v>1</v>
      </c>
      <c r="AC39" s="1088">
        <f t="shared" si="5"/>
        <v>1</v>
      </c>
    </row>
    <row r="40" spans="1:29" s="876" customFormat="1" ht="15" hidden="1">
      <c r="A40" s="975"/>
      <c r="B40" s="963">
        <v>111</v>
      </c>
      <c r="C40" s="976"/>
      <c r="D40" s="967">
        <v>100</v>
      </c>
      <c r="E40" s="927"/>
      <c r="F40" s="931">
        <f>SUMIF(120:120,E40,121:121)-SUMIF(120:120,C40,121:121)+100</f>
        <v>100</v>
      </c>
      <c r="G40" s="927"/>
      <c r="H40" s="931">
        <f>SUMIF(120:120,G40,121:121)-SUMIF(120:120,C40,121:121)+100</f>
        <v>100</v>
      </c>
      <c r="I40" s="926"/>
      <c r="J40" s="931">
        <f>SUMIF(120:120,I40,121:121)-SUMIF(120:120,C40,121:121)+100</f>
        <v>100</v>
      </c>
      <c r="K40" s="1052"/>
      <c r="L40" s="1040"/>
      <c r="M40" s="1049"/>
      <c r="N40" s="1049"/>
      <c r="O40" s="1050"/>
      <c r="P40" s="3188"/>
      <c r="Q40" s="657">
        <f t="shared" si="14"/>
        <v>111</v>
      </c>
      <c r="R40" s="1078" t="s">
        <v>940</v>
      </c>
      <c r="S40" s="1079">
        <f t="shared" si="10"/>
        <v>100</v>
      </c>
      <c r="T40" s="1078" t="s">
        <v>940</v>
      </c>
      <c r="U40" s="1079">
        <f t="shared" si="11"/>
        <v>100</v>
      </c>
      <c r="V40" s="1078" t="s">
        <v>940</v>
      </c>
      <c r="W40" s="1079">
        <f t="shared" si="12"/>
        <v>100</v>
      </c>
      <c r="X40" s="1080"/>
      <c r="Y40" s="3188"/>
      <c r="Z40" s="1089">
        <f t="shared" si="13"/>
        <v>111</v>
      </c>
      <c r="AA40" s="1088">
        <f t="shared" si="3"/>
        <v>1</v>
      </c>
      <c r="AB40" s="1088">
        <f t="shared" si="4"/>
        <v>1</v>
      </c>
      <c r="AC40" s="1088">
        <f t="shared" si="5"/>
        <v>1</v>
      </c>
    </row>
    <row r="41" spans="1:29" ht="15">
      <c r="A41" s="978" t="s">
        <v>958</v>
      </c>
      <c r="B41" s="979" t="s">
        <v>959</v>
      </c>
      <c r="C41" s="980" t="s">
        <v>124</v>
      </c>
      <c r="D41" s="981"/>
      <c r="E41" s="982">
        <f>土地案例!AV2</f>
        <v>221</v>
      </c>
      <c r="F41" s="983"/>
      <c r="G41" s="984">
        <f>土地案例!AV5</f>
        <v>220</v>
      </c>
      <c r="H41" s="985"/>
      <c r="I41" s="982">
        <f>土地案例!AV6</f>
        <v>220</v>
      </c>
      <c r="J41" s="985"/>
      <c r="K41" s="1053"/>
      <c r="L41" s="1054"/>
      <c r="M41" s="1030"/>
      <c r="N41" s="1030"/>
      <c r="O41" s="995"/>
      <c r="P41" s="3182" t="str">
        <f>A41</f>
        <v>成交单价</v>
      </c>
      <c r="Q41" s="3182"/>
      <c r="R41" s="3183">
        <f>E41</f>
        <v>221</v>
      </c>
      <c r="S41" s="3183"/>
      <c r="T41" s="3183">
        <f>G41</f>
        <v>220</v>
      </c>
      <c r="U41" s="3183"/>
      <c r="V41" s="3183">
        <f>I41</f>
        <v>220</v>
      </c>
      <c r="W41" s="3183"/>
      <c r="X41" s="1081"/>
      <c r="Y41" s="1090"/>
      <c r="Z41" s="1081"/>
      <c r="AA41" s="1081"/>
      <c r="AB41" s="1081"/>
      <c r="AC41" s="1081"/>
    </row>
    <row r="42" spans="1:29" ht="15">
      <c r="A42" s="986" t="s">
        <v>960</v>
      </c>
      <c r="B42" s="987"/>
      <c r="C42" s="988">
        <f>R43</f>
        <v>223</v>
      </c>
      <c r="D42" s="989"/>
      <c r="E42" s="988">
        <f>R42</f>
        <v>227</v>
      </c>
      <c r="F42" s="990"/>
      <c r="G42" s="991">
        <f>T42</f>
        <v>221</v>
      </c>
      <c r="H42" s="989"/>
      <c r="I42" s="988">
        <f>V42</f>
        <v>221</v>
      </c>
      <c r="J42" s="989"/>
      <c r="K42" s="1055"/>
      <c r="L42" s="1054"/>
      <c r="M42" s="1030"/>
      <c r="N42" s="1030"/>
      <c r="O42" s="995"/>
      <c r="P42" s="3182" t="str">
        <f>A42</f>
        <v>比较价值（元/平方米）</v>
      </c>
      <c r="Q42" s="3182"/>
      <c r="R42" s="3191">
        <f>ROUND(PRODUCT(R41,AA7:AA40),0)</f>
        <v>227</v>
      </c>
      <c r="S42" s="3191"/>
      <c r="T42" s="3191">
        <f>ROUND(PRODUCT(T41,AB7:AB40),0)</f>
        <v>221</v>
      </c>
      <c r="U42" s="3191"/>
      <c r="V42" s="3191">
        <f>ROUND(PRODUCT(V41,AC7:AC40),0)</f>
        <v>221</v>
      </c>
      <c r="W42" s="3191"/>
      <c r="X42" s="1081"/>
      <c r="Y42" s="1081"/>
      <c r="Z42" s="1081"/>
      <c r="AA42" s="1081"/>
      <c r="AB42" s="1081"/>
      <c r="AC42" s="1081"/>
    </row>
    <row r="43" spans="1:29" ht="15">
      <c r="A43" s="992" t="s">
        <v>961</v>
      </c>
      <c r="B43" s="993"/>
      <c r="C43" s="994">
        <f>R43</f>
        <v>223</v>
      </c>
      <c r="D43" s="994"/>
      <c r="E43" s="994"/>
      <c r="F43" s="994"/>
      <c r="G43" s="994"/>
      <c r="H43" s="994"/>
      <c r="I43" s="994"/>
      <c r="J43" s="994"/>
      <c r="K43" s="1056"/>
      <c r="L43" s="1054"/>
      <c r="M43" s="1030"/>
      <c r="N43" s="1030" t="s">
        <v>2554</v>
      </c>
      <c r="O43" s="995"/>
      <c r="P43" s="3192" t="str">
        <f>A43</f>
        <v>估价对象XX用房的比较价值（楼面单价，元/平方米）</v>
      </c>
      <c r="Q43" s="3193"/>
      <c r="R43" s="3194">
        <f>ROUND(AVERAGE(R42:V42),0)</f>
        <v>223</v>
      </c>
      <c r="S43" s="3194"/>
      <c r="T43" s="3194"/>
      <c r="U43" s="3194"/>
      <c r="V43" s="3194"/>
      <c r="W43" s="3194"/>
      <c r="X43" s="1081"/>
      <c r="Y43" s="1081"/>
      <c r="Z43" s="1081"/>
      <c r="AA43" s="1081"/>
      <c r="AB43" s="1081"/>
      <c r="AC43" s="1081"/>
    </row>
    <row r="44" spans="1:29">
      <c r="A44" s="995"/>
      <c r="B44" s="995"/>
      <c r="C44" s="995"/>
      <c r="D44" s="995"/>
      <c r="E44" s="995"/>
      <c r="F44" s="995"/>
      <c r="G44" s="996"/>
      <c r="H44" s="995"/>
      <c r="I44" s="995"/>
      <c r="J44" s="995"/>
      <c r="K44" s="1058"/>
      <c r="L44" s="1059"/>
      <c r="M44" s="1030"/>
      <c r="N44" s="1030"/>
      <c r="O44" s="995"/>
    </row>
    <row r="45" spans="1:29">
      <c r="A45" s="995"/>
      <c r="B45" s="995"/>
      <c r="C45" s="995"/>
      <c r="D45" s="995"/>
      <c r="E45" s="995"/>
      <c r="F45" s="995"/>
      <c r="G45" s="995"/>
      <c r="H45" s="995"/>
      <c r="I45" s="995"/>
      <c r="J45" s="995"/>
      <c r="K45" s="1058"/>
      <c r="L45" s="1059"/>
      <c r="M45" s="1030"/>
      <c r="N45" s="1030"/>
      <c r="O45" s="995"/>
    </row>
    <row r="46" spans="1:29" ht="13.5" customHeight="1">
      <c r="A46" s="995"/>
      <c r="B46" s="995"/>
      <c r="C46" s="997" t="s">
        <v>962</v>
      </c>
      <c r="D46" s="697"/>
      <c r="E46" s="998">
        <f>IF(E41&lt;E42,E42/E41-1,E41/E42-1)</f>
        <v>2.7149321266968229E-2</v>
      </c>
      <c r="F46" s="999" t="str">
        <f>IF(OR(E46&gt;=0.3,E46&lt;=-0.3),"超过30%","")</f>
        <v/>
      </c>
      <c r="G46" s="998">
        <f>IF(G41&lt;G42,G42/G41-1,G41/G42-1)</f>
        <v>4.5454545454546302E-3</v>
      </c>
      <c r="H46" s="999" t="str">
        <f>IF(OR(G46&gt;=0.3,G46&lt;=-0.3),"超过30%","")</f>
        <v/>
      </c>
      <c r="I46" s="998">
        <f>IF(I41&lt;I42,I42/I41-1,I41/I42-1)</f>
        <v>4.5454545454546302E-3</v>
      </c>
      <c r="J46" s="999" t="str">
        <f>IF(OR(I46&gt;=0.3,I46&lt;=-0.3),"超过30%","")</f>
        <v/>
      </c>
      <c r="K46" s="1058"/>
      <c r="L46" s="1059"/>
      <c r="M46" s="1030"/>
      <c r="N46" s="1030"/>
      <c r="O46" s="995"/>
    </row>
    <row r="47" spans="1:29" ht="13.5" customHeight="1">
      <c r="A47" s="995"/>
      <c r="B47" s="995"/>
      <c r="C47" s="997" t="s">
        <v>963</v>
      </c>
      <c r="D47" s="696"/>
      <c r="E47" s="998">
        <f>IF(E42&lt;G42,G42/E42-1,E42/G42-1)</f>
        <v>2.7149321266968229E-2</v>
      </c>
      <c r="F47" s="999" t="str">
        <f>IF(OR(E47&gt;=0.2,E47&lt;=-0.2),"超过20%","")</f>
        <v/>
      </c>
      <c r="G47" s="998">
        <f>IF(G42&lt;I42,I42/G42-1,G42/I42-1)</f>
        <v>0</v>
      </c>
      <c r="H47" s="999" t="str">
        <f>IF(OR(G47&gt;=0.2,G47&lt;=-0.2),"超过20%","")</f>
        <v/>
      </c>
      <c r="I47" s="998">
        <f>IF(I42&lt;E42,E42/I42-1,I42/E42-1)</f>
        <v>2.7149321266968229E-2</v>
      </c>
      <c r="J47" s="999" t="str">
        <f>IF(OR(I47&gt;=0.2,I47&lt;=-0.2),"超过20%","")</f>
        <v/>
      </c>
      <c r="K47" s="1058"/>
      <c r="L47" s="1059"/>
      <c r="M47" s="995"/>
      <c r="N47" s="995"/>
      <c r="O47" s="995"/>
    </row>
    <row r="48" spans="1:29" s="877" customFormat="1" ht="13.5" customHeight="1">
      <c r="A48" s="1000"/>
      <c r="B48" s="1000"/>
      <c r="C48" s="997" t="s">
        <v>964</v>
      </c>
      <c r="D48" s="696"/>
      <c r="E48" s="998">
        <f>IF(E41&lt;G41,G41/E41-1,E41/G41-1)</f>
        <v>4.5454545454546302E-3</v>
      </c>
      <c r="F48" s="999" t="str">
        <f>IF(OR(E48&gt;=0.3,E48&lt;=-0.3),"超过30%","")</f>
        <v/>
      </c>
      <c r="G48" s="998">
        <f>IF(G41&lt;I41,I41/G41-1,G41/I41-1)</f>
        <v>0</v>
      </c>
      <c r="H48" s="999" t="str">
        <f>IF(OR(G48&gt;=0.3,G48&lt;=-0.3),"超过30%","")</f>
        <v/>
      </c>
      <c r="I48" s="998">
        <f>IF(I41&lt;E41,E41/I41-1,I41/E41-1)</f>
        <v>4.5454545454546302E-3</v>
      </c>
      <c r="J48" s="999" t="str">
        <f>IF(OR(I48&gt;=0.3,I48&lt;=-0.3),"超过30%","")</f>
        <v/>
      </c>
      <c r="K48" s="1060"/>
      <c r="L48" s="1061"/>
      <c r="M48" s="1000"/>
      <c r="N48" s="1000"/>
      <c r="O48" s="1000"/>
    </row>
    <row r="49" spans="1:17" s="877" customFormat="1">
      <c r="A49" s="1000"/>
      <c r="B49" s="1001"/>
      <c r="C49" s="1002"/>
      <c r="D49" s="1003"/>
      <c r="E49" s="1003"/>
      <c r="F49" s="1003"/>
      <c r="G49" s="1003"/>
      <c r="H49" s="1003"/>
      <c r="I49" s="1003"/>
      <c r="J49" s="1003"/>
      <c r="K49" s="1060"/>
      <c r="L49" s="1061"/>
      <c r="M49" s="1000"/>
      <c r="N49" s="1000"/>
      <c r="O49" s="1000"/>
    </row>
    <row r="50" spans="1:17" ht="27">
      <c r="A50" s="1004" t="s">
        <v>965</v>
      </c>
      <c r="B50" s="1005" t="s">
        <v>966</v>
      </c>
      <c r="C50" s="1006" t="s">
        <v>967</v>
      </c>
      <c r="D50" s="1007" t="s">
        <v>968</v>
      </c>
      <c r="E50" s="1008" t="s">
        <v>969</v>
      </c>
      <c r="F50" s="1954" t="s">
        <v>970</v>
      </c>
      <c r="G50" s="3167" t="s">
        <v>971</v>
      </c>
      <c r="H50" s="3189"/>
      <c r="I50" s="1069" t="s">
        <v>972</v>
      </c>
      <c r="J50" s="1069" t="str">
        <f>项目基本情况!F35</f>
        <v>辽宁省朝阳市</v>
      </c>
      <c r="K50" s="1064" t="s">
        <v>973</v>
      </c>
      <c r="L50" s="1059"/>
      <c r="M50" s="995"/>
      <c r="N50" s="995"/>
      <c r="O50" s="995"/>
    </row>
    <row r="51" spans="1:17" s="878" customFormat="1">
      <c r="A51" s="1010" t="s">
        <v>974</v>
      </c>
      <c r="B51" s="1011">
        <f>C43</f>
        <v>223</v>
      </c>
      <c r="C51" s="1012">
        <v>1</v>
      </c>
      <c r="D51" s="1013">
        <v>1</v>
      </c>
      <c r="E51" s="1012">
        <f>'数据-汇总表'!E8+'数据-汇总表'!E9</f>
        <v>34364.589999999997</v>
      </c>
      <c r="F51" s="1955">
        <f t="shared" ref="F51:F60" si="15">ROUND(B51*E51/10000,0)</f>
        <v>766</v>
      </c>
      <c r="G51" s="3190"/>
      <c r="H51" s="3182"/>
      <c r="I51" s="684">
        <v>1</v>
      </c>
      <c r="J51" s="684">
        <v>1</v>
      </c>
      <c r="K51" s="1000"/>
      <c r="L51" s="1067"/>
      <c r="M51" s="1067"/>
      <c r="N51" s="1067"/>
      <c r="O51" s="1067"/>
    </row>
    <row r="52" spans="1:17" s="878" customFormat="1">
      <c r="A52" s="1015" t="s">
        <v>975</v>
      </c>
      <c r="B52" s="161">
        <f>ROUND($C$43*C52*D52,0)</f>
        <v>0</v>
      </c>
      <c r="C52" s="602">
        <f t="shared" ref="C52:C60" si="16">IF($C$50="北京市系数",I52,J52)</f>
        <v>0</v>
      </c>
      <c r="D52" s="1016">
        <v>0.25</v>
      </c>
      <c r="E52" s="1017"/>
      <c r="F52" s="1955">
        <f t="shared" si="15"/>
        <v>0</v>
      </c>
      <c r="G52" s="3184" t="s">
        <v>976</v>
      </c>
      <c r="H52" s="1019">
        <f>项目基本情况!B37</f>
        <v>0</v>
      </c>
      <c r="I52" s="684">
        <f>SUMIF(修正!A45:A56,H52,修正!B45:B56)</f>
        <v>0</v>
      </c>
      <c r="J52" s="1956"/>
      <c r="K52" s="995"/>
      <c r="L52" s="1067"/>
      <c r="M52" s="1067"/>
      <c r="N52" s="1067"/>
      <c r="O52" s="1067"/>
    </row>
    <row r="53" spans="1:17" s="878" customFormat="1">
      <c r="A53" s="1015" t="s">
        <v>977</v>
      </c>
      <c r="B53" s="161">
        <f t="shared" ref="B53:B60" si="17">ROUND($C$43*C53*D53,0)</f>
        <v>0</v>
      </c>
      <c r="C53" s="602">
        <f t="shared" si="16"/>
        <v>0</v>
      </c>
      <c r="D53" s="1016">
        <v>0.25</v>
      </c>
      <c r="E53" s="1017"/>
      <c r="F53" s="1955">
        <f t="shared" si="15"/>
        <v>0</v>
      </c>
      <c r="G53" s="3184"/>
      <c r="H53" s="1019">
        <f>项目基本情况!B37</f>
        <v>0</v>
      </c>
      <c r="I53" s="684">
        <f>SUMIF(修正!A45:A56,H53,修正!C45:C56)</f>
        <v>0</v>
      </c>
      <c r="J53" s="1956"/>
      <c r="K53" s="1000"/>
      <c r="L53" s="1067"/>
      <c r="M53" s="1067"/>
      <c r="N53" s="1067"/>
      <c r="O53" s="1067"/>
    </row>
    <row r="54" spans="1:17" s="878" customFormat="1">
      <c r="A54" s="1015" t="s">
        <v>978</v>
      </c>
      <c r="B54" s="161">
        <f t="shared" si="17"/>
        <v>0</v>
      </c>
      <c r="C54" s="602">
        <f t="shared" si="16"/>
        <v>0</v>
      </c>
      <c r="D54" s="1016">
        <v>0.25</v>
      </c>
      <c r="E54" s="1017"/>
      <c r="F54" s="1955">
        <f t="shared" si="15"/>
        <v>0</v>
      </c>
      <c r="G54" s="3184"/>
      <c r="H54" s="1019">
        <f>项目基本情况!B37</f>
        <v>0</v>
      </c>
      <c r="I54" s="684">
        <f>SUMIF(修正!A45:A56,H54,修正!D45:D56)</f>
        <v>0</v>
      </c>
      <c r="J54" s="1956"/>
      <c r="K54" s="995"/>
      <c r="L54" s="1067"/>
      <c r="M54" s="1067"/>
      <c r="N54" s="1067"/>
      <c r="O54" s="1067"/>
    </row>
    <row r="55" spans="1:17" s="878" customFormat="1">
      <c r="A55" s="1015" t="s">
        <v>979</v>
      </c>
      <c r="B55" s="161">
        <f t="shared" si="17"/>
        <v>0</v>
      </c>
      <c r="C55" s="602">
        <f t="shared" si="16"/>
        <v>0</v>
      </c>
      <c r="D55" s="1016">
        <v>0.25</v>
      </c>
      <c r="E55" s="1017"/>
      <c r="F55" s="1955">
        <f t="shared" si="15"/>
        <v>0</v>
      </c>
      <c r="G55" s="3184"/>
      <c r="H55" s="1019">
        <f>项目基本情况!B37</f>
        <v>0</v>
      </c>
      <c r="I55" s="684">
        <f>SUMIF(修正!A45:A56,H55,修正!E45:E56)</f>
        <v>0</v>
      </c>
      <c r="J55" s="1956"/>
      <c r="K55" s="1000"/>
      <c r="L55" s="1067"/>
      <c r="M55" s="1067"/>
      <c r="N55" s="1067"/>
      <c r="O55" s="1067"/>
    </row>
    <row r="56" spans="1:17" s="878" customFormat="1">
      <c r="A56" s="1015" t="s">
        <v>980</v>
      </c>
      <c r="B56" s="161">
        <f t="shared" si="17"/>
        <v>0</v>
      </c>
      <c r="C56" s="602">
        <f t="shared" si="16"/>
        <v>0</v>
      </c>
      <c r="D56" s="1016">
        <v>0.25</v>
      </c>
      <c r="E56" s="160">
        <f>'数据-汇总表'!E11</f>
        <v>0</v>
      </c>
      <c r="F56" s="1955">
        <f t="shared" si="15"/>
        <v>0</v>
      </c>
      <c r="G56" s="1018" t="s">
        <v>981</v>
      </c>
      <c r="H56" s="1019">
        <f>项目基本情况!C37</f>
        <v>0</v>
      </c>
      <c r="I56" s="684">
        <f>SUMIF(修正!A45:A56,H56,修正!F45:F56)</f>
        <v>0</v>
      </c>
      <c r="J56" s="1956"/>
      <c r="K56" s="995"/>
      <c r="L56" s="1067"/>
      <c r="M56" s="1067"/>
      <c r="N56" s="1067"/>
      <c r="O56" s="1067"/>
    </row>
    <row r="57" spans="1:17" s="878" customFormat="1">
      <c r="A57" s="1015" t="s">
        <v>982</v>
      </c>
      <c r="B57" s="161">
        <f t="shared" si="17"/>
        <v>0</v>
      </c>
      <c r="C57" s="602">
        <f t="shared" si="16"/>
        <v>0</v>
      </c>
      <c r="D57" s="1016">
        <v>0.25</v>
      </c>
      <c r="E57" s="160">
        <f>'数据-汇总表'!E12</f>
        <v>0</v>
      </c>
      <c r="F57" s="1955">
        <f t="shared" si="15"/>
        <v>0</v>
      </c>
      <c r="G57" s="1020" t="s">
        <v>983</v>
      </c>
      <c r="H57" s="1019">
        <f>IF(G57="商业",项目基本情况!B37,IF(G57="办公",项目基本情况!C37,IF(G57="住宅",项目基本情况!D37,项目基本情况!E37)))</f>
        <v>0</v>
      </c>
      <c r="I57" s="684">
        <f>SUMIF(修正!A45:A56,H57,修正!G45:G56)</f>
        <v>0</v>
      </c>
      <c r="J57" s="1956"/>
      <c r="K57" s="1000"/>
      <c r="L57" s="1067"/>
      <c r="M57" s="1067"/>
      <c r="N57" s="1067"/>
      <c r="O57" s="1067"/>
    </row>
    <row r="58" spans="1:17" s="878" customFormat="1">
      <c r="A58" s="1015" t="s">
        <v>984</v>
      </c>
      <c r="B58" s="161">
        <f t="shared" si="17"/>
        <v>0</v>
      </c>
      <c r="C58" s="602">
        <f t="shared" si="16"/>
        <v>0</v>
      </c>
      <c r="D58" s="1016">
        <v>0.25</v>
      </c>
      <c r="E58" s="160">
        <f>'数据-汇总表'!E13</f>
        <v>0</v>
      </c>
      <c r="F58" s="1955">
        <f t="shared" si="15"/>
        <v>0</v>
      </c>
      <c r="G58" s="1020" t="s">
        <v>985</v>
      </c>
      <c r="H58" s="1019">
        <f>IF(G58="商业",项目基本情况!B37,IF(G58="办公",项目基本情况!C37,IF(G58="住宅",项目基本情况!D37,项目基本情况!E37)))</f>
        <v>0</v>
      </c>
      <c r="I58" s="684">
        <f>SUMIF(修正!A45:A56,H58,修正!H45:H56)</f>
        <v>0</v>
      </c>
      <c r="J58" s="1956"/>
      <c r="K58" s="995"/>
      <c r="L58" s="1067"/>
      <c r="M58" s="1067"/>
      <c r="N58" s="1067"/>
      <c r="O58" s="1067"/>
    </row>
    <row r="59" spans="1:17" s="878" customFormat="1">
      <c r="A59" s="1015" t="s">
        <v>986</v>
      </c>
      <c r="B59" s="161">
        <f t="shared" si="17"/>
        <v>0</v>
      </c>
      <c r="C59" s="602">
        <f t="shared" si="16"/>
        <v>0</v>
      </c>
      <c r="D59" s="1016">
        <v>0.25</v>
      </c>
      <c r="E59" s="160">
        <f>'数据-汇总表'!E14</f>
        <v>0</v>
      </c>
      <c r="F59" s="1955">
        <f t="shared" si="15"/>
        <v>0</v>
      </c>
      <c r="G59" s="1018" t="s">
        <v>976</v>
      </c>
      <c r="H59" s="1019">
        <f>项目基本情况!B37</f>
        <v>0</v>
      </c>
      <c r="I59" s="684">
        <f>SUMIF(修正!A45:A56,H59,修正!H45:H56)</f>
        <v>0</v>
      </c>
      <c r="J59" s="1956"/>
      <c r="K59" s="1000"/>
      <c r="L59" s="1067"/>
      <c r="M59" s="1067"/>
      <c r="N59" s="1067"/>
      <c r="O59" s="1067"/>
    </row>
    <row r="60" spans="1:17" s="878" customFormat="1">
      <c r="A60" s="1015" t="s">
        <v>987</v>
      </c>
      <c r="B60" s="161">
        <f t="shared" si="17"/>
        <v>0</v>
      </c>
      <c r="C60" s="602">
        <f t="shared" si="16"/>
        <v>0</v>
      </c>
      <c r="D60" s="1016">
        <v>0.25</v>
      </c>
      <c r="E60" s="160">
        <f>'数据-汇总表'!E15</f>
        <v>0</v>
      </c>
      <c r="F60" s="1955">
        <f t="shared" si="15"/>
        <v>0</v>
      </c>
      <c r="G60" s="1091" t="s">
        <v>981</v>
      </c>
      <c r="H60" s="1092">
        <f>项目基本情况!C37</f>
        <v>0</v>
      </c>
      <c r="I60" s="684">
        <f>SUMIF(修正!A45:A56,H60,修正!H45:H56)</f>
        <v>0</v>
      </c>
      <c r="J60" s="1956"/>
      <c r="K60" s="995"/>
      <c r="L60" s="1067"/>
      <c r="M60" s="1067"/>
      <c r="N60" s="1067"/>
      <c r="O60" s="1067"/>
    </row>
    <row r="61" spans="1:17" s="878" customFormat="1">
      <c r="A61" s="1093" t="s">
        <v>988</v>
      </c>
      <c r="B61" s="1094" t="s">
        <v>989</v>
      </c>
      <c r="C61" s="1094" t="s">
        <v>989</v>
      </c>
      <c r="D61" s="1094" t="s">
        <v>989</v>
      </c>
      <c r="E61" s="1094">
        <f>IF(B41="楼面地价",SUM(E51:E60),'数据-汇总表'!D3)</f>
        <v>50693.68</v>
      </c>
      <c r="F61" s="1095">
        <f>IF(B41="楼面地价",SUM(F51:F60),ROUND(C43*E61/10000,0))</f>
        <v>1130</v>
      </c>
      <c r="G61" s="1156"/>
      <c r="H61" s="1156"/>
      <c r="I61" s="1156"/>
      <c r="J61" s="1156"/>
      <c r="K61" s="1058"/>
      <c r="L61" s="1067"/>
      <c r="M61" s="1067"/>
      <c r="N61" s="1067"/>
      <c r="O61" s="1067"/>
    </row>
    <row r="62" spans="1:17">
      <c r="A62" s="995"/>
      <c r="B62" s="1001"/>
      <c r="C62" s="1273"/>
      <c r="D62" s="995"/>
      <c r="E62" s="995"/>
      <c r="F62" s="995"/>
      <c r="G62" s="995"/>
      <c r="H62" s="995"/>
      <c r="I62" s="995"/>
      <c r="J62" s="995"/>
      <c r="K62" s="1058"/>
      <c r="L62" s="1059"/>
      <c r="M62" s="995"/>
      <c r="N62" s="995"/>
      <c r="O62" s="995"/>
    </row>
    <row r="63" spans="1:17">
      <c r="A63" s="995"/>
      <c r="B63" s="1001"/>
      <c r="C63" s="1097" t="str">
        <f>YEAR(C7)&amp;"-"&amp;MONTH(C7)&amp;"-1"</f>
        <v>2021-7-1</v>
      </c>
      <c r="D63" s="1097">
        <f>EDATE(C63,-3)</f>
        <v>44287</v>
      </c>
      <c r="E63" s="1097">
        <f>EDATE(D63,-3)</f>
        <v>44197</v>
      </c>
      <c r="F63" s="1097">
        <f t="shared" ref="F63:O63" si="18">EDATE(E63,-3)</f>
        <v>44105</v>
      </c>
      <c r="G63" s="1097">
        <f t="shared" si="18"/>
        <v>44013</v>
      </c>
      <c r="H63" s="1097">
        <f t="shared" si="18"/>
        <v>43922</v>
      </c>
      <c r="I63" s="1097">
        <f t="shared" si="18"/>
        <v>43831</v>
      </c>
      <c r="J63" s="1097">
        <f t="shared" si="18"/>
        <v>43739</v>
      </c>
      <c r="K63" s="1097">
        <f t="shared" si="18"/>
        <v>43647</v>
      </c>
      <c r="L63" s="1097">
        <f t="shared" si="18"/>
        <v>43556</v>
      </c>
      <c r="M63" s="1097">
        <f t="shared" si="18"/>
        <v>43466</v>
      </c>
      <c r="N63" s="1097">
        <f t="shared" si="18"/>
        <v>43374</v>
      </c>
      <c r="O63" s="1097">
        <f t="shared" si="18"/>
        <v>43282</v>
      </c>
    </row>
    <row r="64" spans="1:17" ht="21">
      <c r="A64" s="1098" t="s">
        <v>990</v>
      </c>
      <c r="B64" s="1081"/>
      <c r="C64" s="1099"/>
      <c r="D64" s="1099"/>
      <c r="E64" s="1099"/>
      <c r="F64" s="1100"/>
      <c r="G64" s="1100"/>
      <c r="H64" s="1099"/>
      <c r="I64" s="1099"/>
      <c r="J64" s="1099"/>
      <c r="K64" s="1286"/>
      <c r="L64" s="1287"/>
      <c r="M64" s="1099"/>
      <c r="N64" s="1099"/>
      <c r="O64" s="1157"/>
      <c r="P64" s="1160"/>
      <c r="Q64" s="1164"/>
    </row>
    <row r="65" spans="1:17" s="879" customFormat="1" ht="15">
      <c r="A65" s="1101" t="s">
        <v>991</v>
      </c>
      <c r="B65" s="1102"/>
      <c r="C65" s="1103" t="str">
        <f>YEAR(C63)&amp;"-"&amp;ROUNDUP(MONTH(C63)/3,0)</f>
        <v>2021-3</v>
      </c>
      <c r="D65" s="1103" t="str">
        <f t="shared" ref="D65:O65" si="19">YEAR(D63)&amp;"-"&amp;ROUNDUP(MONTH(D63)/3,0)</f>
        <v>2021-2</v>
      </c>
      <c r="E65" s="1103" t="str">
        <f t="shared" si="19"/>
        <v>2021-1</v>
      </c>
      <c r="F65" s="1103" t="str">
        <f t="shared" si="19"/>
        <v>2020-4</v>
      </c>
      <c r="G65" s="1103" t="str">
        <f t="shared" si="19"/>
        <v>2020-3</v>
      </c>
      <c r="H65" s="1103" t="str">
        <f t="shared" si="19"/>
        <v>2020-2</v>
      </c>
      <c r="I65" s="1103" t="str">
        <f t="shared" si="19"/>
        <v>2020-1</v>
      </c>
      <c r="J65" s="1103" t="str">
        <f t="shared" si="19"/>
        <v>2019-4</v>
      </c>
      <c r="K65" s="1103" t="str">
        <f t="shared" si="19"/>
        <v>2019-3</v>
      </c>
      <c r="L65" s="1103" t="str">
        <f t="shared" si="19"/>
        <v>2019-2</v>
      </c>
      <c r="M65" s="1103" t="str">
        <f t="shared" si="19"/>
        <v>2019-1</v>
      </c>
      <c r="N65" s="1103" t="str">
        <f t="shared" si="19"/>
        <v>2018-4</v>
      </c>
      <c r="O65" s="1103" t="str">
        <f t="shared" si="19"/>
        <v>2018-3</v>
      </c>
      <c r="P65" s="1161"/>
    </row>
    <row r="66" spans="1:17" s="874" customFormat="1" ht="30.75" customHeight="1">
      <c r="A66" s="1957" t="s">
        <v>655</v>
      </c>
      <c r="B66" s="1105" t="str">
        <f>"北京市平均增长率"&amp;TEXT(基准地价修正!P24,"0.00%")</f>
        <v>北京市平均增长率0.00%</v>
      </c>
      <c r="C66" s="809">
        <v>100</v>
      </c>
      <c r="D66" s="1106">
        <f>C66-0.2</f>
        <v>99.8</v>
      </c>
      <c r="E66" s="1106">
        <f t="shared" ref="E66:O66" si="20">D66-0.2</f>
        <v>99.6</v>
      </c>
      <c r="F66" s="1106">
        <f t="shared" si="20"/>
        <v>99.399999999999991</v>
      </c>
      <c r="G66" s="1106">
        <f t="shared" si="20"/>
        <v>99.199999999999989</v>
      </c>
      <c r="H66" s="1106">
        <f t="shared" si="20"/>
        <v>98.999999999999986</v>
      </c>
      <c r="I66" s="1106">
        <f t="shared" si="20"/>
        <v>98.799999999999983</v>
      </c>
      <c r="J66" s="1106">
        <f t="shared" si="20"/>
        <v>98.59999999999998</v>
      </c>
      <c r="K66" s="1106">
        <f t="shared" si="20"/>
        <v>98.399999999999977</v>
      </c>
      <c r="L66" s="1106">
        <f t="shared" si="20"/>
        <v>98.199999999999974</v>
      </c>
      <c r="M66" s="1106">
        <f t="shared" si="20"/>
        <v>97.999999999999972</v>
      </c>
      <c r="N66" s="1106">
        <f t="shared" si="20"/>
        <v>97.799999999999969</v>
      </c>
      <c r="O66" s="1106">
        <f t="shared" si="20"/>
        <v>97.599999999999966</v>
      </c>
      <c r="P66" s="1164"/>
    </row>
    <row r="67" spans="1:17" s="874" customFormat="1" ht="15">
      <c r="A67" s="1107" t="s">
        <v>992</v>
      </c>
      <c r="B67" s="1108"/>
      <c r="C67" s="1109"/>
      <c r="D67" s="1110"/>
      <c r="E67" s="1110"/>
      <c r="F67" s="1110"/>
      <c r="G67" s="1110"/>
      <c r="H67" s="1110"/>
      <c r="I67" s="1110"/>
      <c r="J67" s="1110"/>
      <c r="K67" s="1110"/>
      <c r="L67" s="1110"/>
      <c r="M67" s="1165"/>
      <c r="N67" s="1165"/>
      <c r="O67" s="1289"/>
      <c r="P67" s="1164"/>
      <c r="Q67" s="1164"/>
    </row>
    <row r="68" spans="1:17" s="874" customFormat="1" ht="15">
      <c r="A68" s="1111" t="s">
        <v>941</v>
      </c>
      <c r="B68" s="1112"/>
      <c r="C68" s="1113" t="s">
        <v>942</v>
      </c>
      <c r="D68" s="1114"/>
      <c r="E68" s="1114"/>
      <c r="F68" s="1114"/>
      <c r="G68" s="1114"/>
      <c r="H68" s="1114"/>
      <c r="I68" s="1114"/>
      <c r="J68" s="1114"/>
      <c r="K68" s="1114"/>
      <c r="L68" s="1167"/>
      <c r="M68" s="1168"/>
      <c r="N68" s="1169"/>
      <c r="O68" s="1169"/>
      <c r="P68" s="1170"/>
      <c r="Q68" s="1164"/>
    </row>
    <row r="69" spans="1:17" s="874" customFormat="1" ht="15">
      <c r="A69" s="1111"/>
      <c r="B69" s="1112"/>
      <c r="C69" s="1115">
        <v>100</v>
      </c>
      <c r="D69" s="1116"/>
      <c r="E69" s="1116"/>
      <c r="F69" s="1116"/>
      <c r="G69" s="1116"/>
      <c r="H69" s="1116"/>
      <c r="I69" s="1116"/>
      <c r="J69" s="1116"/>
      <c r="K69" s="1116"/>
      <c r="L69" s="1116"/>
      <c r="M69" s="1171"/>
      <c r="N69" s="1169"/>
      <c r="O69" s="1169"/>
      <c r="P69" s="1164"/>
      <c r="Q69" s="1164"/>
    </row>
    <row r="70" spans="1:17">
      <c r="A70" s="1117" t="s">
        <v>993</v>
      </c>
      <c r="B70" s="1118" t="s">
        <v>349</v>
      </c>
      <c r="C70" s="1958" t="s">
        <v>464</v>
      </c>
      <c r="D70" s="1051"/>
      <c r="E70" s="1051"/>
      <c r="F70" s="1051"/>
      <c r="G70" s="1051"/>
      <c r="H70" s="1051"/>
      <c r="I70" s="1051"/>
      <c r="J70" s="1051"/>
      <c r="K70" s="1172"/>
      <c r="L70" s="1173"/>
      <c r="M70" s="1174"/>
      <c r="N70" s="1175"/>
      <c r="O70" s="1175"/>
      <c r="P70" s="1176"/>
      <c r="Q70" s="1164"/>
    </row>
    <row r="71" spans="1:17" ht="15">
      <c r="A71" s="1119"/>
      <c r="B71" s="1120"/>
      <c r="C71" s="1121">
        <v>100</v>
      </c>
      <c r="D71" s="1121"/>
      <c r="E71" s="1121"/>
      <c r="F71" s="1121"/>
      <c r="G71" s="1121"/>
      <c r="H71" s="1121"/>
      <c r="I71" s="1121"/>
      <c r="J71" s="1121"/>
      <c r="K71" s="1121"/>
      <c r="L71" s="1121"/>
      <c r="M71" s="1177"/>
      <c r="N71" s="1178"/>
      <c r="O71" s="1178"/>
      <c r="P71" s="1176"/>
      <c r="Q71" s="1164"/>
    </row>
    <row r="72" spans="1:17" ht="27">
      <c r="A72" s="1119"/>
      <c r="B72" s="1122" t="s">
        <v>947</v>
      </c>
      <c r="C72" s="1123"/>
      <c r="D72" s="1123"/>
      <c r="E72" s="1123"/>
      <c r="F72" s="1123"/>
      <c r="G72" s="1123"/>
      <c r="H72" s="1123"/>
      <c r="I72" s="1123"/>
      <c r="J72" s="1123"/>
      <c r="K72" s="1179"/>
      <c r="L72" s="1180"/>
      <c r="M72" s="1181"/>
      <c r="N72" s="1175"/>
      <c r="O72" s="1175"/>
      <c r="P72" s="1176"/>
      <c r="Q72" s="1164"/>
    </row>
    <row r="73" spans="1:17" ht="15">
      <c r="A73" s="1119"/>
      <c r="B73" s="1124"/>
      <c r="C73" s="1125"/>
      <c r="D73" s="1125"/>
      <c r="E73" s="1125"/>
      <c r="F73" s="1125"/>
      <c r="G73" s="1125"/>
      <c r="H73" s="1125"/>
      <c r="I73" s="1125"/>
      <c r="J73" s="1125"/>
      <c r="K73" s="1125"/>
      <c r="L73" s="1125"/>
      <c r="M73" s="1182"/>
      <c r="N73" s="1178"/>
      <c r="O73" s="1178"/>
      <c r="P73" s="1176"/>
      <c r="Q73" s="1164"/>
    </row>
    <row r="74" spans="1:17" ht="15">
      <c r="A74" s="1119"/>
      <c r="B74" s="1126" t="s">
        <v>948</v>
      </c>
      <c r="C74" s="1127" t="str">
        <f>C75&amp;"（含）"&amp;"-"&amp;D75</f>
        <v>0（含）-0.5</v>
      </c>
      <c r="D74" s="1127" t="str">
        <f t="shared" ref="D74:L74" si="21">D75&amp;"（含）"&amp;"-"&amp;E75</f>
        <v>0.5（含）-1</v>
      </c>
      <c r="E74" s="1127" t="str">
        <f t="shared" si="21"/>
        <v>1（含）-1.5</v>
      </c>
      <c r="F74" s="1127" t="str">
        <f t="shared" si="21"/>
        <v>1.5（含）-2</v>
      </c>
      <c r="G74" s="1127" t="str">
        <f t="shared" si="21"/>
        <v>2（含）-</v>
      </c>
      <c r="H74" s="1127" t="str">
        <f t="shared" si="21"/>
        <v>（含）-</v>
      </c>
      <c r="I74" s="1127" t="str">
        <f t="shared" si="21"/>
        <v>（含）-</v>
      </c>
      <c r="J74" s="1127" t="str">
        <f t="shared" si="21"/>
        <v>（含）-</v>
      </c>
      <c r="K74" s="1127" t="str">
        <f t="shared" si="21"/>
        <v>（含）-</v>
      </c>
      <c r="L74" s="1127" t="str">
        <f t="shared" si="21"/>
        <v>（含）-</v>
      </c>
      <c r="M74" s="939" t="str">
        <f>M75&amp;"（含）"&amp;"-"&amp;P75</f>
        <v>（含）-</v>
      </c>
      <c r="N74" s="1178"/>
      <c r="O74" s="1178"/>
      <c r="P74" s="1176"/>
      <c r="Q74" s="1164"/>
    </row>
    <row r="75" spans="1:17" ht="15">
      <c r="A75" s="1119"/>
      <c r="B75" s="1128"/>
      <c r="C75" s="926">
        <v>0</v>
      </c>
      <c r="D75" s="926">
        <v>0.5</v>
      </c>
      <c r="E75" s="926">
        <v>1</v>
      </c>
      <c r="F75" s="926">
        <v>1.5</v>
      </c>
      <c r="G75" s="926">
        <v>2</v>
      </c>
      <c r="H75" s="926"/>
      <c r="I75" s="926"/>
      <c r="J75" s="926"/>
      <c r="K75" s="1183"/>
      <c r="L75" s="1184"/>
      <c r="M75" s="1185"/>
      <c r="N75" s="1175"/>
      <c r="O75" s="1175"/>
      <c r="P75" s="1176"/>
      <c r="Q75" s="1164"/>
    </row>
    <row r="76" spans="1:17" ht="15">
      <c r="A76" s="1119"/>
      <c r="B76" s="1120"/>
      <c r="C76" s="1125">
        <v>100</v>
      </c>
      <c r="D76" s="1125">
        <f>IF($B$41="单位面积地价",C76+$K11,C76-$K11)</f>
        <v>100.5</v>
      </c>
      <c r="E76" s="1125">
        <f t="shared" ref="E76:M76" si="22">IF($B$41="单位面积地价",D76+$K11,D76-$K11)</f>
        <v>101</v>
      </c>
      <c r="F76" s="1125">
        <f t="shared" si="22"/>
        <v>101.5</v>
      </c>
      <c r="G76" s="1125">
        <f t="shared" si="22"/>
        <v>102</v>
      </c>
      <c r="H76" s="1125">
        <f t="shared" si="22"/>
        <v>102.5</v>
      </c>
      <c r="I76" s="1125">
        <f t="shared" si="22"/>
        <v>103</v>
      </c>
      <c r="J76" s="1125">
        <f t="shared" si="22"/>
        <v>103.5</v>
      </c>
      <c r="K76" s="1125">
        <f t="shared" si="22"/>
        <v>104</v>
      </c>
      <c r="L76" s="1125">
        <f t="shared" si="22"/>
        <v>104.5</v>
      </c>
      <c r="M76" s="1125">
        <f t="shared" si="22"/>
        <v>105</v>
      </c>
      <c r="N76" s="1178"/>
      <c r="O76" s="1178"/>
      <c r="P76" s="1176"/>
      <c r="Q76" s="1164"/>
    </row>
    <row r="77" spans="1:17" s="876" customFormat="1" ht="15">
      <c r="A77" s="1129"/>
      <c r="B77" s="1122">
        <f>B12</f>
        <v>111</v>
      </c>
      <c r="C77" s="1130"/>
      <c r="D77" s="1130"/>
      <c r="E77" s="1130"/>
      <c r="F77" s="1130"/>
      <c r="G77" s="1130"/>
      <c r="H77" s="1131"/>
      <c r="I77" s="1131"/>
      <c r="J77" s="1131"/>
      <c r="K77" s="1131"/>
      <c r="L77" s="1186"/>
      <c r="M77" s="1187"/>
      <c r="N77" s="1188"/>
      <c r="O77" s="1188"/>
      <c r="P77" s="1189"/>
      <c r="Q77" s="1217"/>
    </row>
    <row r="78" spans="1:17" s="876" customFormat="1" ht="15">
      <c r="A78" s="1129"/>
      <c r="B78" s="1124"/>
      <c r="C78" s="1132"/>
      <c r="D78" s="1121"/>
      <c r="E78" s="1121"/>
      <c r="F78" s="1121"/>
      <c r="G78" s="1121"/>
      <c r="H78" s="1121"/>
      <c r="I78" s="1121"/>
      <c r="J78" s="1121"/>
      <c r="K78" s="1121"/>
      <c r="L78" s="1121"/>
      <c r="M78" s="1177"/>
      <c r="N78" s="1178"/>
      <c r="O78" s="1178"/>
      <c r="P78" s="1189"/>
      <c r="Q78" s="1217"/>
    </row>
    <row r="79" spans="1:17" s="876" customFormat="1" ht="15">
      <c r="A79" s="1129"/>
      <c r="B79" s="1122">
        <f>B13</f>
        <v>111</v>
      </c>
      <c r="C79" s="1130"/>
      <c r="D79" s="1130"/>
      <c r="E79" s="1130"/>
      <c r="F79" s="1130"/>
      <c r="G79" s="1130"/>
      <c r="H79" s="1131"/>
      <c r="I79" s="1131"/>
      <c r="J79" s="1131"/>
      <c r="K79" s="1131"/>
      <c r="L79" s="1186"/>
      <c r="M79" s="1187"/>
      <c r="N79" s="1188"/>
      <c r="O79" s="1188"/>
      <c r="P79" s="1190"/>
      <c r="Q79" s="1218"/>
    </row>
    <row r="80" spans="1:17" s="876" customFormat="1" ht="15">
      <c r="A80" s="1129"/>
      <c r="B80" s="1124"/>
      <c r="C80" s="1132"/>
      <c r="D80" s="1132"/>
      <c r="E80" s="1132"/>
      <c r="F80" s="1132"/>
      <c r="G80" s="1132"/>
      <c r="H80" s="1133"/>
      <c r="I80" s="1133"/>
      <c r="J80" s="1133"/>
      <c r="K80" s="1133"/>
      <c r="L80" s="1133"/>
      <c r="M80" s="1191"/>
      <c r="N80" s="1188"/>
      <c r="O80" s="1188"/>
      <c r="P80" s="1189"/>
      <c r="Q80" s="1217"/>
    </row>
    <row r="81" spans="1:17" s="876" customFormat="1" ht="15">
      <c r="A81" s="1129"/>
      <c r="B81" s="1126">
        <f>B14</f>
        <v>111</v>
      </c>
      <c r="C81" s="1114"/>
      <c r="D81" s="1114"/>
      <c r="E81" s="1114"/>
      <c r="F81" s="1114"/>
      <c r="G81" s="1114"/>
      <c r="H81" s="1134"/>
      <c r="I81" s="1134"/>
      <c r="J81" s="1134"/>
      <c r="K81" s="1134"/>
      <c r="L81" s="1192"/>
      <c r="M81" s="1193"/>
      <c r="N81" s="1188"/>
      <c r="O81" s="1188"/>
      <c r="P81" s="1194"/>
      <c r="Q81" s="1217"/>
    </row>
    <row r="82" spans="1:17" s="876" customFormat="1" ht="15">
      <c r="A82" s="1135"/>
      <c r="B82" s="1136"/>
      <c r="C82" s="1137"/>
      <c r="D82" s="1137"/>
      <c r="E82" s="1137"/>
      <c r="F82" s="1137"/>
      <c r="G82" s="1137"/>
      <c r="H82" s="1138"/>
      <c r="I82" s="1138"/>
      <c r="J82" s="1138"/>
      <c r="K82" s="1138"/>
      <c r="L82" s="1138"/>
      <c r="M82" s="1195"/>
      <c r="N82" s="1188"/>
      <c r="O82" s="1188"/>
      <c r="P82" s="1189"/>
      <c r="Q82" s="1217"/>
    </row>
    <row r="83" spans="1:17">
      <c r="A83" s="1117" t="s">
        <v>949</v>
      </c>
      <c r="B83" s="1118" t="s">
        <v>659</v>
      </c>
      <c r="C83" s="1139" t="s">
        <v>994</v>
      </c>
      <c r="D83" s="1139" t="s">
        <v>995</v>
      </c>
      <c r="E83" s="1139" t="s">
        <v>996</v>
      </c>
      <c r="F83" s="1139" t="s">
        <v>997</v>
      </c>
      <c r="G83" s="1139" t="s">
        <v>998</v>
      </c>
      <c r="H83" s="1140"/>
      <c r="I83" s="1140"/>
      <c r="J83" s="1140"/>
      <c r="K83" s="1196"/>
      <c r="L83" s="1197"/>
      <c r="M83" s="1198"/>
      <c r="N83" s="1175"/>
      <c r="O83" s="1175"/>
      <c r="P83" s="1199"/>
      <c r="Q83" s="1164"/>
    </row>
    <row r="84" spans="1:17" ht="15">
      <c r="A84" s="1119"/>
      <c r="B84" s="1124"/>
      <c r="C84" s="1125">
        <v>100</v>
      </c>
      <c r="D84" s="1125">
        <f>C84-$K15</f>
        <v>98</v>
      </c>
      <c r="E84" s="1125">
        <f>D84-$K15</f>
        <v>96</v>
      </c>
      <c r="F84" s="1125">
        <f>E84-$K15</f>
        <v>94</v>
      </c>
      <c r="G84" s="1125">
        <f>F84-$K15</f>
        <v>92</v>
      </c>
      <c r="H84" s="1125"/>
      <c r="I84" s="1125"/>
      <c r="J84" s="1125"/>
      <c r="K84" s="1125"/>
      <c r="L84" s="1125"/>
      <c r="M84" s="1182"/>
      <c r="N84" s="1178"/>
      <c r="O84" s="1178"/>
      <c r="P84" s="1176"/>
      <c r="Q84" s="1164"/>
    </row>
    <row r="85" spans="1:17" ht="15">
      <c r="A85" s="1119"/>
      <c r="B85" s="1122" t="s">
        <v>663</v>
      </c>
      <c r="C85" s="1141" t="s">
        <v>994</v>
      </c>
      <c r="D85" s="1141" t="s">
        <v>995</v>
      </c>
      <c r="E85" s="1141" t="s">
        <v>996</v>
      </c>
      <c r="F85" s="1141" t="s">
        <v>997</v>
      </c>
      <c r="G85" s="1141" t="s">
        <v>998</v>
      </c>
      <c r="H85" s="1123"/>
      <c r="I85" s="1123"/>
      <c r="J85" s="1123"/>
      <c r="K85" s="1179"/>
      <c r="L85" s="1180"/>
      <c r="M85" s="1181"/>
      <c r="N85" s="1175"/>
      <c r="O85" s="1175"/>
      <c r="P85" s="1176"/>
      <c r="Q85" s="1164"/>
    </row>
    <row r="86" spans="1:17" ht="15">
      <c r="A86" s="1119"/>
      <c r="B86" s="1124"/>
      <c r="C86" s="1125">
        <v>100</v>
      </c>
      <c r="D86" s="1125">
        <f>C86-$K17</f>
        <v>98</v>
      </c>
      <c r="E86" s="1125">
        <f>D86-$K17</f>
        <v>96</v>
      </c>
      <c r="F86" s="1125">
        <f>E86-$K17</f>
        <v>94</v>
      </c>
      <c r="G86" s="1125">
        <f>F86-$K17</f>
        <v>92</v>
      </c>
      <c r="H86" s="1125"/>
      <c r="I86" s="1125"/>
      <c r="J86" s="1125"/>
      <c r="K86" s="1125"/>
      <c r="L86" s="1125"/>
      <c r="M86" s="1182"/>
      <c r="N86" s="1178"/>
      <c r="O86" s="1178"/>
      <c r="P86" s="1176"/>
      <c r="Q86" s="1164"/>
    </row>
    <row r="87" spans="1:17" s="874" customFormat="1" ht="15">
      <c r="A87" s="1142"/>
      <c r="B87" s="1122" t="s">
        <v>677</v>
      </c>
      <c r="C87" s="1139" t="s">
        <v>994</v>
      </c>
      <c r="D87" s="1139" t="s">
        <v>995</v>
      </c>
      <c r="E87" s="1139" t="s">
        <v>996</v>
      </c>
      <c r="F87" s="1139" t="s">
        <v>997</v>
      </c>
      <c r="G87" s="1139" t="s">
        <v>998</v>
      </c>
      <c r="H87" s="1141"/>
      <c r="I87" s="1141"/>
      <c r="J87" s="1141"/>
      <c r="K87" s="1141"/>
      <c r="L87" s="1200"/>
      <c r="M87" s="1201"/>
      <c r="N87" s="1169"/>
      <c r="O87" s="1169"/>
      <c r="P87" s="1176"/>
      <c r="Q87" s="1164"/>
    </row>
    <row r="88" spans="1:17" s="874" customFormat="1" ht="15">
      <c r="A88" s="1142"/>
      <c r="B88" s="1124"/>
      <c r="C88" s="1143">
        <v>100</v>
      </c>
      <c r="D88" s="1125">
        <f>C88-$K19</f>
        <v>98</v>
      </c>
      <c r="E88" s="1125">
        <f>D88-$K19</f>
        <v>96</v>
      </c>
      <c r="F88" s="1125">
        <f>E88-$K19</f>
        <v>94</v>
      </c>
      <c r="G88" s="1125">
        <f>F88-$K19</f>
        <v>92</v>
      </c>
      <c r="H88" s="1125"/>
      <c r="I88" s="1125"/>
      <c r="J88" s="1125"/>
      <c r="K88" s="1125"/>
      <c r="L88" s="1125"/>
      <c r="M88" s="1182"/>
      <c r="N88" s="1178"/>
      <c r="O88" s="1178"/>
      <c r="P88" s="1176"/>
      <c r="Q88" s="1164"/>
    </row>
    <row r="89" spans="1:17" s="874" customFormat="1" ht="27">
      <c r="A89" s="1142"/>
      <c r="B89" s="1122" t="s">
        <v>678</v>
      </c>
      <c r="C89" s="1139" t="s">
        <v>994</v>
      </c>
      <c r="D89" s="1139" t="s">
        <v>995</v>
      </c>
      <c r="E89" s="1139" t="s">
        <v>996</v>
      </c>
      <c r="F89" s="1139" t="s">
        <v>997</v>
      </c>
      <c r="G89" s="1139" t="s">
        <v>998</v>
      </c>
      <c r="H89" s="1141"/>
      <c r="I89" s="1141"/>
      <c r="J89" s="1141"/>
      <c r="K89" s="1141"/>
      <c r="L89" s="1141"/>
      <c r="M89" s="1201"/>
      <c r="N89" s="1169"/>
      <c r="O89" s="1169"/>
      <c r="P89" s="1176"/>
      <c r="Q89" s="1164"/>
    </row>
    <row r="90" spans="1:17" s="874" customFormat="1" ht="15">
      <c r="A90" s="1142"/>
      <c r="B90" s="1124"/>
      <c r="C90" s="1125">
        <v>100</v>
      </c>
      <c r="D90" s="1125">
        <f>C90-$K21</f>
        <v>98</v>
      </c>
      <c r="E90" s="1125">
        <f>D90-$K21</f>
        <v>96</v>
      </c>
      <c r="F90" s="1125">
        <f>E90-$K21</f>
        <v>94</v>
      </c>
      <c r="G90" s="1125">
        <f>F90-$K21</f>
        <v>92</v>
      </c>
      <c r="H90" s="1125"/>
      <c r="I90" s="1125"/>
      <c r="J90" s="1125"/>
      <c r="K90" s="1125"/>
      <c r="L90" s="1125"/>
      <c r="M90" s="1182"/>
      <c r="N90" s="1178"/>
      <c r="O90" s="1178"/>
      <c r="P90" s="1176"/>
      <c r="Q90" s="1164"/>
    </row>
    <row r="91" spans="1:17" s="876" customFormat="1" ht="15">
      <c r="A91" s="1129"/>
      <c r="B91" s="1122" t="s">
        <v>667</v>
      </c>
      <c r="C91" s="1139" t="s">
        <v>994</v>
      </c>
      <c r="D91" s="1139" t="s">
        <v>995</v>
      </c>
      <c r="E91" s="1139" t="s">
        <v>996</v>
      </c>
      <c r="F91" s="1139" t="s">
        <v>997</v>
      </c>
      <c r="G91" s="1139" t="s">
        <v>998</v>
      </c>
      <c r="H91" s="1144"/>
      <c r="I91" s="1144"/>
      <c r="J91" s="1144"/>
      <c r="K91" s="1144"/>
      <c r="L91" s="1202"/>
      <c r="M91" s="1203"/>
      <c r="N91" s="1188"/>
      <c r="O91" s="1188"/>
      <c r="P91" s="1189"/>
      <c r="Q91" s="1217"/>
    </row>
    <row r="92" spans="1:17" s="876" customFormat="1" ht="15">
      <c r="A92" s="1129"/>
      <c r="B92" s="1124"/>
      <c r="C92" s="1125">
        <v>100</v>
      </c>
      <c r="D92" s="1125">
        <f>C92-$K23</f>
        <v>98</v>
      </c>
      <c r="E92" s="1125">
        <f>D92-$K23</f>
        <v>96</v>
      </c>
      <c r="F92" s="1125">
        <f>E92-$K23</f>
        <v>94</v>
      </c>
      <c r="G92" s="1125">
        <f>F92-$K23</f>
        <v>92</v>
      </c>
      <c r="H92" s="1145"/>
      <c r="I92" s="1145"/>
      <c r="J92" s="1145"/>
      <c r="K92" s="1145"/>
      <c r="L92" s="1145"/>
      <c r="M92" s="1204"/>
      <c r="N92" s="1188"/>
      <c r="O92" s="1188"/>
      <c r="P92" s="1189"/>
      <c r="Q92" s="1217"/>
    </row>
    <row r="93" spans="1:17" s="876" customFormat="1" ht="15">
      <c r="A93" s="1129"/>
      <c r="B93" s="1126" t="s">
        <v>669</v>
      </c>
      <c r="C93" s="1146" t="s">
        <v>999</v>
      </c>
      <c r="D93" s="1146" t="s">
        <v>1000</v>
      </c>
      <c r="E93" s="1146" t="s">
        <v>1001</v>
      </c>
      <c r="F93" s="1146" t="s">
        <v>1002</v>
      </c>
      <c r="G93" s="1146" t="s">
        <v>1003</v>
      </c>
      <c r="H93" s="1144"/>
      <c r="I93" s="1144"/>
      <c r="J93" s="1144"/>
      <c r="K93" s="1144"/>
      <c r="L93" s="1144"/>
      <c r="M93" s="1203"/>
      <c r="N93" s="1188"/>
      <c r="O93" s="1188"/>
      <c r="P93" s="1189"/>
      <c r="Q93" s="1217"/>
    </row>
    <row r="94" spans="1:17" s="876" customFormat="1" ht="15">
      <c r="A94" s="1129"/>
      <c r="B94" s="1126"/>
      <c r="C94" s="1125">
        <v>100</v>
      </c>
      <c r="D94" s="1125">
        <f>C94-$K25</f>
        <v>99</v>
      </c>
      <c r="E94" s="1125">
        <f>D94-$K25</f>
        <v>98</v>
      </c>
      <c r="F94" s="1125">
        <f>E94-$K25</f>
        <v>97</v>
      </c>
      <c r="G94" s="1125">
        <f>F94-$K25</f>
        <v>96</v>
      </c>
      <c r="H94" s="1128"/>
      <c r="I94" s="1128"/>
      <c r="J94" s="1128"/>
      <c r="K94" s="1128"/>
      <c r="L94" s="1128"/>
      <c r="M94" s="1205"/>
      <c r="N94" s="1188"/>
      <c r="O94" s="1188"/>
      <c r="P94" s="1189"/>
      <c r="Q94" s="1217"/>
    </row>
    <row r="95" spans="1:17" ht="15">
      <c r="A95" s="1119"/>
      <c r="B95" s="1122" t="str">
        <f>B27</f>
        <v>临街状况</v>
      </c>
      <c r="C95" s="1123" t="s">
        <v>1004</v>
      </c>
      <c r="D95" s="1123" t="s">
        <v>1005</v>
      </c>
      <c r="E95" s="1123" t="s">
        <v>1006</v>
      </c>
      <c r="F95" s="1123" t="s">
        <v>1007</v>
      </c>
      <c r="G95" s="1123"/>
      <c r="H95" s="1123"/>
      <c r="I95" s="1123"/>
      <c r="J95" s="1123"/>
      <c r="K95" s="1179"/>
      <c r="L95" s="1180"/>
      <c r="M95" s="1181"/>
      <c r="N95" s="1175"/>
      <c r="O95" s="1175"/>
      <c r="P95" s="1176"/>
      <c r="Q95" s="1164"/>
    </row>
    <row r="96" spans="1:17" ht="15">
      <c r="A96" s="1119"/>
      <c r="B96" s="1124"/>
      <c r="C96" s="1125">
        <v>100</v>
      </c>
      <c r="D96" s="1125">
        <f t="shared" ref="D96:M96" si="23">C96-$K27</f>
        <v>100</v>
      </c>
      <c r="E96" s="1125">
        <f t="shared" si="23"/>
        <v>100</v>
      </c>
      <c r="F96" s="1125">
        <f t="shared" si="23"/>
        <v>100</v>
      </c>
      <c r="G96" s="1125">
        <f t="shared" si="23"/>
        <v>100</v>
      </c>
      <c r="H96" s="1125">
        <f t="shared" si="23"/>
        <v>100</v>
      </c>
      <c r="I96" s="1125">
        <f t="shared" si="23"/>
        <v>100</v>
      </c>
      <c r="J96" s="1125">
        <f t="shared" si="23"/>
        <v>100</v>
      </c>
      <c r="K96" s="1125">
        <f t="shared" si="23"/>
        <v>100</v>
      </c>
      <c r="L96" s="1125">
        <f t="shared" si="23"/>
        <v>100</v>
      </c>
      <c r="M96" s="1125">
        <f t="shared" si="23"/>
        <v>100</v>
      </c>
      <c r="N96" s="1178"/>
      <c r="O96" s="1178"/>
      <c r="P96" s="1176"/>
      <c r="Q96" s="1164"/>
    </row>
    <row r="97" spans="1:17" ht="27">
      <c r="A97" s="1119"/>
      <c r="B97" s="1122" t="s">
        <v>675</v>
      </c>
      <c r="C97" s="1130"/>
      <c r="D97" s="1130"/>
      <c r="E97" s="1130"/>
      <c r="F97" s="1130"/>
      <c r="G97" s="1130"/>
      <c r="H97" s="1147"/>
      <c r="I97" s="1147"/>
      <c r="J97" s="1147"/>
      <c r="K97" s="1206"/>
      <c r="L97" s="1207"/>
      <c r="M97" s="1208"/>
      <c r="N97" s="1175"/>
      <c r="O97" s="1175"/>
      <c r="P97" s="1176"/>
      <c r="Q97" s="1164"/>
    </row>
    <row r="98" spans="1:17" ht="15">
      <c r="A98" s="1119"/>
      <c r="B98" s="1124"/>
      <c r="C98" s="1125">
        <v>100</v>
      </c>
      <c r="D98" s="1125">
        <f t="shared" ref="D98:M98" si="24">C98-$K28</f>
        <v>100</v>
      </c>
      <c r="E98" s="1125">
        <f t="shared" si="24"/>
        <v>100</v>
      </c>
      <c r="F98" s="1125">
        <f t="shared" si="24"/>
        <v>100</v>
      </c>
      <c r="G98" s="1125">
        <f t="shared" si="24"/>
        <v>100</v>
      </c>
      <c r="H98" s="1125">
        <f t="shared" si="24"/>
        <v>100</v>
      </c>
      <c r="I98" s="1125">
        <f t="shared" si="24"/>
        <v>100</v>
      </c>
      <c r="J98" s="1125">
        <f t="shared" si="24"/>
        <v>100</v>
      </c>
      <c r="K98" s="1125">
        <f t="shared" si="24"/>
        <v>100</v>
      </c>
      <c r="L98" s="1125">
        <f t="shared" si="24"/>
        <v>100</v>
      </c>
      <c r="M98" s="1125">
        <f t="shared" si="24"/>
        <v>100</v>
      </c>
      <c r="N98" s="1178"/>
      <c r="O98" s="1178"/>
      <c r="P98" s="1176"/>
      <c r="Q98" s="1164"/>
    </row>
    <row r="99" spans="1:17" ht="15">
      <c r="A99" s="1119"/>
      <c r="B99" s="1122" t="s">
        <v>680</v>
      </c>
      <c r="C99" s="1147"/>
      <c r="D99" s="1147"/>
      <c r="E99" s="1147"/>
      <c r="F99" s="1147"/>
      <c r="G99" s="1147"/>
      <c r="H99" s="1147"/>
      <c r="I99" s="1147"/>
      <c r="J99" s="1147"/>
      <c r="K99" s="1206"/>
      <c r="L99" s="1207"/>
      <c r="M99" s="1208"/>
      <c r="N99" s="1175"/>
      <c r="O99" s="1175"/>
      <c r="P99" s="1176"/>
      <c r="Q99" s="1164"/>
    </row>
    <row r="100" spans="1:17" ht="15">
      <c r="A100" s="1119"/>
      <c r="B100" s="1124"/>
      <c r="C100" s="1125">
        <v>100</v>
      </c>
      <c r="D100" s="1125">
        <f t="shared" ref="D100:M100" si="25">C100-$K30</f>
        <v>100</v>
      </c>
      <c r="E100" s="1125">
        <f t="shared" si="25"/>
        <v>100</v>
      </c>
      <c r="F100" s="1125">
        <f t="shared" si="25"/>
        <v>100</v>
      </c>
      <c r="G100" s="1125">
        <f t="shared" si="25"/>
        <v>100</v>
      </c>
      <c r="H100" s="1125">
        <f t="shared" si="25"/>
        <v>100</v>
      </c>
      <c r="I100" s="1125">
        <f t="shared" si="25"/>
        <v>100</v>
      </c>
      <c r="J100" s="1125">
        <f t="shared" si="25"/>
        <v>100</v>
      </c>
      <c r="K100" s="1125">
        <f t="shared" si="25"/>
        <v>100</v>
      </c>
      <c r="L100" s="1125">
        <f t="shared" si="25"/>
        <v>100</v>
      </c>
      <c r="M100" s="1125">
        <f t="shared" si="25"/>
        <v>100</v>
      </c>
      <c r="N100" s="1178"/>
      <c r="O100" s="1178"/>
      <c r="P100" s="1176"/>
      <c r="Q100" s="1164"/>
    </row>
    <row r="101" spans="1:17" ht="15">
      <c r="A101" s="1119"/>
      <c r="B101" s="1126">
        <f>B31</f>
        <v>111</v>
      </c>
      <c r="C101" s="1130"/>
      <c r="D101" s="1130"/>
      <c r="E101" s="1130"/>
      <c r="F101" s="1130"/>
      <c r="G101" s="1148"/>
      <c r="H101" s="1148"/>
      <c r="I101" s="1148"/>
      <c r="J101" s="1148"/>
      <c r="K101" s="1209"/>
      <c r="L101" s="1210"/>
      <c r="M101" s="1211"/>
      <c r="N101" s="1175"/>
      <c r="O101" s="1175"/>
      <c r="P101" s="1176"/>
      <c r="Q101" s="1164"/>
    </row>
    <row r="102" spans="1:17" ht="15">
      <c r="A102" s="1119"/>
      <c r="B102" s="1136"/>
      <c r="C102" s="1132"/>
      <c r="D102" s="1121"/>
      <c r="E102" s="1121"/>
      <c r="F102" s="1121"/>
      <c r="G102" s="1149"/>
      <c r="H102" s="1149"/>
      <c r="I102" s="1149"/>
      <c r="J102" s="1149"/>
      <c r="K102" s="1149"/>
      <c r="L102" s="1149"/>
      <c r="M102" s="1212"/>
      <c r="N102" s="1178"/>
      <c r="O102" s="1178"/>
      <c r="P102" s="1176"/>
      <c r="Q102" s="1164"/>
    </row>
    <row r="103" spans="1:17">
      <c r="A103" s="962"/>
      <c r="B103" s="1122">
        <f>B32</f>
        <v>111</v>
      </c>
      <c r="C103" s="1130"/>
      <c r="D103" s="1130"/>
      <c r="E103" s="1130"/>
      <c r="F103" s="1130"/>
      <c r="G103" s="1147"/>
      <c r="H103" s="1147"/>
      <c r="I103" s="1147"/>
      <c r="J103" s="1147"/>
      <c r="K103" s="1206"/>
      <c r="L103" s="1207"/>
      <c r="M103" s="1208"/>
      <c r="N103" s="1175"/>
      <c r="O103" s="1175"/>
      <c r="P103" s="1176"/>
      <c r="Q103" s="1164"/>
    </row>
    <row r="104" spans="1:17" ht="15">
      <c r="A104" s="1119"/>
      <c r="B104" s="1124"/>
      <c r="C104" s="1132"/>
      <c r="D104" s="1132"/>
      <c r="E104" s="1132"/>
      <c r="F104" s="1132"/>
      <c r="G104" s="1121"/>
      <c r="H104" s="1121"/>
      <c r="I104" s="1121"/>
      <c r="J104" s="1121"/>
      <c r="K104" s="1121"/>
      <c r="L104" s="1121"/>
      <c r="M104" s="1177"/>
      <c r="N104" s="1178"/>
      <c r="O104" s="1178"/>
      <c r="P104" s="1176"/>
      <c r="Q104" s="1164"/>
    </row>
    <row r="105" spans="1:17" s="876" customFormat="1">
      <c r="A105" s="1150"/>
      <c r="B105" s="1151">
        <f>B33</f>
        <v>111</v>
      </c>
      <c r="C105" s="1114"/>
      <c r="D105" s="1114"/>
      <c r="E105" s="1114"/>
      <c r="F105" s="1114"/>
      <c r="G105" s="1106"/>
      <c r="H105" s="1106"/>
      <c r="I105" s="1106"/>
      <c r="J105" s="1213"/>
      <c r="K105" s="1213"/>
      <c r="L105" s="1214"/>
      <c r="M105" s="1215"/>
      <c r="N105" s="1188"/>
      <c r="O105" s="1188"/>
      <c r="P105" s="1189"/>
      <c r="Q105" s="1217"/>
    </row>
    <row r="106" spans="1:17" s="876" customFormat="1" ht="15">
      <c r="A106" s="1129"/>
      <c r="B106" s="1126"/>
      <c r="C106" s="1137"/>
      <c r="D106" s="1137"/>
      <c r="E106" s="1137"/>
      <c r="F106" s="1137"/>
      <c r="G106" s="1152"/>
      <c r="H106" s="1152"/>
      <c r="I106" s="1152"/>
      <c r="J106" s="1152"/>
      <c r="K106" s="1152"/>
      <c r="L106" s="1152"/>
      <c r="M106" s="1216"/>
      <c r="N106" s="1178"/>
      <c r="O106" s="1178"/>
      <c r="P106" s="1189"/>
      <c r="Q106" s="1217"/>
    </row>
    <row r="107" spans="1:17" ht="28.5">
      <c r="A107" s="1117" t="s">
        <v>952</v>
      </c>
      <c r="B107" s="1118" t="s">
        <v>953</v>
      </c>
      <c r="C107" s="1140" t="str">
        <f t="shared" ref="C107:L107" si="26">C108&amp;"(含)"&amp;"-"&amp;D108</f>
        <v>0(含)-10000</v>
      </c>
      <c r="D107" s="1140" t="str">
        <f t="shared" si="26"/>
        <v>10000(含)-20000</v>
      </c>
      <c r="E107" s="1140" t="str">
        <f t="shared" si="26"/>
        <v>20000(含)-30000</v>
      </c>
      <c r="F107" s="1140" t="str">
        <f t="shared" si="26"/>
        <v>30000(含)-400000</v>
      </c>
      <c r="G107" s="1140" t="str">
        <f t="shared" si="26"/>
        <v>400000(含)-50000</v>
      </c>
      <c r="H107" s="1140" t="str">
        <f t="shared" si="26"/>
        <v>50000(含)-100000</v>
      </c>
      <c r="I107" s="1140" t="str">
        <f t="shared" si="26"/>
        <v>100000(含)-</v>
      </c>
      <c r="J107" s="1140" t="str">
        <f t="shared" si="26"/>
        <v>(含)-</v>
      </c>
      <c r="K107" s="1962" t="str">
        <f t="shared" si="26"/>
        <v>(含)-</v>
      </c>
      <c r="L107" s="1962" t="str">
        <f t="shared" si="26"/>
        <v>(含)-</v>
      </c>
      <c r="M107" s="1963" t="str">
        <f>M108&amp;"(含)"&amp;"-"&amp;P108</f>
        <v>(含)-</v>
      </c>
      <c r="N107" s="1175"/>
      <c r="O107" s="1175"/>
      <c r="P107" s="1176"/>
      <c r="Q107" s="1164"/>
    </row>
    <row r="108" spans="1:17" ht="15">
      <c r="A108" s="1119"/>
      <c r="B108" s="1126"/>
      <c r="C108" s="1106">
        <v>0</v>
      </c>
      <c r="D108" s="1106">
        <v>10000</v>
      </c>
      <c r="E108" s="1106">
        <v>20000</v>
      </c>
      <c r="F108" s="1106">
        <v>30000</v>
      </c>
      <c r="G108" s="1106">
        <v>400000</v>
      </c>
      <c r="H108" s="1106">
        <v>50000</v>
      </c>
      <c r="I108" s="1106">
        <v>100000</v>
      </c>
      <c r="J108" s="1213"/>
      <c r="K108" s="1213"/>
      <c r="L108" s="1214"/>
      <c r="M108" s="1215"/>
      <c r="N108" s="1175"/>
      <c r="O108" s="1175"/>
      <c r="P108" s="1176"/>
      <c r="Q108" s="1164"/>
    </row>
    <row r="109" spans="1:17" ht="15">
      <c r="A109" s="1119"/>
      <c r="B109" s="1124"/>
      <c r="C109" s="1137">
        <v>100</v>
      </c>
      <c r="D109" s="1149">
        <f>C109+1</f>
        <v>101</v>
      </c>
      <c r="E109" s="1149">
        <f t="shared" ref="E109:H109" si="27">D109+1</f>
        <v>102</v>
      </c>
      <c r="F109" s="1149">
        <f t="shared" si="27"/>
        <v>103</v>
      </c>
      <c r="G109" s="1149">
        <f t="shared" si="27"/>
        <v>104</v>
      </c>
      <c r="H109" s="1149">
        <f t="shared" si="27"/>
        <v>105</v>
      </c>
      <c r="I109" s="1149"/>
      <c r="J109" s="1149"/>
      <c r="K109" s="1149"/>
      <c r="L109" s="1149"/>
      <c r="M109" s="1212"/>
      <c r="N109" s="1178"/>
      <c r="O109" s="1178"/>
      <c r="P109" s="1176"/>
      <c r="Q109" s="1164"/>
    </row>
    <row r="110" spans="1:17">
      <c r="A110" s="1153"/>
      <c r="B110" s="1122" t="s">
        <v>954</v>
      </c>
      <c r="C110" s="1959" t="s">
        <v>1008</v>
      </c>
      <c r="D110" s="1959" t="s">
        <v>955</v>
      </c>
      <c r="E110" s="1147"/>
      <c r="F110" s="1147"/>
      <c r="G110" s="1147"/>
      <c r="H110" s="1147"/>
      <c r="I110" s="1147"/>
      <c r="J110" s="1147"/>
      <c r="K110" s="1206"/>
      <c r="L110" s="1207"/>
      <c r="M110" s="1208"/>
      <c r="N110" s="1175"/>
      <c r="O110" s="1175"/>
      <c r="P110" s="1176"/>
      <c r="Q110" s="1164"/>
    </row>
    <row r="111" spans="1:17" ht="15">
      <c r="A111" s="1119"/>
      <c r="B111" s="1124"/>
      <c r="C111" s="1125">
        <v>100</v>
      </c>
      <c r="D111" s="1125">
        <f t="shared" ref="D111:M111" si="28">C111-$K35</f>
        <v>98</v>
      </c>
      <c r="E111" s="1125">
        <f t="shared" si="28"/>
        <v>96</v>
      </c>
      <c r="F111" s="1125">
        <f t="shared" si="28"/>
        <v>94</v>
      </c>
      <c r="G111" s="1125">
        <f t="shared" si="28"/>
        <v>92</v>
      </c>
      <c r="H111" s="1125">
        <f t="shared" si="28"/>
        <v>90</v>
      </c>
      <c r="I111" s="1125">
        <f t="shared" si="28"/>
        <v>88</v>
      </c>
      <c r="J111" s="1125">
        <f t="shared" si="28"/>
        <v>86</v>
      </c>
      <c r="K111" s="1125">
        <f t="shared" si="28"/>
        <v>84</v>
      </c>
      <c r="L111" s="1125">
        <f t="shared" si="28"/>
        <v>82</v>
      </c>
      <c r="M111" s="1182">
        <f t="shared" si="28"/>
        <v>80</v>
      </c>
      <c r="N111" s="1178"/>
      <c r="O111" s="1178"/>
      <c r="P111" s="1176"/>
      <c r="Q111" s="1164"/>
    </row>
    <row r="112" spans="1:17" s="876" customFormat="1">
      <c r="A112" s="1150"/>
      <c r="B112" s="1122" t="s">
        <v>956</v>
      </c>
      <c r="C112" s="1960" t="s">
        <v>238</v>
      </c>
      <c r="D112" s="1960" t="s">
        <v>248</v>
      </c>
      <c r="E112" s="1960" t="s">
        <v>257</v>
      </c>
      <c r="F112" s="1130"/>
      <c r="G112" s="1130"/>
      <c r="H112" s="1147"/>
      <c r="I112" s="1147"/>
      <c r="J112" s="1147"/>
      <c r="K112" s="1206"/>
      <c r="L112" s="1207"/>
      <c r="M112" s="1208"/>
      <c r="N112" s="1188"/>
      <c r="O112" s="1188"/>
      <c r="P112" s="1189"/>
      <c r="Q112" s="1217"/>
    </row>
    <row r="113" spans="1:17" s="876" customFormat="1" ht="15">
      <c r="A113" s="1129"/>
      <c r="B113" s="1124"/>
      <c r="C113" s="1125">
        <v>100</v>
      </c>
      <c r="D113" s="1125">
        <f t="shared" ref="D113:M113" si="29">C113-$K36</f>
        <v>99</v>
      </c>
      <c r="E113" s="1125">
        <f t="shared" si="29"/>
        <v>98</v>
      </c>
      <c r="F113" s="1125">
        <f t="shared" si="29"/>
        <v>97</v>
      </c>
      <c r="G113" s="1125">
        <f t="shared" si="29"/>
        <v>96</v>
      </c>
      <c r="H113" s="1125">
        <f t="shared" si="29"/>
        <v>95</v>
      </c>
      <c r="I113" s="1125">
        <f t="shared" si="29"/>
        <v>94</v>
      </c>
      <c r="J113" s="1125">
        <f t="shared" si="29"/>
        <v>93</v>
      </c>
      <c r="K113" s="1125">
        <f t="shared" si="29"/>
        <v>92</v>
      </c>
      <c r="L113" s="1125">
        <f t="shared" si="29"/>
        <v>91</v>
      </c>
      <c r="M113" s="1182">
        <f t="shared" si="29"/>
        <v>90</v>
      </c>
      <c r="N113" s="1188"/>
      <c r="O113" s="1188"/>
      <c r="P113" s="1189"/>
      <c r="Q113" s="1217"/>
    </row>
    <row r="114" spans="1:17">
      <c r="A114" s="1153"/>
      <c r="B114" s="1122" t="s">
        <v>957</v>
      </c>
      <c r="C114" s="1960" t="s">
        <v>1009</v>
      </c>
      <c r="D114" s="1960" t="s">
        <v>660</v>
      </c>
      <c r="E114" s="1147"/>
      <c r="F114" s="1147"/>
      <c r="G114" s="1147"/>
      <c r="H114" s="1147"/>
      <c r="I114" s="1147"/>
      <c r="J114" s="1147"/>
      <c r="K114" s="1206"/>
      <c r="L114" s="1207"/>
      <c r="M114" s="1208"/>
      <c r="N114" s="1175"/>
      <c r="O114" s="1175"/>
      <c r="P114" s="1176"/>
      <c r="Q114" s="1164"/>
    </row>
    <row r="115" spans="1:17" ht="15">
      <c r="A115" s="1119"/>
      <c r="B115" s="1124"/>
      <c r="C115" s="1125">
        <v>100</v>
      </c>
      <c r="D115" s="1125">
        <f t="shared" ref="D115:M115" si="30">C115-$K37</f>
        <v>98</v>
      </c>
      <c r="E115" s="1125">
        <f t="shared" si="30"/>
        <v>96</v>
      </c>
      <c r="F115" s="1125">
        <f t="shared" si="30"/>
        <v>94</v>
      </c>
      <c r="G115" s="1125">
        <f t="shared" si="30"/>
        <v>92</v>
      </c>
      <c r="H115" s="1125">
        <f t="shared" si="30"/>
        <v>90</v>
      </c>
      <c r="I115" s="1125">
        <f t="shared" si="30"/>
        <v>88</v>
      </c>
      <c r="J115" s="1125">
        <f t="shared" si="30"/>
        <v>86</v>
      </c>
      <c r="K115" s="1125">
        <f t="shared" si="30"/>
        <v>84</v>
      </c>
      <c r="L115" s="1125">
        <f t="shared" si="30"/>
        <v>82</v>
      </c>
      <c r="M115" s="1182">
        <f t="shared" si="30"/>
        <v>80</v>
      </c>
      <c r="N115" s="1178"/>
      <c r="O115" s="1178"/>
      <c r="P115" s="1176"/>
      <c r="Q115" s="1164"/>
    </row>
    <row r="116" spans="1:17">
      <c r="A116" s="1153"/>
      <c r="B116" s="1122">
        <f>B38</f>
        <v>111</v>
      </c>
      <c r="C116" s="1130"/>
      <c r="D116" s="1130"/>
      <c r="E116" s="1130"/>
      <c r="F116" s="1130"/>
      <c r="G116" s="1130"/>
      <c r="H116" s="1147"/>
      <c r="I116" s="1147"/>
      <c r="J116" s="1147"/>
      <c r="K116" s="1206"/>
      <c r="L116" s="1207"/>
      <c r="M116" s="1208"/>
      <c r="N116" s="1175"/>
      <c r="O116" s="1175"/>
      <c r="P116" s="1176"/>
      <c r="Q116" s="1164"/>
    </row>
    <row r="117" spans="1:17" ht="15">
      <c r="A117" s="1119"/>
      <c r="B117" s="1124"/>
      <c r="C117" s="1132"/>
      <c r="D117" s="1121"/>
      <c r="E117" s="1121"/>
      <c r="F117" s="1121"/>
      <c r="G117" s="1121"/>
      <c r="H117" s="1121"/>
      <c r="I117" s="1121"/>
      <c r="J117" s="1121"/>
      <c r="K117" s="1121"/>
      <c r="L117" s="1121"/>
      <c r="M117" s="1177"/>
      <c r="N117" s="1178"/>
      <c r="O117" s="1178"/>
      <c r="P117" s="1176"/>
      <c r="Q117" s="1164"/>
    </row>
    <row r="118" spans="1:17">
      <c r="A118" s="1153"/>
      <c r="B118" s="1122">
        <f>B39</f>
        <v>111</v>
      </c>
      <c r="C118" s="1130"/>
      <c r="D118" s="1130"/>
      <c r="E118" s="1130"/>
      <c r="F118" s="1130"/>
      <c r="G118" s="1147"/>
      <c r="H118" s="1147"/>
      <c r="I118" s="1147"/>
      <c r="J118" s="1147"/>
      <c r="K118" s="1206"/>
      <c r="L118" s="1207"/>
      <c r="M118" s="1208"/>
      <c r="N118" s="1175"/>
      <c r="O118" s="1175"/>
      <c r="P118" s="1176"/>
      <c r="Q118" s="1164"/>
    </row>
    <row r="119" spans="1:17" ht="15">
      <c r="A119" s="1119"/>
      <c r="B119" s="1124"/>
      <c r="C119" s="1132"/>
      <c r="D119" s="1132"/>
      <c r="E119" s="1132"/>
      <c r="F119" s="1132"/>
      <c r="G119" s="1121"/>
      <c r="H119" s="1121"/>
      <c r="I119" s="1121"/>
      <c r="J119" s="1121"/>
      <c r="K119" s="1121"/>
      <c r="L119" s="1121"/>
      <c r="M119" s="1177"/>
      <c r="N119" s="1178"/>
      <c r="O119" s="1178"/>
      <c r="P119" s="1176"/>
      <c r="Q119" s="1164"/>
    </row>
    <row r="120" spans="1:17" s="876" customFormat="1">
      <c r="A120" s="1150"/>
      <c r="B120" s="1122">
        <f>B40</f>
        <v>111</v>
      </c>
      <c r="C120" s="1114"/>
      <c r="D120" s="1114"/>
      <c r="E120" s="1114"/>
      <c r="F120" s="1114"/>
      <c r="G120" s="1131"/>
      <c r="H120" s="1131"/>
      <c r="I120" s="1131"/>
      <c r="J120" s="1131"/>
      <c r="K120" s="1131"/>
      <c r="L120" s="1186"/>
      <c r="M120" s="1187"/>
      <c r="N120" s="1188"/>
      <c r="O120" s="1188"/>
      <c r="P120" s="1189"/>
      <c r="Q120" s="1217"/>
    </row>
    <row r="121" spans="1:17" s="876" customFormat="1" ht="15">
      <c r="A121" s="1135"/>
      <c r="B121" s="1219"/>
      <c r="C121" s="1137"/>
      <c r="D121" s="1137"/>
      <c r="E121" s="1137"/>
      <c r="F121" s="1137"/>
      <c r="G121" s="1149"/>
      <c r="H121" s="1149"/>
      <c r="I121" s="1149"/>
      <c r="J121" s="1149"/>
      <c r="K121" s="1149"/>
      <c r="L121" s="1149"/>
      <c r="M121" s="1212"/>
      <c r="N121" s="1188"/>
      <c r="O121" s="1188"/>
      <c r="P121" s="1189"/>
      <c r="Q121" s="121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40" t="s">
        <v>75</v>
      </c>
      <c r="B36" s="2940" t="s">
        <v>76</v>
      </c>
    </row>
    <row r="37" spans="1:9" ht="27.75" customHeight="1">
      <c r="A37" s="2940"/>
      <c r="B37" s="2981" t="str">
        <f>项目基本情况!B1</f>
        <v>辽宁省朝阳市朝阳喀左经济开发区房地产抵押价值预评估</v>
      </c>
      <c r="C37" s="2981"/>
      <c r="D37" s="2981"/>
      <c r="E37" s="2981"/>
      <c r="F37" s="2981"/>
      <c r="G37" s="2981"/>
      <c r="H37" s="2981"/>
      <c r="I37" s="2981"/>
    </row>
    <row r="38" spans="1:9">
      <c r="A38" s="2941"/>
      <c r="B38" s="2941"/>
    </row>
    <row r="39" spans="1:9">
      <c r="A39" s="2940" t="s">
        <v>75</v>
      </c>
      <c r="B39" s="2940" t="s">
        <v>77</v>
      </c>
    </row>
    <row r="40" spans="1:9">
      <c r="A40" s="2940"/>
      <c r="B40" s="2942" t="str">
        <f>项目基本情况!B5</f>
        <v>朝阳通美晶体科技有限公司</v>
      </c>
    </row>
    <row r="41" spans="1:9">
      <c r="A41" s="2940"/>
      <c r="B41" s="2940"/>
    </row>
    <row r="42" spans="1:9">
      <c r="A42" s="2940" t="s">
        <v>75</v>
      </c>
      <c r="B42" s="2940" t="s">
        <v>78</v>
      </c>
    </row>
    <row r="43" spans="1:9">
      <c r="A43" s="2940"/>
      <c r="B43" s="2942" t="s">
        <v>79</v>
      </c>
    </row>
    <row r="44" spans="1:9">
      <c r="A44" s="2940"/>
      <c r="B44" s="2940"/>
    </row>
    <row r="45" spans="1:9">
      <c r="A45" s="2940" t="s">
        <v>75</v>
      </c>
      <c r="B45" s="2940" t="s">
        <v>80</v>
      </c>
    </row>
    <row r="46" spans="1:9" s="2940" customFormat="1" ht="12.75">
      <c r="B46" s="2942" t="str">
        <f ca="1">项目基本情况!K4</f>
        <v>郑燚（注册号：0)、崔锴（注册号：0)</v>
      </c>
    </row>
    <row r="47" spans="1:9">
      <c r="A47" s="2940"/>
      <c r="B47" s="2940" t="str">
        <f>项目基本情况!K5</f>
        <v/>
      </c>
    </row>
    <row r="48" spans="1:9">
      <c r="A48" s="2940" t="s">
        <v>75</v>
      </c>
      <c r="B48" s="2940" t="s">
        <v>81</v>
      </c>
    </row>
    <row r="49" spans="2:2">
      <c r="B49" s="2942"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K28" sqref="K2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1010</v>
      </c>
      <c r="B1" s="1937"/>
      <c r="C1" s="142"/>
      <c r="D1" s="142"/>
      <c r="E1" s="142"/>
      <c r="F1" s="142"/>
      <c r="G1" s="1939">
        <f>MATCH(B1,'数据-取费表'!A6:A16,0)+5</f>
        <v>7</v>
      </c>
    </row>
    <row r="2" spans="1:9" s="132" customFormat="1" ht="18" customHeight="1">
      <c r="A2" s="144" t="s">
        <v>925</v>
      </c>
      <c r="B2" s="145">
        <f ca="1">IF(D2="——",C52,C52-E2)</f>
        <v>1280</v>
      </c>
      <c r="C2" s="143" t="s">
        <v>1011</v>
      </c>
      <c r="D2" s="1940" t="s">
        <v>124</v>
      </c>
      <c r="E2" s="1941" t="e">
        <f ca="1">SUMIF(INDIRECT("'"&amp;G2&amp;"'"&amp;"!A:A"),"承租人权益价值",INDIRECT("'"&amp;G2&amp;"'"&amp;"!c:c"))</f>
        <v>#REF!</v>
      </c>
      <c r="F2" s="1942" t="s">
        <v>1011</v>
      </c>
      <c r="G2" s="1943"/>
    </row>
    <row r="3" spans="1:9" s="132" customFormat="1" ht="18" customHeight="1">
      <c r="A3" s="147" t="s">
        <v>926</v>
      </c>
      <c r="B3" s="148">
        <f ca="1">ROUND(B2*10000/(IF(B1="",'数据-汇总表'!E3,INDIRECT("'数据-取费表'!k"&amp;$G$1))),0)</f>
        <v>372</v>
      </c>
      <c r="C3" s="143" t="s">
        <v>1012</v>
      </c>
      <c r="D3" s="143"/>
      <c r="E3" s="143"/>
      <c r="F3" s="143"/>
      <c r="G3" s="143"/>
    </row>
    <row r="4" spans="1:9" s="133" customFormat="1" ht="15.75">
      <c r="A4" s="149" t="s">
        <v>1013</v>
      </c>
      <c r="B4" s="150"/>
      <c r="C4" s="150"/>
      <c r="D4" s="150"/>
      <c r="E4" s="150"/>
      <c r="F4" s="150"/>
      <c r="G4" s="151"/>
    </row>
    <row r="5" spans="1:9" s="134" customFormat="1" ht="13.5" customHeight="1">
      <c r="A5" s="152" t="s">
        <v>1014</v>
      </c>
      <c r="B5" s="153" t="s">
        <v>1015</v>
      </c>
      <c r="C5" s="154">
        <f>C6+C7+C8</f>
        <v>1164</v>
      </c>
      <c r="D5" s="154" t="s">
        <v>1016</v>
      </c>
      <c r="E5" s="155" t="s">
        <v>1017</v>
      </c>
      <c r="F5" s="155" t="s">
        <v>829</v>
      </c>
      <c r="G5" s="156"/>
    </row>
    <row r="6" spans="1:9" s="134" customFormat="1" ht="13.5" customHeight="1">
      <c r="A6" s="157" t="s">
        <v>1018</v>
      </c>
      <c r="B6" s="158" t="s">
        <v>1019</v>
      </c>
      <c r="C6" s="159">
        <f>'土地比较法-工业'!B2</f>
        <v>1130</v>
      </c>
      <c r="D6" s="160"/>
      <c r="E6" s="161"/>
      <c r="F6" s="161"/>
      <c r="G6" s="162"/>
    </row>
    <row r="7" spans="1:9" s="134" customFormat="1" ht="13.5" customHeight="1">
      <c r="A7" s="157" t="s">
        <v>1020</v>
      </c>
      <c r="B7" s="158" t="s">
        <v>1021</v>
      </c>
      <c r="C7" s="163">
        <f>ROUND(C6*F7,0)</f>
        <v>34</v>
      </c>
      <c r="D7" s="163"/>
      <c r="E7" s="161"/>
      <c r="F7" s="164">
        <f>'数据-取费表'!B48+'数据-取费表'!B49</f>
        <v>3.0499999999999999E-2</v>
      </c>
      <c r="G7" s="162"/>
    </row>
    <row r="8" spans="1:9" s="135" customFormat="1">
      <c r="A8" s="157" t="s">
        <v>1022</v>
      </c>
      <c r="B8" s="158" t="s">
        <v>1023</v>
      </c>
      <c r="C8" s="163" t="str">
        <f>IF(G8="已包含在土地购买价格中","0",IF(B1="",'数据-取费表'!B29,IF(G9="全部缴纳",C9+C10,H9)))</f>
        <v>0</v>
      </c>
      <c r="D8" s="165"/>
      <c r="E8" s="163"/>
      <c r="F8" s="164"/>
      <c r="G8" s="1944" t="s">
        <v>1024</v>
      </c>
    </row>
    <row r="9" spans="1:9" s="134" customFormat="1" ht="13.5" customHeight="1">
      <c r="A9" s="167" t="s">
        <v>1025</v>
      </c>
      <c r="B9" s="168" t="s">
        <v>1026</v>
      </c>
      <c r="C9" s="169">
        <f ca="1">ROUND(D9*E9/10000,0)</f>
        <v>0</v>
      </c>
      <c r="D9" s="170">
        <f ca="1">IF(B1="",'数据-汇总表'!E5,IF(INDIRECT("'数据-取费表'!c"&amp;$G$1)="住宅",INDIRECT("'数据-取费表'!k"&amp;$G$1),0))</f>
        <v>0</v>
      </c>
      <c r="E9" s="169">
        <f>'数据-取费表'!B27</f>
        <v>115</v>
      </c>
      <c r="F9" s="164"/>
      <c r="G9" s="1948" t="s">
        <v>1027</v>
      </c>
      <c r="H9" s="1949"/>
      <c r="I9" s="1950" t="s">
        <v>1028</v>
      </c>
    </row>
    <row r="10" spans="1:9" s="134" customFormat="1" ht="13.5" customHeight="1">
      <c r="A10" s="167" t="s">
        <v>1029</v>
      </c>
      <c r="B10" s="168" t="s">
        <v>1030</v>
      </c>
      <c r="C10" s="169">
        <f ca="1">ROUND(D10*E10/10000,0)</f>
        <v>395</v>
      </c>
      <c r="D10" s="170">
        <f ca="1">IF(B1="",'数据-汇总表'!E6,IF(INDIRECT("'数据-取费表'!c"&amp;$G$1)="住宅",INDIRECT("'数据-取费表'!s"&amp;$G$1),INDIRECT("'数据-取费表'!k"&amp;$G$1)+INDIRECT("'数据-取费表'!s"&amp;$G$1)))</f>
        <v>34364.589999999997</v>
      </c>
      <c r="E10" s="169">
        <f>'数据-取费表'!B28</f>
        <v>115</v>
      </c>
      <c r="F10" s="164"/>
      <c r="G10" s="171"/>
    </row>
    <row r="11" spans="1:9" s="134" customFormat="1" ht="13.5" hidden="1" customHeight="1">
      <c r="A11" s="172" t="s">
        <v>1031</v>
      </c>
      <c r="B11" s="158" t="s">
        <v>1032</v>
      </c>
      <c r="C11" s="154"/>
      <c r="D11" s="173"/>
      <c r="E11" s="161"/>
      <c r="F11" s="161"/>
      <c r="G11" s="162"/>
    </row>
    <row r="12" spans="1:9" s="134" customFormat="1" ht="13.5" hidden="1" customHeight="1">
      <c r="A12" s="172" t="s">
        <v>1033</v>
      </c>
      <c r="B12" s="158" t="s">
        <v>866</v>
      </c>
      <c r="C12" s="154">
        <v>0</v>
      </c>
      <c r="D12" s="173"/>
      <c r="E12" s="174"/>
      <c r="F12" s="164">
        <v>3.0499999999999999E-2</v>
      </c>
      <c r="G12" s="162"/>
    </row>
    <row r="13" spans="1:9" s="134" customFormat="1" ht="13.5" hidden="1" customHeight="1">
      <c r="A13" s="172" t="s">
        <v>1034</v>
      </c>
      <c r="B13" s="158" t="s">
        <v>1035</v>
      </c>
      <c r="C13" s="154"/>
      <c r="D13" s="173"/>
      <c r="E13" s="161"/>
      <c r="F13" s="161"/>
      <c r="G13" s="162"/>
    </row>
    <row r="14" spans="1:9" s="134" customFormat="1" ht="13.5" hidden="1" customHeight="1">
      <c r="A14" s="172" t="s">
        <v>1036</v>
      </c>
      <c r="B14" s="158" t="s">
        <v>1023</v>
      </c>
      <c r="C14" s="154"/>
      <c r="D14" s="173"/>
      <c r="E14" s="161"/>
      <c r="F14" s="161"/>
      <c r="G14" s="162" t="s">
        <v>1037</v>
      </c>
    </row>
    <row r="15" spans="1:9" s="134" customFormat="1" ht="13.5" hidden="1" customHeight="1">
      <c r="A15" s="172" t="s">
        <v>1038</v>
      </c>
      <c r="B15" s="158" t="s">
        <v>1039</v>
      </c>
      <c r="C15" s="163"/>
      <c r="D15" s="173"/>
      <c r="E15" s="161"/>
      <c r="F15" s="161"/>
      <c r="G15" s="162" t="s">
        <v>1040</v>
      </c>
    </row>
    <row r="16" spans="1:9" s="134" customFormat="1" ht="13.5" hidden="1" customHeight="1">
      <c r="A16" s="172" t="s">
        <v>1041</v>
      </c>
      <c r="B16" s="158" t="s">
        <v>1023</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t="str">
        <f>IF(G19="已包含在土地取得成本中","0",ROUND(D19*E19/10000,0))</f>
        <v>0</v>
      </c>
      <c r="D19" s="178">
        <f ca="1">D9+D10</f>
        <v>34364.589999999997</v>
      </c>
      <c r="E19" s="154">
        <f>'数据-取费表'!B31</f>
        <v>180</v>
      </c>
      <c r="F19" s="179"/>
      <c r="G19" s="1944" t="s">
        <v>1049</v>
      </c>
    </row>
    <row r="20" spans="1:7" s="134" customFormat="1" ht="13.5" customHeight="1">
      <c r="A20" s="152" t="s">
        <v>1050</v>
      </c>
      <c r="B20" s="153" t="s">
        <v>1051</v>
      </c>
      <c r="C20" s="180">
        <f>ROUND((C5+C19)*F20,0)</f>
        <v>23</v>
      </c>
      <c r="D20" s="180"/>
      <c r="E20" s="180"/>
      <c r="F20" s="181">
        <f>'数据-取费表'!B37</f>
        <v>0.02</v>
      </c>
      <c r="G20" s="185" t="s">
        <v>1052</v>
      </c>
    </row>
    <row r="21" spans="1:7" s="134" customFormat="1" ht="13.5" customHeight="1">
      <c r="A21" s="152" t="s">
        <v>1053</v>
      </c>
      <c r="B21" s="153" t="s">
        <v>1054</v>
      </c>
      <c r="C21" s="183">
        <f>F21</f>
        <v>0.02</v>
      </c>
      <c r="D21" s="184" t="s">
        <v>1055</v>
      </c>
      <c r="E21" s="180"/>
      <c r="F21" s="181">
        <f>'数据-取费表'!B38</f>
        <v>0.02</v>
      </c>
      <c r="G21" s="185" t="s">
        <v>1056</v>
      </c>
    </row>
    <row r="22" spans="1:7" s="134" customFormat="1" ht="13.5" customHeight="1">
      <c r="A22" s="152" t="s">
        <v>1057</v>
      </c>
      <c r="B22" s="153" t="s">
        <v>1058</v>
      </c>
      <c r="C22" s="186">
        <f ca="1">ROUND(SUM(C23:C25),0)</f>
        <v>0</v>
      </c>
      <c r="D22" s="183">
        <f ca="1">C26</f>
        <v>0</v>
      </c>
      <c r="E22" s="184" t="s">
        <v>1055</v>
      </c>
      <c r="F22" s="187">
        <f ca="1">'数据-取费表'!B40</f>
        <v>4.7500000000000001E-2</v>
      </c>
      <c r="G22" s="185" t="str">
        <f>IF('数据-取费表'!B22&lt;=1,"单利计息","复利计息")</f>
        <v>复利计息</v>
      </c>
    </row>
    <row r="23" spans="1:7" s="134" customFormat="1" ht="13.5" customHeight="1">
      <c r="A23" s="188" t="s">
        <v>1018</v>
      </c>
      <c r="B23" s="158" t="s">
        <v>1059</v>
      </c>
      <c r="C23" s="189">
        <f ca="1">ROUND(IF('数据-取费表'!B22&lt;=1,C5*F22*'数据-取费表'!B23,C5*(POWER((1+F22),'数据-取费表'!B23)-1)),0)</f>
        <v>0</v>
      </c>
      <c r="D23" s="190"/>
      <c r="E23" s="190"/>
      <c r="F23" s="191"/>
      <c r="G23" s="192" t="s">
        <v>1060</v>
      </c>
    </row>
    <row r="24" spans="1:7" s="134" customFormat="1" ht="13.5" customHeight="1">
      <c r="A24" s="188" t="s">
        <v>1020</v>
      </c>
      <c r="B24" s="158" t="s">
        <v>1061</v>
      </c>
      <c r="C24" s="189">
        <f ca="1">ROUND(IF('数据-取费表'!B22&lt;=1,C19*F22*('数据-取费表'!B19/2+'数据-取费表'!B21),C19*(POWER((1+F22),('数据-取费表'!B19/2+'数据-取费表'!B21))-1)),0)</f>
        <v>0</v>
      </c>
      <c r="D24" s="190"/>
      <c r="E24" s="190"/>
      <c r="F24" s="191"/>
      <c r="G24" s="192" t="s">
        <v>1062</v>
      </c>
    </row>
    <row r="25" spans="1:7" s="134" customFormat="1" ht="24">
      <c r="A25" s="188" t="s">
        <v>1022</v>
      </c>
      <c r="B25" s="158" t="s">
        <v>1063</v>
      </c>
      <c r="C25" s="189">
        <f ca="1">ROUND(IF('数据-取费表'!B22&lt;=1,C20*F22*'数据-取费表'!B23/2,C20*(POWER((1+F22),'数据-取费表'!B23/2)-1)),0)</f>
        <v>0</v>
      </c>
      <c r="D25" s="190"/>
      <c r="E25" s="193"/>
      <c r="F25" s="191"/>
      <c r="G25" s="194" t="s">
        <v>1064</v>
      </c>
    </row>
    <row r="26" spans="1:7" s="134" customFormat="1">
      <c r="A26" s="188" t="s">
        <v>1065</v>
      </c>
      <c r="B26" s="158" t="s">
        <v>1066</v>
      </c>
      <c r="C26" s="190">
        <f ca="1">ROUND(IF('数据-取费表'!B22&lt;=1,F21*F22*'数据-取费表'!B23/2,F21*(POWER((1+F22),'数据-取费表'!B23/2)-1)),4)</f>
        <v>0</v>
      </c>
      <c r="D26" s="190"/>
      <c r="E26" s="193"/>
      <c r="F26" s="191"/>
      <c r="G26" s="195"/>
    </row>
    <row r="27" spans="1:7" s="134" customFormat="1" ht="24.75">
      <c r="A27" s="152" t="s">
        <v>1067</v>
      </c>
      <c r="B27" s="196" t="s">
        <v>1068</v>
      </c>
      <c r="C27" s="197">
        <f ca="1">C28</f>
        <v>0</v>
      </c>
      <c r="D27" s="183">
        <f ca="1">C29</f>
        <v>0</v>
      </c>
      <c r="E27" s="184" t="s">
        <v>1055</v>
      </c>
      <c r="F27" s="198">
        <f ca="1">IF(B1="",'数据-取费表'!Q16,INDIRECT("'数据-取费表'!q"&amp;$G$1))</f>
        <v>0.05</v>
      </c>
      <c r="G27" s="199" t="s">
        <v>1069</v>
      </c>
    </row>
    <row r="28" spans="1:7" s="134" customFormat="1" ht="13.5" customHeight="1">
      <c r="A28" s="188" t="s">
        <v>1018</v>
      </c>
      <c r="B28" s="200" t="s">
        <v>1070</v>
      </c>
      <c r="C28" s="201">
        <f ca="1">ROUND((C5+C19+C20)*F27*'数据-取费表'!B21/'数据-取费表'!B20,0)</f>
        <v>0</v>
      </c>
      <c r="D28" s="183"/>
      <c r="E28" s="184"/>
      <c r="F28" s="198"/>
      <c r="G28" s="199"/>
    </row>
    <row r="29" spans="1:7" s="134" customFormat="1" ht="13.5" customHeight="1">
      <c r="A29" s="188" t="s">
        <v>1020</v>
      </c>
      <c r="B29" s="200" t="s">
        <v>1071</v>
      </c>
      <c r="C29" s="190">
        <f ca="1">ROUND(C21*F27*'数据-取费表'!B21/'数据-取费表'!B20,4)</f>
        <v>0</v>
      </c>
      <c r="D29" s="183"/>
      <c r="E29" s="184"/>
      <c r="F29" s="198"/>
      <c r="G29" s="199"/>
    </row>
    <row r="30" spans="1:7" s="134" customFormat="1" ht="13.5" customHeight="1">
      <c r="A30" s="152" t="s">
        <v>1072</v>
      </c>
      <c r="B30" s="153" t="s">
        <v>1073</v>
      </c>
      <c r="C30" s="183">
        <f>ROUND(F30/(1+'数据-取费表'!C42),4)</f>
        <v>5.2400000000000002E-2</v>
      </c>
      <c r="D30" s="184" t="s">
        <v>1055</v>
      </c>
      <c r="E30" s="193"/>
      <c r="F30" s="187">
        <f>'数据-取费表'!B41</f>
        <v>5.5E-2</v>
      </c>
      <c r="G30" s="185" t="s">
        <v>1074</v>
      </c>
    </row>
    <row r="31" spans="1:7" ht="16.5" customHeight="1">
      <c r="A31" s="202">
        <v>1</v>
      </c>
      <c r="B31" s="153" t="s">
        <v>1075</v>
      </c>
      <c r="C31" s="154">
        <f ca="1">ROUND((C5+C19+C20+C22+C27)/(1-C21-D22-D27-C30),0)</f>
        <v>1280</v>
      </c>
      <c r="D31" s="203"/>
      <c r="E31" s="154"/>
      <c r="F31" s="204"/>
      <c r="G31" s="185" t="s">
        <v>1076</v>
      </c>
    </row>
    <row r="32" spans="1:7" s="133" customFormat="1" ht="15.75">
      <c r="A32" s="205" t="s">
        <v>1077</v>
      </c>
      <c r="B32" s="206"/>
      <c r="C32" s="206"/>
      <c r="D32" s="206"/>
      <c r="E32" s="206"/>
      <c r="F32" s="206"/>
      <c r="G32" s="207"/>
    </row>
    <row r="33" spans="1:7" s="134" customFormat="1" ht="13.5" customHeight="1">
      <c r="A33" s="152" t="s">
        <v>1014</v>
      </c>
      <c r="B33" s="153" t="s">
        <v>1078</v>
      </c>
      <c r="C33" s="208">
        <f ca="1">SUM(C34:C38)</f>
        <v>0</v>
      </c>
      <c r="D33" s="180"/>
      <c r="E33" s="155"/>
      <c r="F33" s="193"/>
      <c r="G33" s="185"/>
    </row>
    <row r="34" spans="1:7" s="136" customFormat="1" ht="13.5" customHeight="1">
      <c r="A34" s="188" t="s">
        <v>1018</v>
      </c>
      <c r="B34" s="158" t="s">
        <v>1079</v>
      </c>
      <c r="C34" s="163">
        <f ca="1">IF(B1="",IF(F34=100%,'数据-取费表'!M16,'数据-取费表'!O16),IF(F34=100%,INDIRECT("'数据-取费表'!m"&amp;$G$1)+INDIRECT("'数据-取费表'!t"&amp;$G$1),INDIRECT("'数据-取费表'!o"&amp;$G$1)+INDIRECT("'数据-取费表'!aq"&amp;$G$1)))</f>
        <v>0</v>
      </c>
      <c r="D34" s="160"/>
      <c r="E34" s="163"/>
      <c r="F34" s="209">
        <f ca="1">IF('数据-取费表'!B24=0,1,IF(B1="",'数据-取费表'!N16,INDIRECT("'数据-取费表'!n"&amp;$G$1)))</f>
        <v>0</v>
      </c>
      <c r="G34" s="162" t="s">
        <v>1080</v>
      </c>
    </row>
    <row r="35" spans="1:7" ht="13.5" customHeight="1">
      <c r="A35" s="188" t="s">
        <v>1020</v>
      </c>
      <c r="B35" s="158" t="s">
        <v>1081</v>
      </c>
      <c r="C35" s="163">
        <f ca="1">ROUND(C34*F35,0)</f>
        <v>0</v>
      </c>
      <c r="D35" s="163"/>
      <c r="E35" s="163"/>
      <c r="F35" s="210">
        <f>'数据-取费表'!B33</f>
        <v>3.5000000000000003E-2</v>
      </c>
      <c r="G35" s="162" t="s">
        <v>1082</v>
      </c>
    </row>
    <row r="36" spans="1:7" ht="24">
      <c r="A36" s="188" t="s">
        <v>1022</v>
      </c>
      <c r="B36" s="158" t="s">
        <v>1083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1084</v>
      </c>
    </row>
    <row r="37" spans="1:7" s="136" customFormat="1" ht="13.5" customHeight="1">
      <c r="A37" s="188" t="s">
        <v>1065</v>
      </c>
      <c r="B37" s="158" t="s">
        <v>1085</v>
      </c>
      <c r="C37" s="201">
        <f ca="1">ROUND(E37*D37*F34/10000,0)</f>
        <v>0</v>
      </c>
      <c r="D37" s="160">
        <f ca="1">D19</f>
        <v>34364.589999999997</v>
      </c>
      <c r="E37" s="201">
        <f>'数据-取费表'!B35</f>
        <v>180</v>
      </c>
      <c r="F37" s="210"/>
      <c r="G37" s="212" t="s">
        <v>1086</v>
      </c>
    </row>
    <row r="38" spans="1:7" ht="13.5" customHeight="1">
      <c r="A38" s="188" t="s">
        <v>1087</v>
      </c>
      <c r="B38" s="158" t="s">
        <v>866</v>
      </c>
      <c r="C38" s="163">
        <f ca="1">ROUND(C34*F38,0)</f>
        <v>0</v>
      </c>
      <c r="D38" s="163"/>
      <c r="E38" s="163"/>
      <c r="F38" s="210">
        <f>'数据-取费表'!B36</f>
        <v>1.4999999999999999E-2</v>
      </c>
      <c r="G38" s="162" t="s">
        <v>1082</v>
      </c>
    </row>
    <row r="39" spans="1:7" s="134" customFormat="1" ht="13.5" customHeight="1">
      <c r="A39" s="152" t="s">
        <v>1047</v>
      </c>
      <c r="B39" s="153" t="s">
        <v>1051</v>
      </c>
      <c r="C39" s="180">
        <f ca="1">ROUND(C33*F20,0)</f>
        <v>0</v>
      </c>
      <c r="D39" s="180"/>
      <c r="E39" s="180"/>
      <c r="F39" s="181"/>
      <c r="G39" s="185" t="s">
        <v>1088</v>
      </c>
    </row>
    <row r="40" spans="1:7" s="134" customFormat="1" ht="13.5" customHeight="1">
      <c r="A40" s="152" t="s">
        <v>1050</v>
      </c>
      <c r="B40" s="153" t="s">
        <v>1054</v>
      </c>
      <c r="C40" s="1947">
        <f>F21</f>
        <v>0.02</v>
      </c>
      <c r="D40" s="184" t="s">
        <v>1089</v>
      </c>
      <c r="E40" s="180"/>
      <c r="F40" s="181"/>
      <c r="G40" s="185" t="s">
        <v>1090</v>
      </c>
    </row>
    <row r="41" spans="1:7" s="134" customFormat="1" ht="13.5" customHeight="1">
      <c r="A41" s="152" t="s">
        <v>1053</v>
      </c>
      <c r="B41" s="153" t="s">
        <v>1058</v>
      </c>
      <c r="C41" s="180">
        <f ca="1">ROUND(SUM(C42:C43),0)</f>
        <v>0</v>
      </c>
      <c r="D41" s="183">
        <f ca="1">C44</f>
        <v>0</v>
      </c>
      <c r="E41" s="184" t="s">
        <v>1089</v>
      </c>
      <c r="F41" s="187"/>
      <c r="G41" s="185" t="str">
        <f>IF('数据-取费表'!B22&lt;=1,"单利计息","复利计息")</f>
        <v>复利计息</v>
      </c>
    </row>
    <row r="42" spans="1:7" ht="13.5" customHeight="1">
      <c r="A42" s="188" t="s">
        <v>1018</v>
      </c>
      <c r="B42" s="158" t="s">
        <v>1059</v>
      </c>
      <c r="C42" s="190">
        <f ca="1">ROUND(IF('数据-取费表'!B22&lt;=1,C33*F22*'数据-取费表'!B21/2,C33*(POWER((1+F22),'数据-取费表'!B21/2)-1)),0)</f>
        <v>0</v>
      </c>
      <c r="D42" s="190"/>
      <c r="E42" s="190"/>
      <c r="F42" s="191"/>
      <c r="G42" s="3210" t="s">
        <v>1091</v>
      </c>
    </row>
    <row r="43" spans="1:7" ht="13.5" customHeight="1">
      <c r="A43" s="188" t="s">
        <v>1020</v>
      </c>
      <c r="B43" s="158" t="s">
        <v>1061</v>
      </c>
      <c r="C43" s="190">
        <f ca="1">ROUND(IF('数据-取费表'!B22&lt;=1,C39*F22*'数据-取费表'!B21/2,C39*(POWER((1+F22),'数据-取费表'!B21/2)-1)),0)</f>
        <v>0</v>
      </c>
      <c r="D43" s="190"/>
      <c r="E43" s="190"/>
      <c r="F43" s="191"/>
      <c r="G43" s="3211"/>
    </row>
    <row r="44" spans="1:7" ht="13.5" customHeight="1">
      <c r="A44" s="188" t="s">
        <v>1022</v>
      </c>
      <c r="B44" s="158" t="s">
        <v>1063</v>
      </c>
      <c r="C44" s="190">
        <f ca="1">ROUND(IF('数据-取费表'!B22&lt;=1,C40*F22*'数据-取费表'!B21/2,C40*(POWER((1+F22),'数据-取费表'!B21/2)-1)),4)</f>
        <v>0</v>
      </c>
      <c r="D44" s="190"/>
      <c r="E44" s="190"/>
      <c r="F44" s="191"/>
      <c r="G44" s="3212"/>
    </row>
    <row r="45" spans="1:7" s="134" customFormat="1" ht="13.5" customHeight="1">
      <c r="A45" s="152" t="s">
        <v>1057</v>
      </c>
      <c r="B45" s="196" t="s">
        <v>1068</v>
      </c>
      <c r="C45" s="197">
        <f ca="1">C46</f>
        <v>0</v>
      </c>
      <c r="D45" s="183">
        <f ca="1">C47</f>
        <v>1E-3</v>
      </c>
      <c r="E45" s="184" t="s">
        <v>1089</v>
      </c>
      <c r="F45" s="198"/>
      <c r="G45" s="199" t="s">
        <v>1092</v>
      </c>
    </row>
    <row r="46" spans="1:7" s="134" customFormat="1" ht="13.5" customHeight="1">
      <c r="A46" s="188" t="s">
        <v>1018</v>
      </c>
      <c r="B46" s="200" t="s">
        <v>1093</v>
      </c>
      <c r="C46" s="201">
        <f ca="1">ROUND((C33+C39)*F27,0)</f>
        <v>0</v>
      </c>
      <c r="D46" s="214"/>
      <c r="E46" s="184"/>
      <c r="F46" s="198"/>
      <c r="G46" s="199"/>
    </row>
    <row r="47" spans="1:7" s="134" customFormat="1" ht="13.5" customHeight="1">
      <c r="A47" s="188" t="s">
        <v>1020</v>
      </c>
      <c r="B47" s="200" t="s">
        <v>1094</v>
      </c>
      <c r="C47" s="190">
        <f ca="1">ROUND(C40*F27,4)</f>
        <v>1E-3</v>
      </c>
      <c r="D47" s="214"/>
      <c r="E47" s="184"/>
      <c r="F47" s="198"/>
      <c r="G47" s="199"/>
    </row>
    <row r="48" spans="1:7" s="134" customFormat="1" ht="13.5" customHeight="1">
      <c r="A48" s="152" t="s">
        <v>1067</v>
      </c>
      <c r="B48" s="153" t="s">
        <v>1073</v>
      </c>
      <c r="C48" s="1947">
        <f>ROUND(F30/(1+'数据-取费表'!C42),4)</f>
        <v>5.2400000000000002E-2</v>
      </c>
      <c r="D48" s="184" t="s">
        <v>1089</v>
      </c>
      <c r="E48" s="180"/>
      <c r="F48" s="187"/>
      <c r="G48" s="185" t="s">
        <v>1095</v>
      </c>
    </row>
    <row r="49" spans="1:7" ht="16.5" customHeight="1">
      <c r="A49" s="152" t="s">
        <v>1072</v>
      </c>
      <c r="B49" s="153" t="s">
        <v>1096</v>
      </c>
      <c r="C49" s="180">
        <f ca="1">ROUND((C33+C39+C41+C45)/(1-C40-D41-D45-C48),0)</f>
        <v>0</v>
      </c>
      <c r="D49" s="180"/>
      <c r="E49" s="180"/>
      <c r="F49" s="215"/>
      <c r="G49" s="185" t="s">
        <v>1097</v>
      </c>
    </row>
    <row r="50" spans="1:7" s="136" customFormat="1" ht="24">
      <c r="A50" s="152" t="s">
        <v>1098</v>
      </c>
      <c r="B50" s="153" t="s">
        <v>1099</v>
      </c>
      <c r="C50" s="180"/>
      <c r="D50" s="180"/>
      <c r="E50" s="180"/>
      <c r="F50" s="215">
        <f>IF('数据-取费表'!B24=0,'数据-取费表'!N16,1)</f>
        <v>1</v>
      </c>
      <c r="G50" s="199" t="s">
        <v>1100</v>
      </c>
    </row>
    <row r="51" spans="1:7" ht="16.5" customHeight="1">
      <c r="A51" s="152" t="s">
        <v>1101</v>
      </c>
      <c r="B51" s="153" t="s">
        <v>1102</v>
      </c>
      <c r="C51" s="180">
        <f ca="1">ROUND(C49*F50,0)</f>
        <v>0</v>
      </c>
      <c r="D51" s="180"/>
      <c r="E51" s="180"/>
      <c r="F51" s="215"/>
      <c r="G51" s="185" t="s">
        <v>1103</v>
      </c>
    </row>
    <row r="52" spans="1:7" s="133" customFormat="1" ht="15.75">
      <c r="A52" s="216" t="s">
        <v>1104</v>
      </c>
      <c r="B52" s="217"/>
      <c r="C52" s="218">
        <f ca="1">C31+C51</f>
        <v>1280</v>
      </c>
      <c r="D52" s="217"/>
      <c r="E52" s="217"/>
      <c r="F52" s="217"/>
      <c r="G52" s="219"/>
    </row>
    <row r="55" spans="1:7" ht="15">
      <c r="B55" s="220" t="s">
        <v>1105</v>
      </c>
      <c r="C55" s="221"/>
    </row>
    <row r="56" spans="1:7">
      <c r="B56" s="222" t="s">
        <v>1106</v>
      </c>
      <c r="C56" s="224">
        <f ca="1">1-C57</f>
        <v>1</v>
      </c>
    </row>
    <row r="57" spans="1:7">
      <c r="B57" s="222" t="s">
        <v>1107</v>
      </c>
      <c r="C57" s="223">
        <f ca="1">ROUND(C51/C52,3)</f>
        <v>0</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1010</v>
      </c>
      <c r="B1" s="1937"/>
      <c r="C1" s="1938" t="s">
        <v>1108</v>
      </c>
      <c r="D1" s="142"/>
      <c r="E1" s="142"/>
      <c r="F1" s="142"/>
      <c r="G1" s="1939">
        <f>MATCH(B1,'数据-取费表'!A6:A16,0)+5</f>
        <v>7</v>
      </c>
      <c r="H1" s="1465" t="str">
        <f>IF(ISERROR(FIND("住宅",B1)),"非住宅","住宅")</f>
        <v>非住宅</v>
      </c>
    </row>
    <row r="2" spans="1:8" s="132" customFormat="1" ht="18" customHeight="1">
      <c r="A2" s="144" t="s">
        <v>925</v>
      </c>
      <c r="B2" s="145">
        <f ca="1">ROUND(IF(D2="——",C52/10000,C52/10000-E2),0)</f>
        <v>9884</v>
      </c>
      <c r="C2" s="143" t="s">
        <v>1011</v>
      </c>
      <c r="D2" s="1940" t="s">
        <v>124</v>
      </c>
      <c r="E2" s="1941" t="e">
        <f ca="1">SUMIF(INDIRECT("'"&amp;G2&amp;"'"&amp;"!A:A"),"承租人权益价值",INDIRECT("'"&amp;G2&amp;"'"&amp;"!c:c"))</f>
        <v>#REF!</v>
      </c>
      <c r="F2" s="1942" t="s">
        <v>1011</v>
      </c>
      <c r="G2" s="1943"/>
    </row>
    <row r="3" spans="1:8" s="132" customFormat="1" ht="18" customHeight="1">
      <c r="A3" s="147" t="s">
        <v>926</v>
      </c>
      <c r="B3" s="148">
        <f ca="1">ROUND(B2*10000/(IF(B1="",'数据-汇总表'!E3,INDIRECT("'数据-取费表'!k"&amp;$G$1))),0)</f>
        <v>2876</v>
      </c>
      <c r="C3" s="143" t="s">
        <v>1012</v>
      </c>
      <c r="D3" s="143"/>
      <c r="E3" s="143"/>
      <c r="F3" s="143"/>
      <c r="G3" s="143"/>
    </row>
    <row r="4" spans="1:8" s="133" customFormat="1" ht="15.75">
      <c r="A4" s="149" t="s">
        <v>1013</v>
      </c>
      <c r="B4" s="150"/>
      <c r="C4" s="150"/>
      <c r="D4" s="150"/>
      <c r="E4" s="150"/>
      <c r="F4" s="150"/>
      <c r="G4" s="151"/>
    </row>
    <row r="5" spans="1:8" s="134" customFormat="1" ht="13.5" customHeight="1">
      <c r="A5" s="152" t="s">
        <v>1014</v>
      </c>
      <c r="B5" s="153" t="s">
        <v>1015</v>
      </c>
      <c r="C5" s="154">
        <f ca="1">C6+C7+C8</f>
        <v>3951928</v>
      </c>
      <c r="D5" s="154" t="s">
        <v>1016</v>
      </c>
      <c r="E5" s="155" t="s">
        <v>1017</v>
      </c>
      <c r="F5" s="155" t="s">
        <v>829</v>
      </c>
      <c r="G5" s="156"/>
    </row>
    <row r="6" spans="1:8" s="134" customFormat="1" ht="13.5" customHeight="1">
      <c r="A6" s="157" t="s">
        <v>1018</v>
      </c>
      <c r="B6" s="158" t="s">
        <v>1019</v>
      </c>
      <c r="C6" s="159"/>
      <c r="D6" s="160"/>
      <c r="E6" s="161"/>
      <c r="F6" s="161"/>
      <c r="G6" s="162"/>
    </row>
    <row r="7" spans="1:8" s="134" customFormat="1" ht="13.5" customHeight="1">
      <c r="A7" s="157" t="s">
        <v>1020</v>
      </c>
      <c r="B7" s="158" t="s">
        <v>1021</v>
      </c>
      <c r="C7" s="163">
        <f>ROUND(C6*F7,0)</f>
        <v>0</v>
      </c>
      <c r="D7" s="163"/>
      <c r="E7" s="161"/>
      <c r="F7" s="164">
        <f>'数据-取费表'!B48+'数据-取费表'!B49</f>
        <v>3.0499999999999999E-2</v>
      </c>
      <c r="G7" s="162"/>
    </row>
    <row r="8" spans="1:8" s="135" customFormat="1">
      <c r="A8" s="157" t="s">
        <v>1022</v>
      </c>
      <c r="B8" s="158" t="s">
        <v>1023</v>
      </c>
      <c r="C8" s="163">
        <f ca="1">IF(G8="已包含在土地购买价格中",0,C9+C10)</f>
        <v>3951928</v>
      </c>
      <c r="D8" s="165"/>
      <c r="E8" s="163"/>
      <c r="F8" s="164"/>
      <c r="G8" s="1944"/>
    </row>
    <row r="9" spans="1:8" s="134" customFormat="1" ht="13.5" customHeight="1">
      <c r="A9" s="167" t="s">
        <v>1025</v>
      </c>
      <c r="B9" s="168" t="s">
        <v>1026</v>
      </c>
      <c r="C9" s="169">
        <f ca="1">ROUND(D9*E9,0)</f>
        <v>0</v>
      </c>
      <c r="D9" s="170">
        <f ca="1">IF(B1="",'数据-汇总表'!E5,IF(INDIRECT("'数据-取费表'!c"&amp;$G$1)="住宅",INDIRECT("'数据-取费表'!k"&amp;$G$1),0))</f>
        <v>0</v>
      </c>
      <c r="E9" s="169">
        <f>'数据-取费表'!B27</f>
        <v>115</v>
      </c>
      <c r="F9" s="164"/>
      <c r="G9" s="171"/>
    </row>
    <row r="10" spans="1:8" s="134" customFormat="1" ht="13.5" customHeight="1">
      <c r="A10" s="167" t="s">
        <v>1029</v>
      </c>
      <c r="B10" s="168" t="s">
        <v>1030</v>
      </c>
      <c r="C10" s="169">
        <f ca="1">ROUND(D10*E10,0)</f>
        <v>3951928</v>
      </c>
      <c r="D10" s="170">
        <f ca="1">IF(B1="",'数据-汇总表'!E6,IF(INDIRECT("'数据-取费表'!c"&amp;$G$1)="住宅",INDIRECT("'数据-取费表'!s"&amp;$G$1),INDIRECT("'数据-取费表'!k"&amp;$G$1)+INDIRECT("'数据-取费表'!s"&amp;$G$1)))</f>
        <v>34364.589999999997</v>
      </c>
      <c r="E10" s="169">
        <f>'数据-取费表'!B28</f>
        <v>115</v>
      </c>
      <c r="F10" s="164"/>
      <c r="G10" s="171"/>
    </row>
    <row r="11" spans="1:8" s="134" customFormat="1" ht="13.5" hidden="1" customHeight="1">
      <c r="A11" s="172" t="s">
        <v>1031</v>
      </c>
      <c r="B11" s="158" t="s">
        <v>1032</v>
      </c>
      <c r="C11" s="154"/>
      <c r="D11" s="173"/>
      <c r="E11" s="161"/>
      <c r="F11" s="161"/>
      <c r="G11" s="162"/>
    </row>
    <row r="12" spans="1:8" s="134" customFormat="1" ht="13.5" hidden="1" customHeight="1">
      <c r="A12" s="172" t="s">
        <v>1033</v>
      </c>
      <c r="B12" s="158" t="s">
        <v>866</v>
      </c>
      <c r="C12" s="154">
        <v>0</v>
      </c>
      <c r="D12" s="173"/>
      <c r="E12" s="174"/>
      <c r="F12" s="164">
        <v>3.0499999999999999E-2</v>
      </c>
      <c r="G12" s="162"/>
    </row>
    <row r="13" spans="1:8" s="134" customFormat="1" ht="13.5" hidden="1" customHeight="1">
      <c r="A13" s="172" t="s">
        <v>1034</v>
      </c>
      <c r="B13" s="158" t="s">
        <v>1035</v>
      </c>
      <c r="C13" s="154"/>
      <c r="D13" s="173"/>
      <c r="E13" s="161"/>
      <c r="F13" s="161"/>
      <c r="G13" s="162"/>
    </row>
    <row r="14" spans="1:8" s="134" customFormat="1" ht="13.5" hidden="1" customHeight="1">
      <c r="A14" s="172" t="s">
        <v>1036</v>
      </c>
      <c r="B14" s="158" t="s">
        <v>1023</v>
      </c>
      <c r="C14" s="154"/>
      <c r="D14" s="173"/>
      <c r="E14" s="161"/>
      <c r="F14" s="161"/>
      <c r="G14" s="162" t="s">
        <v>1037</v>
      </c>
    </row>
    <row r="15" spans="1:8" s="134" customFormat="1" ht="13.5" hidden="1" customHeight="1">
      <c r="A15" s="172" t="s">
        <v>1038</v>
      </c>
      <c r="B15" s="158" t="s">
        <v>1039</v>
      </c>
      <c r="C15" s="163"/>
      <c r="D15" s="173"/>
      <c r="E15" s="161"/>
      <c r="F15" s="161"/>
      <c r="G15" s="162" t="s">
        <v>1040</v>
      </c>
    </row>
    <row r="16" spans="1:8" s="134" customFormat="1" ht="13.5" hidden="1" customHeight="1">
      <c r="A16" s="172" t="s">
        <v>1041</v>
      </c>
      <c r="B16" s="158" t="s">
        <v>1023</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f ca="1">IF(G19="已包含在土地取得成本中","0",ROUND(D19*E19,0))</f>
        <v>6185626</v>
      </c>
      <c r="D19" s="178">
        <f ca="1">D9+D10</f>
        <v>34364.589999999997</v>
      </c>
      <c r="E19" s="154">
        <f>'数据-取费表'!B31</f>
        <v>180</v>
      </c>
      <c r="F19" s="179"/>
      <c r="G19" s="1944"/>
    </row>
    <row r="20" spans="1:7" s="134" customFormat="1" ht="13.5" customHeight="1">
      <c r="A20" s="152" t="s">
        <v>1050</v>
      </c>
      <c r="B20" s="153" t="s">
        <v>1051</v>
      </c>
      <c r="C20" s="180">
        <f ca="1">ROUND((C5+C19)*F20,0)</f>
        <v>202751</v>
      </c>
      <c r="D20" s="180"/>
      <c r="E20" s="180"/>
      <c r="F20" s="181">
        <f>'数据-取费表'!B37</f>
        <v>0.02</v>
      </c>
      <c r="G20" s="185" t="s">
        <v>1052</v>
      </c>
    </row>
    <row r="21" spans="1:7" s="134" customFormat="1" ht="13.5" customHeight="1">
      <c r="A21" s="152" t="s">
        <v>1053</v>
      </c>
      <c r="B21" s="153" t="s">
        <v>1054</v>
      </c>
      <c r="C21" s="183">
        <f>F21</f>
        <v>0.02</v>
      </c>
      <c r="D21" s="184" t="s">
        <v>1055</v>
      </c>
      <c r="E21" s="180"/>
      <c r="F21" s="181">
        <f>'数据-取费表'!B38</f>
        <v>0.02</v>
      </c>
      <c r="G21" s="185" t="s">
        <v>1056</v>
      </c>
    </row>
    <row r="22" spans="1:7" s="134" customFormat="1" ht="13.5" customHeight="1">
      <c r="A22" s="152" t="s">
        <v>1057</v>
      </c>
      <c r="B22" s="153" t="s">
        <v>1058</v>
      </c>
      <c r="C22" s="1945">
        <f ca="1">ROUND(SUM(C23:C25),0)</f>
        <v>995572</v>
      </c>
      <c r="D22" s="183">
        <f ca="1">C26</f>
        <v>1E-3</v>
      </c>
      <c r="E22" s="184" t="s">
        <v>1055</v>
      </c>
      <c r="F22" s="187">
        <f ca="1">'数据-取费表'!B40</f>
        <v>4.7500000000000001E-2</v>
      </c>
      <c r="G22" s="185" t="str">
        <f>IF('数据-取费表'!B22&lt;=1,"单利计息","复利计息")</f>
        <v>复利计息</v>
      </c>
    </row>
    <row r="23" spans="1:7" s="134" customFormat="1" ht="13.5" customHeight="1">
      <c r="A23" s="188" t="s">
        <v>1018</v>
      </c>
      <c r="B23" s="158" t="s">
        <v>1059</v>
      </c>
      <c r="C23" s="1946">
        <f ca="1">ROUND(IF('数据-取费表'!B22&lt;=1,C5*F22*'数据-取费表'!B22,C5*(POWER((1+F22),'数据-取费表'!B22)-1)),0)</f>
        <v>384350</v>
      </c>
      <c r="D23" s="190"/>
      <c r="E23" s="190"/>
      <c r="F23" s="191"/>
      <c r="G23" s="192" t="s">
        <v>1060</v>
      </c>
    </row>
    <row r="24" spans="1:7" s="134" customFormat="1" ht="13.5" customHeight="1">
      <c r="A24" s="188" t="s">
        <v>1020</v>
      </c>
      <c r="B24" s="158" t="s">
        <v>1061</v>
      </c>
      <c r="C24" s="1946">
        <f ca="1">ROUND(IF('数据-取费表'!B22&lt;=1,C19*F22*('数据-取费表'!B19/2+'数据-取费表'!B20),C19*(POWER((1+F22),('数据-取费表'!B19/2+'数据-取费表'!B20))-1)),0)</f>
        <v>601591</v>
      </c>
      <c r="D24" s="190"/>
      <c r="E24" s="190"/>
      <c r="F24" s="191"/>
      <c r="G24" s="192" t="s">
        <v>1062</v>
      </c>
    </row>
    <row r="25" spans="1:7" s="134" customFormat="1" ht="24">
      <c r="A25" s="188" t="s">
        <v>1022</v>
      </c>
      <c r="B25" s="158" t="s">
        <v>1063</v>
      </c>
      <c r="C25" s="1946">
        <f ca="1">ROUND(IF('数据-取费表'!B22&lt;=1,C20*F22*'数据-取费表'!B22/2,C20*(POWER((1+F22),'数据-取费表'!B22/2)-1)),0)</f>
        <v>9631</v>
      </c>
      <c r="D25" s="190"/>
      <c r="E25" s="193"/>
      <c r="F25" s="191"/>
      <c r="G25" s="194" t="s">
        <v>1064</v>
      </c>
    </row>
    <row r="26" spans="1:7" s="134" customFormat="1">
      <c r="A26" s="188" t="s">
        <v>1065</v>
      </c>
      <c r="B26" s="158" t="s">
        <v>1066</v>
      </c>
      <c r="C26" s="190">
        <f ca="1">ROUND(IF('数据-取费表'!B22&lt;=1,F21*F22*'数据-取费表'!B22/2,F21*(POWER((1+F22),'数据-取费表'!B22/2)-1)),4)</f>
        <v>1E-3</v>
      </c>
      <c r="D26" s="190"/>
      <c r="E26" s="193"/>
      <c r="F26" s="191"/>
      <c r="G26" s="195"/>
    </row>
    <row r="27" spans="1:7" s="134" customFormat="1" ht="24.75">
      <c r="A27" s="152" t="s">
        <v>1067</v>
      </c>
      <c r="B27" s="196" t="s">
        <v>1068</v>
      </c>
      <c r="C27" s="197">
        <f ca="1">C28</f>
        <v>517015</v>
      </c>
      <c r="D27" s="183">
        <f ca="1">C29</f>
        <v>1E-3</v>
      </c>
      <c r="E27" s="184" t="s">
        <v>1055</v>
      </c>
      <c r="F27" s="198">
        <f ca="1">IF(B1="",'数据-取费表'!Q16,INDIRECT("'数据-取费表'!q"&amp;$G$1))</f>
        <v>0.05</v>
      </c>
      <c r="G27" s="199" t="s">
        <v>1069</v>
      </c>
    </row>
    <row r="28" spans="1:7" s="134" customFormat="1" ht="13.5" customHeight="1">
      <c r="A28" s="188" t="s">
        <v>1018</v>
      </c>
      <c r="B28" s="200" t="s">
        <v>1070</v>
      </c>
      <c r="C28" s="201">
        <f ca="1">ROUND((C5+C19+C20)*F27,0)</f>
        <v>517015</v>
      </c>
      <c r="D28" s="183"/>
      <c r="E28" s="184"/>
      <c r="F28" s="198"/>
      <c r="G28" s="199"/>
    </row>
    <row r="29" spans="1:7" s="134" customFormat="1" ht="13.5" customHeight="1">
      <c r="A29" s="188" t="s">
        <v>1020</v>
      </c>
      <c r="B29" s="200" t="s">
        <v>1071</v>
      </c>
      <c r="C29" s="190">
        <f ca="1">ROUND(C21*F27,4)</f>
        <v>1E-3</v>
      </c>
      <c r="D29" s="183"/>
      <c r="E29" s="184"/>
      <c r="F29" s="198"/>
      <c r="G29" s="199"/>
    </row>
    <row r="30" spans="1:7" s="134" customFormat="1" ht="13.5" customHeight="1">
      <c r="A30" s="152" t="s">
        <v>1072</v>
      </c>
      <c r="B30" s="153" t="s">
        <v>1073</v>
      </c>
      <c r="C30" s="183">
        <f>ROUND(F30/(1+'数据-取费表'!C42),4)</f>
        <v>5.2400000000000002E-2</v>
      </c>
      <c r="D30" s="184" t="s">
        <v>1055</v>
      </c>
      <c r="E30" s="193"/>
      <c r="F30" s="187">
        <f>'数据-取费表'!B41</f>
        <v>5.5E-2</v>
      </c>
      <c r="G30" s="185" t="s">
        <v>1074</v>
      </c>
    </row>
    <row r="31" spans="1:7" ht="16.5" customHeight="1">
      <c r="A31" s="202">
        <v>1</v>
      </c>
      <c r="B31" s="153" t="s">
        <v>1075</v>
      </c>
      <c r="C31" s="154">
        <f ca="1">ROUND((C5+C19+C20+C22+C27)/(1-C21-D22-D27-C30),0)</f>
        <v>12805631</v>
      </c>
      <c r="D31" s="203"/>
      <c r="E31" s="154"/>
      <c r="F31" s="204"/>
      <c r="G31" s="185" t="s">
        <v>1076</v>
      </c>
    </row>
    <row r="32" spans="1:7" s="133" customFormat="1" ht="15.75">
      <c r="A32" s="205" t="s">
        <v>1109</v>
      </c>
      <c r="B32" s="206"/>
      <c r="C32" s="206"/>
      <c r="D32" s="206"/>
      <c r="E32" s="206"/>
      <c r="F32" s="206"/>
      <c r="G32" s="207"/>
    </row>
    <row r="33" spans="1:7" s="134" customFormat="1" ht="13.5" customHeight="1">
      <c r="A33" s="152" t="s">
        <v>1014</v>
      </c>
      <c r="B33" s="153" t="s">
        <v>1110</v>
      </c>
      <c r="C33" s="208">
        <f ca="1">SUM(C34:C38)</f>
        <v>71134701</v>
      </c>
      <c r="D33" s="180"/>
      <c r="E33" s="155"/>
      <c r="F33" s="193"/>
      <c r="G33" s="185"/>
    </row>
    <row r="34" spans="1:7" s="136" customFormat="1" ht="13.5" customHeight="1">
      <c r="A34" s="188" t="s">
        <v>1018</v>
      </c>
      <c r="B34" s="158" t="s">
        <v>1079</v>
      </c>
      <c r="C34" s="163">
        <f ca="1">ROUND(IF(B1="",SUMPRODUCT('数据-取费表'!K6:K14,'数据-取费表'!L6:L14),INDIRECT("'数据-取费表'!l"&amp;$G$1)*INDIRECT("'数据-取费表'!k"&amp;$G$1)+'数据-取费表'!L14*INDIRECT("'数据-取费表'!S"&amp;$G$1)),0)</f>
        <v>61856262</v>
      </c>
      <c r="D34" s="160"/>
      <c r="E34" s="163"/>
      <c r="F34" s="209"/>
      <c r="G34" s="162"/>
    </row>
    <row r="35" spans="1:7" ht="13.5" customHeight="1">
      <c r="A35" s="188" t="s">
        <v>1020</v>
      </c>
      <c r="B35" s="158" t="s">
        <v>1081</v>
      </c>
      <c r="C35" s="163">
        <f ca="1">ROUND(C34*F35,0)</f>
        <v>2164969</v>
      </c>
      <c r="D35" s="163"/>
      <c r="E35" s="163"/>
      <c r="F35" s="210">
        <f>'数据-取费表'!B33</f>
        <v>3.5000000000000003E-2</v>
      </c>
      <c r="G35" s="162" t="s">
        <v>1082</v>
      </c>
    </row>
    <row r="36" spans="1:7" ht="24">
      <c r="A36" s="188" t="s">
        <v>1022</v>
      </c>
      <c r="B36" s="158" t="s">
        <v>1083</v>
      </c>
      <c r="C36" s="163">
        <f ca="1">ROUND(IF(B1="",SUM('数据-取费表'!AP6:AP13)*F36,IF(INDIRECT("'数据-取费表'!c"&amp;$G$1)="住宅",INDIRECT("'数据-取费表'!k"&amp;$G$1)*INDIRECT("'数据-取费表'!l"&amp;$G$1)*F36,0)),0)</f>
        <v>0</v>
      </c>
      <c r="D36" s="163"/>
      <c r="E36" s="163"/>
      <c r="F36" s="210">
        <f>'数据-取费表'!B34</f>
        <v>0</v>
      </c>
      <c r="G36" s="211" t="s">
        <v>1084</v>
      </c>
    </row>
    <row r="37" spans="1:7" s="136" customFormat="1" ht="13.5" customHeight="1">
      <c r="A37" s="188" t="s">
        <v>1065</v>
      </c>
      <c r="B37" s="158" t="s">
        <v>1085</v>
      </c>
      <c r="C37" s="201">
        <f ca="1">ROUND(E37*D37,0)</f>
        <v>6185626</v>
      </c>
      <c r="D37" s="160">
        <f ca="1">D19</f>
        <v>34364.589999999997</v>
      </c>
      <c r="E37" s="201">
        <f>'数据-取费表'!B35</f>
        <v>180</v>
      </c>
      <c r="F37" s="210"/>
      <c r="G37" s="212"/>
    </row>
    <row r="38" spans="1:7" ht="13.5" customHeight="1">
      <c r="A38" s="188" t="s">
        <v>1087</v>
      </c>
      <c r="B38" s="158" t="s">
        <v>866</v>
      </c>
      <c r="C38" s="163">
        <f ca="1">ROUND(C34*F38,0)</f>
        <v>927844</v>
      </c>
      <c r="D38" s="163"/>
      <c r="E38" s="163"/>
      <c r="F38" s="210">
        <f>'数据-取费表'!B36</f>
        <v>1.4999999999999999E-2</v>
      </c>
      <c r="G38" s="162" t="s">
        <v>1082</v>
      </c>
    </row>
    <row r="39" spans="1:7" s="134" customFormat="1" ht="13.5" customHeight="1">
      <c r="A39" s="152" t="s">
        <v>1047</v>
      </c>
      <c r="B39" s="153" t="s">
        <v>1051</v>
      </c>
      <c r="C39" s="180">
        <f ca="1">ROUND(C33*F20,0)</f>
        <v>1422694</v>
      </c>
      <c r="D39" s="180"/>
      <c r="E39" s="180"/>
      <c r="F39" s="181"/>
      <c r="G39" s="185" t="s">
        <v>1088</v>
      </c>
    </row>
    <row r="40" spans="1:7" s="134" customFormat="1" ht="13.5" customHeight="1">
      <c r="A40" s="152" t="s">
        <v>1050</v>
      </c>
      <c r="B40" s="153" t="s">
        <v>1054</v>
      </c>
      <c r="C40" s="1947">
        <f>F21</f>
        <v>0.02</v>
      </c>
      <c r="D40" s="184" t="s">
        <v>1089</v>
      </c>
      <c r="E40" s="180"/>
      <c r="F40" s="181"/>
      <c r="G40" s="185" t="s">
        <v>1090</v>
      </c>
    </row>
    <row r="41" spans="1:7" s="134" customFormat="1" ht="13.5" customHeight="1">
      <c r="A41" s="152" t="s">
        <v>1053</v>
      </c>
      <c r="B41" s="153" t="s">
        <v>1058</v>
      </c>
      <c r="C41" s="180">
        <f ca="1">ROUND(SUM(C42:C43),0)</f>
        <v>3446476</v>
      </c>
      <c r="D41" s="183">
        <f ca="1">C44</f>
        <v>1E-3</v>
      </c>
      <c r="E41" s="184" t="s">
        <v>1089</v>
      </c>
      <c r="F41" s="187"/>
      <c r="G41" s="185" t="str">
        <f>IF('数据-取费表'!B22&lt;=1,"单利计息","复利计息")</f>
        <v>复利计息</v>
      </c>
    </row>
    <row r="42" spans="1:7" ht="13.5" customHeight="1">
      <c r="A42" s="188" t="s">
        <v>1018</v>
      </c>
      <c r="B42" s="158" t="s">
        <v>1059</v>
      </c>
      <c r="C42" s="190">
        <f ca="1">ROUND(IF('数据-取费表'!B22&lt;=1,C33*F22*'数据-取费表'!B20/2,C33*(POWER((1+F22),'数据-取费表'!B20/2)-1)),0)</f>
        <v>3378898</v>
      </c>
      <c r="D42" s="190"/>
      <c r="E42" s="190"/>
      <c r="F42" s="191"/>
      <c r="G42" s="3210" t="s">
        <v>1111</v>
      </c>
    </row>
    <row r="43" spans="1:7" ht="13.5" customHeight="1">
      <c r="A43" s="188" t="s">
        <v>1020</v>
      </c>
      <c r="B43" s="158" t="s">
        <v>1061</v>
      </c>
      <c r="C43" s="190">
        <f ca="1">ROUND(IF('数据-取费表'!B22&lt;=1,C39*F22*'数据-取费表'!B20/2,C39*(POWER((1+F22),'数据-取费表'!B20/2)-1)),0)</f>
        <v>67578</v>
      </c>
      <c r="D43" s="190"/>
      <c r="E43" s="190"/>
      <c r="F43" s="191"/>
      <c r="G43" s="3211"/>
    </row>
    <row r="44" spans="1:7" ht="13.5" customHeight="1">
      <c r="A44" s="188" t="s">
        <v>1022</v>
      </c>
      <c r="B44" s="158" t="s">
        <v>1063</v>
      </c>
      <c r="C44" s="190">
        <f ca="1">ROUND(IF('数据-取费表'!B22&lt;=1,C40*F22*'数据-取费表'!B20/2,C40*(POWER((1+F22),'数据-取费表'!B20/2)-1)),4)</f>
        <v>1E-3</v>
      </c>
      <c r="D44" s="190"/>
      <c r="E44" s="190"/>
      <c r="F44" s="191"/>
      <c r="G44" s="3212"/>
    </row>
    <row r="45" spans="1:7" s="134" customFormat="1" ht="13.5" customHeight="1">
      <c r="A45" s="152" t="s">
        <v>1057</v>
      </c>
      <c r="B45" s="196" t="s">
        <v>1068</v>
      </c>
      <c r="C45" s="197">
        <f ca="1">C46</f>
        <v>3627870</v>
      </c>
      <c r="D45" s="183">
        <f ca="1">C47</f>
        <v>1E-3</v>
      </c>
      <c r="E45" s="184" t="s">
        <v>1089</v>
      </c>
      <c r="F45" s="198"/>
      <c r="G45" s="199" t="s">
        <v>1092</v>
      </c>
    </row>
    <row r="46" spans="1:7" s="134" customFormat="1" ht="13.5" customHeight="1">
      <c r="A46" s="188" t="s">
        <v>1018</v>
      </c>
      <c r="B46" s="200" t="s">
        <v>1093</v>
      </c>
      <c r="C46" s="201">
        <f ca="1">ROUND((C33+C39)*F27,0)</f>
        <v>3627870</v>
      </c>
      <c r="D46" s="214"/>
      <c r="E46" s="184"/>
      <c r="F46" s="198"/>
      <c r="G46" s="199"/>
    </row>
    <row r="47" spans="1:7" s="134" customFormat="1" ht="13.5" customHeight="1">
      <c r="A47" s="188" t="s">
        <v>1020</v>
      </c>
      <c r="B47" s="200" t="s">
        <v>1094</v>
      </c>
      <c r="C47" s="190">
        <f ca="1">ROUND(C40*F27,4)</f>
        <v>1E-3</v>
      </c>
      <c r="D47" s="214"/>
      <c r="E47" s="184"/>
      <c r="F47" s="198"/>
      <c r="G47" s="199"/>
    </row>
    <row r="48" spans="1:7" s="134" customFormat="1" ht="13.5" customHeight="1">
      <c r="A48" s="152" t="s">
        <v>1067</v>
      </c>
      <c r="B48" s="153" t="s">
        <v>1073</v>
      </c>
      <c r="C48" s="213">
        <f>ROUND(F30/(1+'数据-取费表'!C42),4)</f>
        <v>5.2400000000000002E-2</v>
      </c>
      <c r="D48" s="184" t="s">
        <v>1089</v>
      </c>
      <c r="E48" s="180"/>
      <c r="F48" s="187"/>
      <c r="G48" s="185" t="s">
        <v>1095</v>
      </c>
    </row>
    <row r="49" spans="1:7" ht="16.5" customHeight="1">
      <c r="A49" s="152" t="s">
        <v>1072</v>
      </c>
      <c r="B49" s="153" t="s">
        <v>1112</v>
      </c>
      <c r="C49" s="180">
        <f ca="1">ROUND((C33+C39+C41+C45)/(1-C40-D41-D45-C48),0)</f>
        <v>86032564</v>
      </c>
      <c r="D49" s="180"/>
      <c r="E49" s="180"/>
      <c r="F49" s="215"/>
      <c r="G49" s="185" t="s">
        <v>1097</v>
      </c>
    </row>
    <row r="50" spans="1:7" s="136" customFormat="1">
      <c r="A50" s="152" t="s">
        <v>1098</v>
      </c>
      <c r="B50" s="153" t="s">
        <v>1099</v>
      </c>
      <c r="C50" s="180"/>
      <c r="D50" s="180"/>
      <c r="E50" s="180"/>
      <c r="F50" s="215">
        <f>IF('数据-取费表'!B24=0,'数据-取费表'!N16,1)</f>
        <v>1</v>
      </c>
      <c r="G50" s="199"/>
    </row>
    <row r="51" spans="1:7" ht="16.5" customHeight="1">
      <c r="A51" s="152" t="s">
        <v>1101</v>
      </c>
      <c r="B51" s="153" t="s">
        <v>1113</v>
      </c>
      <c r="C51" s="180">
        <f ca="1">ROUND(C49*F50,0)</f>
        <v>86032564</v>
      </c>
      <c r="D51" s="180"/>
      <c r="E51" s="180"/>
      <c r="F51" s="215"/>
      <c r="G51" s="185" t="s">
        <v>1103</v>
      </c>
    </row>
    <row r="52" spans="1:7" s="133" customFormat="1" ht="15.75">
      <c r="A52" s="216" t="s">
        <v>1104</v>
      </c>
      <c r="B52" s="217"/>
      <c r="C52" s="218">
        <f ca="1">C31+C51</f>
        <v>98838195</v>
      </c>
      <c r="D52" s="217"/>
      <c r="E52" s="217"/>
      <c r="F52" s="217"/>
      <c r="G52" s="219"/>
    </row>
    <row r="55" spans="1:7" ht="15">
      <c r="B55" s="220" t="s">
        <v>1105</v>
      </c>
      <c r="C55" s="221"/>
    </row>
    <row r="56" spans="1:7">
      <c r="B56" s="222" t="s">
        <v>1106</v>
      </c>
      <c r="C56" s="224">
        <f ca="1">1-C57</f>
        <v>0.13</v>
      </c>
    </row>
    <row r="57" spans="1:7">
      <c r="B57" s="222" t="s">
        <v>1107</v>
      </c>
      <c r="C57" s="223">
        <f ca="1">ROUND(C51/C52,3)</f>
        <v>0.87</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6" sqref="C6"/>
    </sheetView>
  </sheetViews>
  <sheetFormatPr defaultColWidth="6.625" defaultRowHeight="12.75"/>
  <cols>
    <col min="1" max="1" width="9.75" style="328" customWidth="1"/>
    <col min="2" max="2" width="25.75" style="1852" customWidth="1"/>
    <col min="3" max="3" width="10.375" style="1853" customWidth="1"/>
    <col min="4" max="4" width="9.875" style="1852" customWidth="1"/>
    <col min="5" max="5" width="9.5" style="328"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0" t="s">
        <v>1114</v>
      </c>
      <c r="B1" s="1854"/>
      <c r="C1" s="1855"/>
      <c r="D1" s="1856"/>
      <c r="E1" s="1857"/>
      <c r="F1" s="1857"/>
      <c r="G1" s="1854"/>
      <c r="H1" s="1857"/>
      <c r="I1" s="1857"/>
      <c r="J1" s="1857"/>
      <c r="K1" s="1857">
        <f>MATCH(C1,'数据-取费表'!A6:A16,0)+5</f>
        <v>7</v>
      </c>
    </row>
    <row r="2" spans="1:33" ht="18" customHeight="1">
      <c r="A2" s="144" t="s">
        <v>925</v>
      </c>
      <c r="B2" s="148">
        <f ca="1">C32</f>
        <v>1730</v>
      </c>
      <c r="C2" s="1857" t="s">
        <v>1115</v>
      </c>
      <c r="D2" s="1857"/>
      <c r="E2" s="1857"/>
      <c r="F2" s="1857"/>
      <c r="G2" s="1857"/>
      <c r="H2" s="1857"/>
      <c r="I2" s="1857"/>
      <c r="J2" s="1857"/>
      <c r="K2" s="1857"/>
    </row>
    <row r="3" spans="1:33" ht="18" customHeight="1">
      <c r="A3" s="147" t="s">
        <v>926</v>
      </c>
      <c r="B3" s="148">
        <f ca="1">ROUND(B2*10000/IF(C1="",'数据-汇总表'!E3,INDIRECT("'数据-取费表'!K"&amp;$K$1)),0)</f>
        <v>503</v>
      </c>
      <c r="C3" s="1857" t="s">
        <v>1116</v>
      </c>
      <c r="D3" s="1857"/>
      <c r="E3" s="1857"/>
      <c r="F3" s="1857"/>
      <c r="G3" s="1857"/>
      <c r="H3" s="1857"/>
      <c r="I3" s="1857"/>
      <c r="J3" s="1857"/>
      <c r="K3" s="1857"/>
    </row>
    <row r="4" spans="1:33" s="1843" customFormat="1" ht="16.5" customHeight="1">
      <c r="A4" s="1858" t="s">
        <v>1117</v>
      </c>
      <c r="B4" s="1859"/>
      <c r="C4" s="1860">
        <f ca="1">SUM(C8:K8)</f>
        <v>11288</v>
      </c>
      <c r="D4" s="1859"/>
      <c r="E4" s="1859"/>
      <c r="F4" s="1859"/>
      <c r="G4" s="1859"/>
      <c r="H4" s="1859"/>
      <c r="I4" s="1859"/>
      <c r="J4" s="1859"/>
      <c r="K4" s="1925"/>
    </row>
    <row r="5" spans="1:33" s="1844" customFormat="1" ht="15">
      <c r="A5" s="1861" t="s">
        <v>1118</v>
      </c>
      <c r="B5" s="1862" t="s">
        <v>1119</v>
      </c>
      <c r="C5" s="1863" t="s">
        <v>314</v>
      </c>
      <c r="D5" s="1863"/>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834</v>
      </c>
      <c r="B6" s="1632" t="s">
        <v>1120</v>
      </c>
      <c r="C6" s="1865">
        <f ca="1">收益法!B3</f>
        <v>3285</v>
      </c>
      <c r="D6" s="1865"/>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838</v>
      </c>
      <c r="B7" s="1632" t="s">
        <v>436</v>
      </c>
      <c r="C7" s="1866">
        <f>SUMIF('数据-汇总表'!$C19:$C33,假设开发法!C5,'数据-汇总表'!$E19:$E33)</f>
        <v>34364.589999999997</v>
      </c>
      <c r="D7" s="1866">
        <f>SUMIF('数据-汇总表'!$C19:$C33,假设开发法!D5,'数据-汇总表'!$E19:$E33)</f>
        <v>0</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882</v>
      </c>
      <c r="B8" s="1868" t="s">
        <v>1121</v>
      </c>
      <c r="C8" s="1869">
        <f ca="1">收益法!B2</f>
        <v>11288</v>
      </c>
      <c r="D8" s="1869"/>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1122</v>
      </c>
      <c r="B9" s="1859"/>
      <c r="C9" s="1859"/>
      <c r="D9" s="1859"/>
      <c r="E9" s="1859"/>
      <c r="F9" s="1859"/>
      <c r="G9" s="1859"/>
      <c r="H9" s="1859"/>
      <c r="I9" s="1859"/>
      <c r="J9" s="1859"/>
      <c r="K9" s="1925"/>
    </row>
    <row r="10" spans="1:33" s="1846" customFormat="1" ht="13.5" customHeight="1">
      <c r="A10" s="1861" t="s">
        <v>1118</v>
      </c>
      <c r="B10" s="1871" t="s">
        <v>1119</v>
      </c>
      <c r="C10" s="1872" t="s">
        <v>1123</v>
      </c>
      <c r="D10" s="1873" t="s">
        <v>1124</v>
      </c>
      <c r="E10" s="1873" t="s">
        <v>1125</v>
      </c>
      <c r="F10" s="1873" t="s">
        <v>1126</v>
      </c>
      <c r="G10" s="1871"/>
      <c r="H10" s="1874"/>
      <c r="I10" s="1874"/>
      <c r="J10" s="1874"/>
      <c r="K10" s="1931"/>
    </row>
    <row r="11" spans="1:33" s="1847" customFormat="1" ht="13.5" customHeight="1">
      <c r="A11" s="1875" t="s">
        <v>1025</v>
      </c>
      <c r="B11" s="1876" t="s">
        <v>1127</v>
      </c>
      <c r="C11" s="1877">
        <f ca="1">IF(C1="",'数据-取费表'!P16,INDIRECT("'数据-取费表'!p"&amp;$K$1)+INDIRECT("'数据-取费表'!ar"&amp;$K$1))</f>
        <v>6186</v>
      </c>
      <c r="D11" s="1878"/>
      <c r="E11" s="1635"/>
      <c r="F11" s="1879">
        <f ca="1">1-IF('数据-取费表'!B24=0,1,IF(C1="",'数据-取费表'!N16,INDIRECT("'数据-取费表'!n"&amp;$K$1)))</f>
        <v>1</v>
      </c>
      <c r="G11" s="1871"/>
      <c r="H11" s="1874"/>
      <c r="I11" s="1874"/>
      <c r="J11" s="1874"/>
      <c r="K11" s="1931"/>
    </row>
    <row r="12" spans="1:33" s="1847" customFormat="1" ht="13.5" customHeight="1">
      <c r="A12" s="1875" t="s">
        <v>1029</v>
      </c>
      <c r="B12" s="1876" t="s">
        <v>1128</v>
      </c>
      <c r="C12" s="287">
        <f ca="1">ROUND(C11*F12,0)</f>
        <v>217</v>
      </c>
      <c r="D12" s="1878"/>
      <c r="E12" s="1635"/>
      <c r="F12" s="1879">
        <f>'数据-取费表'!B33</f>
        <v>3.5000000000000003E-2</v>
      </c>
      <c r="G12" s="1871" t="s">
        <v>1129</v>
      </c>
      <c r="H12" s="1874"/>
      <c r="I12" s="1874"/>
      <c r="J12" s="1874"/>
      <c r="K12" s="1931"/>
    </row>
    <row r="13" spans="1:33" s="1847" customFormat="1" ht="13.5" customHeight="1">
      <c r="A13" s="1875" t="s">
        <v>1130</v>
      </c>
      <c r="B13" s="1876" t="s">
        <v>1131</v>
      </c>
      <c r="C13" s="287">
        <f ca="1">ROUND(IF(C1="",SUMIF('数据-取费表'!C:C,"住宅",'数据-取费表'!P:P)*F13,IF(INDIRECT("'数据-取费表'!c"&amp;$K$1)="住宅",INDIRECT("'数据-取费表'!P"&amp;$K$1)*F13,0)),0)</f>
        <v>0</v>
      </c>
      <c r="D13" s="1881"/>
      <c r="E13" s="1635"/>
      <c r="F13" s="1880">
        <f>'数据-取费表'!B34</f>
        <v>0</v>
      </c>
      <c r="G13" s="1871" t="s">
        <v>1132</v>
      </c>
      <c r="H13" s="1874"/>
      <c r="I13" s="1874"/>
      <c r="J13" s="1874"/>
      <c r="K13" s="1931"/>
    </row>
    <row r="14" spans="1:33" s="1848" customFormat="1" ht="13.5" customHeight="1">
      <c r="A14" s="1875" t="s">
        <v>1133</v>
      </c>
      <c r="B14" s="1876" t="s">
        <v>1134</v>
      </c>
      <c r="C14" s="287">
        <f ca="1">ROUND(D14*E14*F11/10000,0)</f>
        <v>619</v>
      </c>
      <c r="D14" s="1881">
        <f ca="1">IF(C1="",'数据-汇总表'!E3,INDIRECT("'数据-取费表'!K"&amp;$K$1)+INDIRECT("'数据-取费表'!S"&amp;$K$1))</f>
        <v>34364.589999999997</v>
      </c>
      <c r="E14" s="287">
        <f>'数据-取费表'!B35</f>
        <v>180</v>
      </c>
      <c r="F14" s="1880"/>
      <c r="G14" s="1871" t="s">
        <v>1135</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1136</v>
      </c>
      <c r="B15" s="1876" t="s">
        <v>1137</v>
      </c>
      <c r="C15" s="1882">
        <f ca="1">ROUND(C11*F15,0)</f>
        <v>93</v>
      </c>
      <c r="D15" s="1883"/>
      <c r="E15" s="1882"/>
      <c r="F15" s="1884">
        <f>'数据-取费表'!B36</f>
        <v>1.4999999999999999E-2</v>
      </c>
      <c r="G15" s="1632" t="s">
        <v>1138</v>
      </c>
      <c r="H15" s="1742"/>
      <c r="I15" s="1742"/>
      <c r="J15" s="1742"/>
      <c r="K15" s="1743"/>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857</v>
      </c>
      <c r="B16" s="1876" t="s">
        <v>1139</v>
      </c>
      <c r="C16" s="1882">
        <f ca="1">SUM(C11:C15)</f>
        <v>7115</v>
      </c>
      <c r="D16" s="1883"/>
      <c r="E16" s="1882"/>
      <c r="F16" s="1884"/>
      <c r="G16" s="1632"/>
      <c r="H16" s="1885"/>
      <c r="I16" s="1742"/>
      <c r="J16" s="1742"/>
      <c r="K16" s="1743"/>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862</v>
      </c>
      <c r="B17" s="1876" t="s">
        <v>1140</v>
      </c>
      <c r="C17" s="287">
        <f ca="1">ROUND(D17*E17/10000,0)</f>
        <v>0</v>
      </c>
      <c r="D17" s="1881">
        <f ca="1">D14</f>
        <v>34364.589999999997</v>
      </c>
      <c r="E17" s="287">
        <f>'数据-取费表'!B32</f>
        <v>0</v>
      </c>
      <c r="F17" s="1883"/>
      <c r="G17" s="1632" t="s">
        <v>1141</v>
      </c>
      <c r="H17" s="1885"/>
      <c r="I17" s="1742"/>
      <c r="J17" s="1742"/>
      <c r="K17" s="1743"/>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1142</v>
      </c>
      <c r="B18" s="1876" t="s">
        <v>1143</v>
      </c>
      <c r="C18" s="287">
        <f ca="1">C19+C20-IF(C1="",'数据-取费表'!B29,IF(G18="已全部缴纳",C19+C20,H18))</f>
        <v>395</v>
      </c>
      <c r="D18" s="1881"/>
      <c r="E18" s="287"/>
      <c r="F18" s="1880"/>
      <c r="G18" s="1886"/>
      <c r="H18" s="1887"/>
      <c r="I18" s="1932" t="s">
        <v>1144</v>
      </c>
      <c r="J18" s="1742"/>
      <c r="K18" s="1743"/>
    </row>
    <row r="19" spans="1:33" s="1847" customFormat="1" ht="13.5" customHeight="1">
      <c r="A19" s="1875" t="s">
        <v>1025</v>
      </c>
      <c r="B19" s="1876" t="s">
        <v>1145</v>
      </c>
      <c r="C19" s="287">
        <f ca="1">ROUND(D19*E19/10000,0)</f>
        <v>0</v>
      </c>
      <c r="D19" s="1881">
        <f ca="1">IF(C1="",'数据-汇总表'!E5,IF(INDIRECT("'数据-取费表'!c"&amp;$K$1)="住宅",INDIRECT("'数据-取费表'!k"&amp;$K$1),0))</f>
        <v>0</v>
      </c>
      <c r="E19" s="287">
        <f>'数据-取费表'!B27</f>
        <v>115</v>
      </c>
      <c r="F19" s="1880"/>
      <c r="G19" s="1741"/>
      <c r="H19" s="1888"/>
      <c r="I19" s="1889"/>
      <c r="J19" s="1889"/>
      <c r="K19" s="1933"/>
    </row>
    <row r="20" spans="1:33" s="1847" customFormat="1" ht="13.5" customHeight="1">
      <c r="A20" s="1875" t="s">
        <v>1029</v>
      </c>
      <c r="B20" s="1876" t="s">
        <v>1146</v>
      </c>
      <c r="C20" s="287">
        <f ca="1">ROUND(D20*E20/10000,0)</f>
        <v>395</v>
      </c>
      <c r="D20" s="1881">
        <f ca="1">IF(C1="",'数据-汇总表'!E6,IF(INDIRECT("'数据-取费表'!c"&amp;$K$1)="住宅",INDIRECT("'数据-取费表'!s"&amp;$K$1),INDIRECT("'数据-取费表'!k"&amp;$K$1)+INDIRECT("'数据-取费表'!s"&amp;$K$1)))</f>
        <v>34364.589999999997</v>
      </c>
      <c r="E20" s="287">
        <f>'数据-取费表'!B28</f>
        <v>115</v>
      </c>
      <c r="F20" s="1880"/>
      <c r="G20" s="1741"/>
      <c r="H20" s="1889"/>
      <c r="I20" s="1889"/>
      <c r="J20" s="1889"/>
      <c r="K20" s="1933"/>
    </row>
    <row r="21" spans="1:33" s="1847" customFormat="1" ht="13.5" customHeight="1">
      <c r="A21" s="1864" t="s">
        <v>834</v>
      </c>
      <c r="B21" s="1890" t="s">
        <v>1147</v>
      </c>
      <c r="C21" s="1891">
        <f ca="1">C16+C17+C18</f>
        <v>7510</v>
      </c>
      <c r="D21" s="1892"/>
      <c r="E21" s="1893"/>
      <c r="F21" s="1893"/>
      <c r="G21" s="1632" t="s">
        <v>1148</v>
      </c>
      <c r="H21" s="1742"/>
      <c r="I21" s="1742"/>
      <c r="J21" s="1742"/>
      <c r="K21" s="1743"/>
    </row>
    <row r="22" spans="1:33" s="1847" customFormat="1" ht="13.5" customHeight="1">
      <c r="A22" s="1864" t="s">
        <v>838</v>
      </c>
      <c r="B22" s="1890" t="s">
        <v>1149</v>
      </c>
      <c r="C22" s="1891">
        <f ca="1">ROUND(C21*F22,0)</f>
        <v>150</v>
      </c>
      <c r="D22" s="1893"/>
      <c r="E22" s="1893"/>
      <c r="F22" s="1894">
        <f>'数据-取费表'!B37</f>
        <v>0.02</v>
      </c>
      <c r="G22" s="1871" t="s">
        <v>1150</v>
      </c>
      <c r="H22" s="1874"/>
      <c r="I22" s="1874"/>
      <c r="J22" s="1874"/>
      <c r="K22" s="1931"/>
    </row>
    <row r="23" spans="1:33" s="1847" customFormat="1" ht="13.5" customHeight="1">
      <c r="A23" s="1864" t="s">
        <v>882</v>
      </c>
      <c r="B23" s="1890" t="s">
        <v>1151</v>
      </c>
      <c r="C23" s="1891">
        <f ca="1">ROUND(C4*F23*F11,0)</f>
        <v>226</v>
      </c>
      <c r="D23" s="1893"/>
      <c r="E23" s="1893"/>
      <c r="F23" s="1894">
        <f>'数据-取费表'!B38</f>
        <v>0.02</v>
      </c>
      <c r="G23" s="1871" t="s">
        <v>1152</v>
      </c>
      <c r="H23" s="1874"/>
      <c r="I23" s="1874"/>
      <c r="J23" s="1874"/>
      <c r="K23" s="1931"/>
    </row>
    <row r="24" spans="1:33" s="1847" customFormat="1" ht="13.5" customHeight="1">
      <c r="A24" s="1864" t="s">
        <v>886</v>
      </c>
      <c r="B24" s="1890" t="s">
        <v>1153</v>
      </c>
      <c r="C24" s="1895">
        <f>ROUND(F24/(1+'数据-取费表'!C42),4)</f>
        <v>2.9000000000000001E-2</v>
      </c>
      <c r="D24" s="1893" t="s">
        <v>1154</v>
      </c>
      <c r="E24" s="1893"/>
      <c r="F24" s="1894">
        <f>'数据-取费表'!B48+'数据-取费表'!B49</f>
        <v>3.0499999999999999E-2</v>
      </c>
      <c r="G24" s="1871" t="s">
        <v>1155</v>
      </c>
      <c r="H24" s="1896"/>
      <c r="I24" s="1896"/>
      <c r="J24" s="1896"/>
      <c r="K24" s="1934"/>
    </row>
    <row r="25" spans="1:33" s="1847" customFormat="1" ht="13.5" customHeight="1">
      <c r="A25" s="1864" t="s">
        <v>889</v>
      </c>
      <c r="B25" s="1892" t="s">
        <v>1156</v>
      </c>
      <c r="C25" s="1897">
        <f ca="1">C27</f>
        <v>375</v>
      </c>
      <c r="D25" s="1895">
        <f ca="1">C26</f>
        <v>0.10009999999999999</v>
      </c>
      <c r="E25" s="1898" t="s">
        <v>1154</v>
      </c>
      <c r="F25" s="1899">
        <f ca="1">'数据-取费表'!B40</f>
        <v>4.7500000000000001E-2</v>
      </c>
      <c r="G25" s="1632"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857</v>
      </c>
      <c r="B26" s="1900" t="s">
        <v>1157</v>
      </c>
      <c r="C26" s="1901">
        <f ca="1">ROUND(IF('数据-取费表'!B22&lt;=1,(1+C24)*F25*'数据-取费表'!B24,(1+C24)*(POWER((1+F25),'数据-取费表'!B24)-1)),4)</f>
        <v>0.10009999999999999</v>
      </c>
      <c r="D26" s="1902"/>
      <c r="E26" s="1903"/>
      <c r="F26" s="1904"/>
      <c r="G26" s="1905" t="str">
        <f>IF('数据-取费表'!B22&lt;=1,"（(1)+取得税费率/(1+5%)）×年利率×建设期","（(1)+取得税费率）/(1+5%)×((1+年利率)^建设期-1)")</f>
        <v>（(1)+取得税费率）/(1+5%)×((1+年利率)^建设期-1)</v>
      </c>
      <c r="H26" s="1742"/>
      <c r="I26" s="1742"/>
      <c r="J26" s="1742"/>
      <c r="K26" s="1743"/>
    </row>
    <row r="27" spans="1:33" s="1849" customFormat="1" ht="13.5" customHeight="1">
      <c r="A27" s="1875" t="s">
        <v>862</v>
      </c>
      <c r="B27" s="1900" t="s">
        <v>1158</v>
      </c>
      <c r="C27" s="1906">
        <f ca="1">ROUND(IF('数据-取费表'!B22&lt;=1,(C21+C22+C23)*F25*'数据-取费表'!B24/2,(C21+C22+C23)*(POWER((1+F25),'数据-取费表'!B24/2)-1)),0)</f>
        <v>375</v>
      </c>
      <c r="D27" s="1902"/>
      <c r="E27" s="1903"/>
      <c r="F27" s="1904"/>
      <c r="G27" s="1905" t="str">
        <f>IF('数据-取费表'!B22&lt;=1,"（1）-（3）项×年利率×建设期÷2","（1）-（3）项×((1+年利率)^(建设期÷2)-1)")</f>
        <v>（1）-（3）项×((1+年利率)^(建设期÷2)-1)</v>
      </c>
      <c r="H27" s="1742"/>
      <c r="I27" s="1742"/>
      <c r="J27" s="1742"/>
      <c r="K27" s="1743"/>
    </row>
    <row r="28" spans="1:33" s="1850" customFormat="1" ht="13.5" customHeight="1">
      <c r="A28" s="1864" t="s">
        <v>890</v>
      </c>
      <c r="B28" s="1907" t="s">
        <v>1159</v>
      </c>
      <c r="C28" s="1908">
        <f ca="1">C30</f>
        <v>394</v>
      </c>
      <c r="D28" s="1895">
        <f ca="1">C29</f>
        <v>5.1499999999999997E-2</v>
      </c>
      <c r="E28" s="1898" t="s">
        <v>1154</v>
      </c>
      <c r="F28" s="1105">
        <f ca="1">IF(C1="",'数据-取费表'!Q16,INDIRECT("'数据-取费表'!q"&amp;$K$1))</f>
        <v>0.05</v>
      </c>
      <c r="G28" s="1909"/>
      <c r="H28" s="1896"/>
      <c r="I28" s="1896"/>
      <c r="J28" s="1896"/>
      <c r="K28" s="1934"/>
    </row>
    <row r="29" spans="1:33" s="1851" customFormat="1" ht="13.5" customHeight="1">
      <c r="A29" s="1875" t="s">
        <v>857</v>
      </c>
      <c r="B29" s="1910" t="s">
        <v>1160</v>
      </c>
      <c r="C29" s="1902">
        <f ca="1">ROUND((1+C24)*F28*'数据-取费表'!B24/'数据-取费表'!B20,4)</f>
        <v>5.1499999999999997E-2</v>
      </c>
      <c r="D29" s="1902"/>
      <c r="E29" s="1903"/>
      <c r="F29" s="1911"/>
      <c r="G29" s="1632" t="s">
        <v>1161</v>
      </c>
      <c r="H29" s="1742"/>
      <c r="I29" s="1742"/>
      <c r="J29" s="1742"/>
      <c r="K29" s="1743"/>
    </row>
    <row r="30" spans="1:33" s="1851" customFormat="1" ht="13.5" customHeight="1">
      <c r="A30" s="1875" t="s">
        <v>862</v>
      </c>
      <c r="B30" s="1910" t="s">
        <v>1162</v>
      </c>
      <c r="C30" s="1912">
        <f ca="1">ROUND((C21+C22+C23)*F28,0)</f>
        <v>394</v>
      </c>
      <c r="D30" s="1902"/>
      <c r="E30" s="1903"/>
      <c r="F30" s="1911"/>
      <c r="G30" s="1632"/>
      <c r="H30" s="1742"/>
      <c r="I30" s="1742"/>
      <c r="J30" s="1742"/>
      <c r="K30" s="1743"/>
    </row>
    <row r="31" spans="1:33" s="1847" customFormat="1" ht="13.5" customHeight="1">
      <c r="A31" s="1913" t="s">
        <v>1163</v>
      </c>
      <c r="B31" s="1914" t="s">
        <v>1164</v>
      </c>
      <c r="C31" s="1915">
        <f ca="1">ROUND(C4*F31/(1+'数据-取费表'!C42),0)</f>
        <v>591</v>
      </c>
      <c r="D31" s="1916"/>
      <c r="E31" s="1917"/>
      <c r="F31" s="1918">
        <f>'数据-取费表'!B41</f>
        <v>5.5E-2</v>
      </c>
      <c r="G31" s="1919" t="s">
        <v>1165</v>
      </c>
      <c r="H31" s="1920"/>
      <c r="I31" s="1920"/>
      <c r="J31" s="1920"/>
      <c r="K31" s="1935"/>
    </row>
    <row r="32" spans="1:33" s="1846" customFormat="1" ht="13.5" customHeight="1">
      <c r="A32" s="1921" t="s">
        <v>1166</v>
      </c>
      <c r="B32" s="1922"/>
      <c r="C32" s="1923">
        <f ca="1">ROUND((C4-C21-C22-C23-C25-C28-C31)/(1+C24+D25+D28),0)</f>
        <v>1730</v>
      </c>
      <c r="D32" s="1922"/>
      <c r="E32" s="1922"/>
      <c r="F32" s="1922"/>
      <c r="G32" s="1924" t="s">
        <v>1167</v>
      </c>
      <c r="H32" s="1922"/>
      <c r="I32" s="1922"/>
      <c r="J32" s="1922"/>
      <c r="K32" s="1936"/>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workbookViewId="0">
      <selection activeCell="D1" sqref="D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9"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7" customFormat="1" ht="21">
      <c r="A1" s="1560" t="s">
        <v>1168</v>
      </c>
      <c r="B1" s="1085"/>
      <c r="C1" s="1561" t="s">
        <v>314</v>
      </c>
      <c r="D1" s="1562" t="s">
        <v>2760</v>
      </c>
      <c r="E1" s="1563" t="s">
        <v>1169</v>
      </c>
      <c r="F1" s="1564">
        <f ca="1">J53</f>
        <v>44.69</v>
      </c>
      <c r="G1" s="1565">
        <f>MATCH(C1,'数据-取费表'!A6:A16,0)+5</f>
        <v>6</v>
      </c>
      <c r="H1" s="1566"/>
      <c r="I1" s="1728"/>
      <c r="J1" s="1728"/>
      <c r="K1" s="1729"/>
      <c r="L1" s="1728"/>
      <c r="M1" s="1728"/>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row>
    <row r="2" spans="1:37" ht="18" customHeight="1">
      <c r="A2" s="1567" t="s">
        <v>1170</v>
      </c>
      <c r="B2" s="1568">
        <f ca="1">C40+J29+L46</f>
        <v>11288</v>
      </c>
      <c r="C2" s="1569" t="s">
        <v>1171</v>
      </c>
      <c r="D2" s="1569"/>
      <c r="E2" s="1571"/>
      <c r="F2" s="1572"/>
      <c r="G2" s="1573"/>
      <c r="H2" s="1574"/>
      <c r="I2" s="1574"/>
      <c r="J2" s="1574"/>
      <c r="K2" s="1731"/>
      <c r="L2" s="1574"/>
      <c r="M2" s="1574"/>
    </row>
    <row r="3" spans="1:37" ht="18" customHeight="1">
      <c r="A3" s="1575" t="s">
        <v>1172</v>
      </c>
      <c r="B3" s="1576">
        <f ca="1">IF(ISERROR(B2*10000/F43),0,ROUND(B2*10000/F43,0))</f>
        <v>3285</v>
      </c>
      <c r="C3" s="1569" t="s">
        <v>1173</v>
      </c>
      <c r="D3" s="1569"/>
      <c r="E3" s="1571"/>
      <c r="F3" s="1572"/>
      <c r="G3" s="1573"/>
      <c r="H3" s="1577" t="s">
        <v>1174</v>
      </c>
      <c r="I3" s="1574"/>
      <c r="J3" s="1574"/>
      <c r="K3" s="1731"/>
      <c r="L3" s="1574"/>
      <c r="M3" s="1574"/>
    </row>
    <row r="4" spans="1:37" ht="18" customHeight="1">
      <c r="A4" s="1578" t="s">
        <v>1175</v>
      </c>
      <c r="B4" s="1579" t="s">
        <v>1176</v>
      </c>
      <c r="C4" s="1579" t="s">
        <v>1177</v>
      </c>
      <c r="D4" s="1579" t="s">
        <v>1178</v>
      </c>
      <c r="E4" s="1580" t="s">
        <v>1179</v>
      </c>
      <c r="F4" s="1581"/>
      <c r="G4" s="1582"/>
      <c r="H4" s="1578" t="s">
        <v>1175</v>
      </c>
      <c r="I4" s="1579" t="s">
        <v>1176</v>
      </c>
      <c r="J4" s="1579" t="s">
        <v>1177</v>
      </c>
      <c r="K4" s="1579" t="s">
        <v>1178</v>
      </c>
      <c r="L4" s="1580" t="s">
        <v>1179</v>
      </c>
      <c r="M4" s="1581"/>
    </row>
    <row r="5" spans="1:37" ht="18" customHeight="1">
      <c r="A5" s="1583">
        <v>1</v>
      </c>
      <c r="B5" s="1584" t="s">
        <v>1180</v>
      </c>
      <c r="C5" s="1585">
        <f ca="1">C6+C10+C12</f>
        <v>735</v>
      </c>
      <c r="D5" s="1586" t="s">
        <v>1181</v>
      </c>
      <c r="E5" s="1587"/>
      <c r="F5" s="1588"/>
      <c r="G5" s="1582"/>
      <c r="H5" s="1583">
        <v>1</v>
      </c>
      <c r="I5" s="1584" t="s">
        <v>1180</v>
      </c>
      <c r="J5" s="1585">
        <f ca="1">J6+J10+J12</f>
        <v>0</v>
      </c>
      <c r="K5" s="1586" t="s">
        <v>1181</v>
      </c>
      <c r="L5" s="1587"/>
      <c r="M5" s="1588"/>
    </row>
    <row r="6" spans="1:37" ht="18" customHeight="1">
      <c r="A6" s="1589" t="s">
        <v>834</v>
      </c>
      <c r="B6" s="3215" t="s">
        <v>1182</v>
      </c>
      <c r="C6" s="1590">
        <f ca="1">ROUND(F6*F8*F7*(1-F9)/10000,0)</f>
        <v>734</v>
      </c>
      <c r="D6" s="1591" t="s">
        <v>1183</v>
      </c>
      <c r="E6" s="1592" t="s">
        <v>1184</v>
      </c>
      <c r="F6" s="1593">
        <f ca="1">INDIRECT("'数据-取费表'!u"&amp;$G$1)</f>
        <v>0.65</v>
      </c>
      <c r="G6" s="1582"/>
      <c r="H6" s="1589" t="s">
        <v>834</v>
      </c>
      <c r="I6" s="3215" t="s">
        <v>1182</v>
      </c>
      <c r="J6" s="1662">
        <f ca="1">ROUND(M6*M8*M7*(1-M9)/10000,0)</f>
        <v>0</v>
      </c>
      <c r="K6" s="1591" t="s">
        <v>1185</v>
      </c>
      <c r="L6" s="1592" t="s">
        <v>1184</v>
      </c>
      <c r="M6" s="1593">
        <f ca="1">INDIRECT("'数据-取费表'!z"&amp;$G$1)</f>
        <v>0</v>
      </c>
    </row>
    <row r="7" spans="1:37" ht="18" customHeight="1">
      <c r="A7" s="1594"/>
      <c r="B7" s="3216"/>
      <c r="C7" s="1595"/>
      <c r="D7" s="1596"/>
      <c r="E7" s="1597" t="s">
        <v>1186</v>
      </c>
      <c r="F7" s="1593">
        <f ca="1">IF(INDIRECT("'数据-取费表'!ah"&amp;$G$1)="",INDIRECT("'数据-取费表'!k"&amp;$G$1),INDIRECT("'数据-取费表'!ah"&amp;$G$1))</f>
        <v>34364.589999999997</v>
      </c>
      <c r="G7" s="1582"/>
      <c r="H7" s="1598"/>
      <c r="I7" s="3216"/>
      <c r="J7" s="1599"/>
      <c r="K7" s="1596"/>
      <c r="L7" s="1592" t="s">
        <v>1186</v>
      </c>
      <c r="M7" s="1593">
        <f ca="1">F7</f>
        <v>34364.589999999997</v>
      </c>
    </row>
    <row r="8" spans="1:37" ht="18" customHeight="1">
      <c r="A8" s="1598"/>
      <c r="B8" s="3216"/>
      <c r="C8" s="1599"/>
      <c r="D8" s="1596"/>
      <c r="E8" s="1592" t="s">
        <v>1187</v>
      </c>
      <c r="F8" s="1593">
        <f ca="1">INDIRECT("'数据-取费表'!ai"&amp;$G$1)</f>
        <v>365</v>
      </c>
      <c r="G8" s="1582"/>
      <c r="H8" s="1598"/>
      <c r="I8" s="3216"/>
      <c r="J8" s="1599"/>
      <c r="K8" s="1596"/>
      <c r="L8" s="1592" t="s">
        <v>1187</v>
      </c>
      <c r="M8" s="1593">
        <f ca="1">INDIRECT("'数据-取费表'!ai"&amp;$G$1)</f>
        <v>365</v>
      </c>
    </row>
    <row r="9" spans="1:37" ht="18" customHeight="1">
      <c r="A9" s="1598"/>
      <c r="B9" s="3217"/>
      <c r="C9" s="1599"/>
      <c r="D9" s="1596"/>
      <c r="E9" s="1592" t="s">
        <v>1188</v>
      </c>
      <c r="F9" s="1600">
        <f ca="1">INDIRECT("'数据-取费表'!w"&amp;$G$1)</f>
        <v>0.1</v>
      </c>
      <c r="G9" s="1582"/>
      <c r="H9" s="1598"/>
      <c r="I9" s="3217"/>
      <c r="J9" s="1599"/>
      <c r="K9" s="1596"/>
      <c r="L9" s="1603" t="s">
        <v>1188</v>
      </c>
      <c r="M9" s="1608">
        <f ca="1">INDIRECT("'数据-取费表'!ab"&amp;$G$1)</f>
        <v>0</v>
      </c>
    </row>
    <row r="10" spans="1:37" ht="18" customHeight="1">
      <c r="A10" s="1589" t="s">
        <v>838</v>
      </c>
      <c r="B10" s="1601" t="s">
        <v>1189</v>
      </c>
      <c r="C10" s="286">
        <f ca="1">ROUND(IF(F10="押一",C6/12*F11,IF(F10="押二",C6/12*2*F11,IF(F10="押三",C6/12*3*F11,C11*F11))),0)</f>
        <v>1</v>
      </c>
      <c r="D10" s="1602" t="s">
        <v>1190</v>
      </c>
      <c r="E10" s="1603" t="s">
        <v>1191</v>
      </c>
      <c r="F10" s="1604" t="s">
        <v>1192</v>
      </c>
      <c r="G10" s="1582"/>
      <c r="H10" s="1589" t="s">
        <v>838</v>
      </c>
      <c r="I10" s="1601" t="s">
        <v>1189</v>
      </c>
      <c r="J10" s="1662">
        <f ca="1">ROUND(IF(M10="押一",J6/12*M11,IF(M10="押二",J6/12*2*M11,IF(M10="押三",J6/12*3*M11,J11*M11))),0)</f>
        <v>0</v>
      </c>
      <c r="K10" s="1602" t="s">
        <v>1190</v>
      </c>
      <c r="L10" s="1603" t="s">
        <v>1191</v>
      </c>
      <c r="M10" s="1604" t="s">
        <v>1193</v>
      </c>
    </row>
    <row r="11" spans="1:37" ht="18" customHeight="1">
      <c r="A11" s="1605"/>
      <c r="B11" s="1606" t="s">
        <v>1194</v>
      </c>
      <c r="C11" s="1607"/>
      <c r="D11" s="1837"/>
      <c r="E11" s="1603" t="s">
        <v>1195</v>
      </c>
      <c r="F11" s="1608">
        <f ca="1">'数据-取费表'!B39</f>
        <v>1.4999999999999999E-2</v>
      </c>
      <c r="G11" s="1582"/>
      <c r="H11" s="1609"/>
      <c r="I11" s="1606" t="s">
        <v>1194</v>
      </c>
      <c r="J11" s="1607"/>
      <c r="K11" s="1734"/>
      <c r="L11" s="1603" t="s">
        <v>1195</v>
      </c>
      <c r="M11" s="1735">
        <f ca="1">'数据-取费表'!B39</f>
        <v>1.4999999999999999E-2</v>
      </c>
    </row>
    <row r="12" spans="1:37" ht="18" customHeight="1">
      <c r="A12" s="1610" t="s">
        <v>882</v>
      </c>
      <c r="B12" s="1611" t="s">
        <v>1196</v>
      </c>
      <c r="C12" s="1612"/>
      <c r="D12" s="1613"/>
      <c r="E12" s="1614"/>
      <c r="F12" s="1615"/>
      <c r="G12" s="1582"/>
      <c r="H12" s="1610" t="s">
        <v>882</v>
      </c>
      <c r="I12" s="1611" t="s">
        <v>1196</v>
      </c>
      <c r="J12" s="1612"/>
      <c r="K12" s="1736"/>
      <c r="L12" s="1614"/>
      <c r="M12" s="1737"/>
    </row>
    <row r="13" spans="1:37" ht="18" customHeight="1">
      <c r="A13" s="1616">
        <v>2</v>
      </c>
      <c r="B13" s="1617" t="s">
        <v>1197</v>
      </c>
      <c r="C13" s="1618">
        <f ca="1">ROUND(C29*F13,0)</f>
        <v>8605</v>
      </c>
      <c r="D13" s="1619" t="s">
        <v>1198</v>
      </c>
      <c r="E13" s="1619" t="s">
        <v>1199</v>
      </c>
      <c r="F13" s="1620">
        <f ca="1">INDIRECT("'数据-取费表'!y"&amp;$G$1)</f>
        <v>1</v>
      </c>
      <c r="G13" s="1582"/>
      <c r="H13" s="1616">
        <v>2</v>
      </c>
      <c r="I13" s="1617" t="s">
        <v>1197</v>
      </c>
      <c r="J13" s="1738">
        <f ca="1">ROUND(J14*J15,0)</f>
        <v>0</v>
      </c>
      <c r="K13" s="1642" t="s">
        <v>1198</v>
      </c>
      <c r="L13" s="1739"/>
      <c r="M13" s="1740"/>
    </row>
    <row r="14" spans="1:37" ht="18" customHeight="1">
      <c r="A14" s="1621" t="s">
        <v>857</v>
      </c>
      <c r="B14" s="1592" t="s">
        <v>1200</v>
      </c>
      <c r="C14" s="1622">
        <f ca="1">INDIRECT("'数据-取费表'!m"&amp;$G$1)+INDIRECT("'数据-取费表'!t"&amp;$G$1)</f>
        <v>6186</v>
      </c>
      <c r="D14" s="1623" t="s">
        <v>1201</v>
      </c>
      <c r="E14" s="1624"/>
      <c r="F14" s="1625"/>
      <c r="G14" s="1582"/>
      <c r="H14" s="1621" t="s">
        <v>834</v>
      </c>
      <c r="I14" s="1592" t="s">
        <v>1202</v>
      </c>
      <c r="J14" s="287">
        <f ca="1">C29</f>
        <v>8605</v>
      </c>
      <c r="K14" s="1741"/>
      <c r="L14" s="1742"/>
      <c r="M14" s="1743"/>
    </row>
    <row r="15" spans="1:37" s="1558" customFormat="1" ht="18" customHeight="1">
      <c r="A15" s="1621" t="s">
        <v>862</v>
      </c>
      <c r="B15" s="1592" t="s">
        <v>1128</v>
      </c>
      <c r="C15" s="287">
        <f ca="1">ROUND(C14*F15,0)</f>
        <v>217</v>
      </c>
      <c r="D15" s="1626" t="s">
        <v>1203</v>
      </c>
      <c r="E15" s="1626" t="s">
        <v>1204</v>
      </c>
      <c r="F15" s="1627">
        <f>'数据-取费表'!B33</f>
        <v>3.5000000000000003E-2</v>
      </c>
      <c r="G15" s="1628"/>
      <c r="H15" s="1629" t="s">
        <v>838</v>
      </c>
      <c r="I15" s="1614" t="s">
        <v>1199</v>
      </c>
      <c r="J15" s="1737">
        <f ca="1">INDIRECT("'数据-取费表'!ad"&amp;$G$1)</f>
        <v>0</v>
      </c>
      <c r="K15" s="1744"/>
      <c r="L15" s="1745"/>
      <c r="M15" s="1746"/>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row>
    <row r="16" spans="1:37" ht="18" customHeight="1">
      <c r="A16" s="1621" t="s">
        <v>865</v>
      </c>
      <c r="B16" s="1592" t="s">
        <v>1131</v>
      </c>
      <c r="C16" s="287">
        <f ca="1">ROUND(INDIRECT("'数据-取费表'!m"&amp;$G$1)*F16,0)</f>
        <v>0</v>
      </c>
      <c r="D16" s="1592" t="s">
        <v>1203</v>
      </c>
      <c r="E16" s="1592" t="s">
        <v>1204</v>
      </c>
      <c r="F16" s="1630">
        <f ca="1">IF(INDIRECT("'数据-取费表'!c"&amp;$G$1)="住宅",'数据-取费表'!B34,0)</f>
        <v>0</v>
      </c>
      <c r="G16" s="1582"/>
      <c r="H16" s="1616" t="s">
        <v>1205</v>
      </c>
      <c r="I16" s="1617" t="s">
        <v>1206</v>
      </c>
      <c r="J16" s="1618">
        <f ca="1">ROUND(J17+J22+J23+J24,0)</f>
        <v>232</v>
      </c>
      <c r="K16" s="1642" t="s">
        <v>1207</v>
      </c>
      <c r="L16" s="1643"/>
      <c r="M16" s="1588"/>
    </row>
    <row r="17" spans="1:37" s="1558" customFormat="1" ht="18" customHeight="1">
      <c r="A17" s="1621" t="s">
        <v>1208</v>
      </c>
      <c r="B17" s="1592" t="s">
        <v>1209</v>
      </c>
      <c r="C17" s="287">
        <f ca="1">ROUND(F17*(F43+INDIRECT("'数据-取费表'!S"&amp;$G$1))/10000,0)</f>
        <v>619</v>
      </c>
      <c r="D17" s="1592" t="s">
        <v>1210</v>
      </c>
      <c r="E17" s="1592" t="s">
        <v>1211</v>
      </c>
      <c r="F17" s="1631">
        <f>'数据-取费表'!B35</f>
        <v>180</v>
      </c>
      <c r="G17" s="1628"/>
      <c r="H17" s="1621" t="s">
        <v>834</v>
      </c>
      <c r="I17" s="1592" t="s">
        <v>1212</v>
      </c>
      <c r="J17" s="287">
        <f ca="1">ROUND(IF(项目基本情况!B11="自然人",J5*M17,J18+J19+J20),1)</f>
        <v>102.7</v>
      </c>
      <c r="K17" s="1623" t="s">
        <v>1213</v>
      </c>
      <c r="L17" s="1645" t="s">
        <v>1214</v>
      </c>
      <c r="M17" s="1646" t="str">
        <f ca="1">IF(项目基本情况!B11="企业","",IF(INDIRECT("'数据-取费表'!c"&amp;$G$1)="住宅",5%,IF(M6*M7*M8/12/(1+'数据-取费表'!C42)&gt;20000,12%,7%)))</f>
        <v/>
      </c>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row>
    <row r="18" spans="1:37" s="1558" customFormat="1" ht="18" customHeight="1">
      <c r="A18" s="1621" t="s">
        <v>1215</v>
      </c>
      <c r="B18" s="1592" t="s">
        <v>1137</v>
      </c>
      <c r="C18" s="287">
        <f ca="1">ROUND(C14*F18,0)</f>
        <v>93</v>
      </c>
      <c r="D18" s="1592" t="s">
        <v>1203</v>
      </c>
      <c r="E18" s="1592" t="s">
        <v>1204</v>
      </c>
      <c r="F18" s="1630">
        <f>'数据-取费表'!B36</f>
        <v>1.4999999999999999E-2</v>
      </c>
      <c r="G18" s="1628"/>
      <c r="H18" s="1621" t="s">
        <v>857</v>
      </c>
      <c r="I18" s="1592" t="s">
        <v>1216</v>
      </c>
      <c r="J18" s="287">
        <f ca="1">ROUND(J5*M18/(1+'数据-取费表'!C42),2)</f>
        <v>0</v>
      </c>
      <c r="K18" s="1645" t="s">
        <v>1217</v>
      </c>
      <c r="L18" s="1592" t="s">
        <v>1204</v>
      </c>
      <c r="M18" s="1630">
        <f>'数据-取费表'!B41</f>
        <v>5.5E-2</v>
      </c>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row>
    <row r="19" spans="1:37" ht="18" customHeight="1">
      <c r="A19" s="1621" t="s">
        <v>834</v>
      </c>
      <c r="B19" s="1592" t="s">
        <v>1218</v>
      </c>
      <c r="C19" s="287">
        <f ca="1">SUM(C14:C18)</f>
        <v>7115</v>
      </c>
      <c r="D19" s="1632" t="s">
        <v>1219</v>
      </c>
      <c r="E19" s="289"/>
      <c r="F19" s="1631"/>
      <c r="G19" s="1582"/>
      <c r="H19" s="1621" t="s">
        <v>862</v>
      </c>
      <c r="I19" s="1592" t="s">
        <v>1220</v>
      </c>
      <c r="J19" s="287">
        <f ca="1">IF(K19="按租金收入计税",ROUND(J5*M19,2),ROUND(C29*M19*0.7,2))</f>
        <v>72.28</v>
      </c>
      <c r="K19" s="1647" t="s">
        <v>1221</v>
      </c>
      <c r="L19" s="1592" t="s">
        <v>1204</v>
      </c>
      <c r="M19" s="1630">
        <f>IF(K19="按租金收入计税",'数据-取费表'!B51,'数据-取费表'!B50)</f>
        <v>1.2E-2</v>
      </c>
    </row>
    <row r="20" spans="1:37" s="1558" customFormat="1" ht="18" customHeight="1">
      <c r="A20" s="1621" t="s">
        <v>838</v>
      </c>
      <c r="B20" s="1592" t="s">
        <v>1222</v>
      </c>
      <c r="C20" s="287">
        <f ca="1">ROUND(C19*F20,0)</f>
        <v>142</v>
      </c>
      <c r="D20" s="1633" t="s">
        <v>1223</v>
      </c>
      <c r="E20" s="1592" t="s">
        <v>1204</v>
      </c>
      <c r="F20" s="1630">
        <f>'数据-取费表'!B37</f>
        <v>0.02</v>
      </c>
      <c r="G20" s="1628"/>
      <c r="H20" s="1621" t="s">
        <v>865</v>
      </c>
      <c r="I20" s="1591" t="s">
        <v>1224</v>
      </c>
      <c r="J20" s="1649">
        <f ca="1">ROUND(M20*M21/10000,2)</f>
        <v>30.42</v>
      </c>
      <c r="K20" s="1650" t="s">
        <v>1225</v>
      </c>
      <c r="L20" s="1592" t="s">
        <v>1226</v>
      </c>
      <c r="M20" s="1636">
        <f>'数据-取费表'!B52</f>
        <v>6</v>
      </c>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row>
    <row r="21" spans="1:37" s="1558" customFormat="1" ht="18" customHeight="1">
      <c r="A21" s="1621" t="s">
        <v>882</v>
      </c>
      <c r="B21" s="1592" t="s">
        <v>1227</v>
      </c>
      <c r="C21" s="287" t="s">
        <v>124</v>
      </c>
      <c r="D21" s="1633" t="s">
        <v>1228</v>
      </c>
      <c r="E21" s="1592" t="s">
        <v>1229</v>
      </c>
      <c r="F21" s="1630">
        <f>'数据-取费表'!B38</f>
        <v>0.02</v>
      </c>
      <c r="G21" s="1628"/>
      <c r="H21" s="1634"/>
      <c r="I21" s="1748"/>
      <c r="J21" s="1653"/>
      <c r="K21" s="1654"/>
      <c r="L21" s="1592" t="s">
        <v>1230</v>
      </c>
      <c r="M21" s="1593">
        <f ca="1">INDIRECT("'数据-取费表'!r"&amp;$G$1)</f>
        <v>50693.68</v>
      </c>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row>
    <row r="22" spans="1:37" ht="18" customHeight="1">
      <c r="A22" s="1621" t="s">
        <v>886</v>
      </c>
      <c r="B22" s="1592" t="s">
        <v>1231</v>
      </c>
      <c r="C22" s="287"/>
      <c r="D22" s="1632" t="str">
        <f>IF(F23&lt;=1,"单利计息。","复利计息。")&amp;"建造成本、管理费用、销售费用产生的利息。"</f>
        <v>复利计息。建造成本、管理费用、销售费用产生的利息。</v>
      </c>
      <c r="E22" s="289"/>
      <c r="F22" s="1631"/>
      <c r="G22" s="1582"/>
      <c r="H22" s="1621" t="s">
        <v>838</v>
      </c>
      <c r="I22" s="1592" t="s">
        <v>1232</v>
      </c>
      <c r="J22" s="287">
        <f ca="1">ROUND(J14*M22,1)</f>
        <v>129.1</v>
      </c>
      <c r="K22" s="1645" t="s">
        <v>1233</v>
      </c>
      <c r="L22" s="1592" t="s">
        <v>1204</v>
      </c>
      <c r="M22" s="1656">
        <f ca="1">INDIRECT("'数据-取费表'!Ak"&amp;$G$1)</f>
        <v>1.4999999999999999E-2</v>
      </c>
    </row>
    <row r="23" spans="1:37" s="1558" customFormat="1" ht="18" customHeight="1">
      <c r="A23" s="1621" t="s">
        <v>857</v>
      </c>
      <c r="B23" s="1592" t="s">
        <v>1234</v>
      </c>
      <c r="C23" s="287">
        <f ca="1">IF('数据-取费表'!B22&lt;=1,ROUND(C19*F24*F23/2,0)+ROUND(C20*F24*F23/2,0),ROUND(C19*(POWER((1+F24),F23/2)-1),0)+ROUND(C20*(POWER((1+F24),F23/2)-1),0))</f>
        <v>345</v>
      </c>
      <c r="D23" s="1635" t="str">
        <f>IF(F23&lt;=1,"(建造成本+管理费用)×利率×(建设周期÷2)","(建造成本+管理费用)×((1+利率)^(建设周期÷2)-1)")</f>
        <v>(建造成本+管理费用)×((1+利率)^(建设周期÷2)-1)</v>
      </c>
      <c r="E23" s="1592" t="s">
        <v>1235</v>
      </c>
      <c r="F23" s="1636">
        <f>'数据-取费表'!B20</f>
        <v>2</v>
      </c>
      <c r="G23" s="1628"/>
      <c r="H23" s="1621" t="s">
        <v>882</v>
      </c>
      <c r="I23" s="1592" t="s">
        <v>1236</v>
      </c>
      <c r="J23" s="287">
        <f ca="1">ROUND(J13*M23,1)</f>
        <v>0</v>
      </c>
      <c r="K23" s="1645" t="s">
        <v>1237</v>
      </c>
      <c r="L23" s="1592" t="s">
        <v>1204</v>
      </c>
      <c r="M23" s="1657">
        <f ca="1">INDIRECT("'数据-取费表'!Al"&amp;$G$1)</f>
        <v>1.5E-3</v>
      </c>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row>
    <row r="24" spans="1:37" s="1558" customFormat="1" ht="18" customHeight="1">
      <c r="A24" s="1621" t="s">
        <v>862</v>
      </c>
      <c r="B24" s="1592" t="s">
        <v>1238</v>
      </c>
      <c r="C24" s="287">
        <f ca="1">ROUND(IF('数据-取费表'!B22&lt;=1,F21*F24*F23/2,F21*(POWER((1+F24),F23/2)-1)),4)</f>
        <v>1E-3</v>
      </c>
      <c r="D24" s="1635" t="str">
        <f>IF(F23&lt;=1,"销售费用×利率×(建设周期÷2)","销售费用×((1+利率)^(建设周期÷2)-1)")</f>
        <v>销售费用×((1+利率)^(建设周期÷2)-1)</v>
      </c>
      <c r="E24" s="1592" t="s">
        <v>1239</v>
      </c>
      <c r="F24" s="1637">
        <f ca="1">'数据-取费表'!B40</f>
        <v>4.7500000000000001E-2</v>
      </c>
      <c r="G24" s="1628"/>
      <c r="H24" s="1629" t="s">
        <v>886</v>
      </c>
      <c r="I24" s="1614" t="s">
        <v>1222</v>
      </c>
      <c r="J24" s="1638">
        <f ca="1">ROUND(J5*M24,1)</f>
        <v>0</v>
      </c>
      <c r="K24" s="1639" t="s">
        <v>1240</v>
      </c>
      <c r="L24" s="1614" t="s">
        <v>1204</v>
      </c>
      <c r="M24" s="1615">
        <f ca="1">INDIRECT("'数据-取费表'!Am"&amp;$G$1)</f>
        <v>0.01</v>
      </c>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row>
    <row r="25" spans="1:37" ht="24" customHeight="1">
      <c r="A25" s="1621" t="s">
        <v>889</v>
      </c>
      <c r="B25" s="1592" t="s">
        <v>1241</v>
      </c>
      <c r="C25" s="287"/>
      <c r="D25" s="1632" t="s">
        <v>1242</v>
      </c>
      <c r="E25" s="289"/>
      <c r="F25" s="1631"/>
      <c r="G25" s="1582"/>
      <c r="H25" s="1616" t="s">
        <v>1243</v>
      </c>
      <c r="I25" s="1658" t="s">
        <v>1244</v>
      </c>
      <c r="J25" s="1618">
        <f ca="1">J5-J16</f>
        <v>-232</v>
      </c>
      <c r="K25" s="1659" t="s">
        <v>1245</v>
      </c>
      <c r="L25" s="1660"/>
      <c r="M25" s="1661"/>
    </row>
    <row r="26" spans="1:37">
      <c r="A26" s="1621" t="s">
        <v>857</v>
      </c>
      <c r="B26" s="1592" t="s">
        <v>1246</v>
      </c>
      <c r="C26" s="287">
        <f ca="1">ROUND((C19+C20)*F26,0)</f>
        <v>363</v>
      </c>
      <c r="D26" s="1633" t="s">
        <v>1247</v>
      </c>
      <c r="E26" s="1603" t="s">
        <v>1248</v>
      </c>
      <c r="F26" s="1600">
        <f ca="1">INDIRECT("'数据-取费表'!q"&amp;$G$1)</f>
        <v>0.05</v>
      </c>
      <c r="G26" s="1582"/>
      <c r="H26" s="1583" t="s">
        <v>1249</v>
      </c>
      <c r="I26" s="1584" t="s">
        <v>1250</v>
      </c>
      <c r="J26" s="1662">
        <f ca="1">IF(J5&lt;&gt;0,ROUND(J25*(1-((1+M28)/(1+M26))^M27)/(M26-M28),0),0)</f>
        <v>0</v>
      </c>
      <c r="K26" s="1650" t="s">
        <v>1251</v>
      </c>
      <c r="L26" s="1592" t="s">
        <v>1252</v>
      </c>
      <c r="M26" s="1600">
        <f ca="1">INDIRECT("'数据-取费表'!I"&amp;$G$1)</f>
        <v>0.05</v>
      </c>
    </row>
    <row r="27" spans="1:37" ht="18" customHeight="1">
      <c r="A27" s="1621" t="s">
        <v>862</v>
      </c>
      <c r="B27" s="1592" t="s">
        <v>1253</v>
      </c>
      <c r="C27" s="287">
        <f ca="1">ROUND(F21*F26,4)</f>
        <v>1E-3</v>
      </c>
      <c r="D27" s="1633" t="s">
        <v>1254</v>
      </c>
      <c r="E27" s="1626"/>
      <c r="F27" s="1627"/>
      <c r="G27" s="1582"/>
      <c r="H27" s="1598"/>
      <c r="I27" s="1664"/>
      <c r="J27" s="1599"/>
      <c r="K27" s="1665" t="s">
        <v>1255</v>
      </c>
      <c r="L27" s="1592" t="s">
        <v>1256</v>
      </c>
      <c r="M27" s="1666">
        <f ca="1">INDIRECT("'数据-取费表'!ag"&amp;$G$1)</f>
        <v>0</v>
      </c>
    </row>
    <row r="28" spans="1:37" s="1558" customFormat="1" ht="18" customHeight="1">
      <c r="A28" s="1621" t="s">
        <v>890</v>
      </c>
      <c r="B28" s="1592" t="s">
        <v>1257</v>
      </c>
      <c r="C28" s="287">
        <f>ROUND(F28/(1+'数据-取费表'!C42),4)</f>
        <v>5.2400000000000002E-2</v>
      </c>
      <c r="D28" s="1633" t="s">
        <v>1258</v>
      </c>
      <c r="E28" s="1592" t="s">
        <v>1204</v>
      </c>
      <c r="F28" s="1630">
        <f>'数据-取费表'!B41</f>
        <v>5.5E-2</v>
      </c>
      <c r="G28" s="1628"/>
      <c r="H28" s="1605"/>
      <c r="I28" s="1668"/>
      <c r="J28" s="1618"/>
      <c r="K28" s="1654"/>
      <c r="L28" s="1592" t="s">
        <v>1259</v>
      </c>
      <c r="M28" s="1600">
        <f ca="1">INDIRECT("'数据-取费表'!aa"&amp;$G$1)</f>
        <v>0</v>
      </c>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row>
    <row r="29" spans="1:37" s="1558" customFormat="1" ht="18" customHeight="1">
      <c r="A29" s="1629" t="s">
        <v>1163</v>
      </c>
      <c r="B29" s="1614" t="s">
        <v>1260</v>
      </c>
      <c r="C29" s="1638">
        <f ca="1">ROUND((C19+C20+C23+C26)/(1-F21-C24-C27-C28),0)</f>
        <v>8605</v>
      </c>
      <c r="D29" s="1639"/>
      <c r="E29" s="1614"/>
      <c r="F29" s="1640"/>
      <c r="G29" s="1628"/>
      <c r="H29" s="1641" t="s">
        <v>1261</v>
      </c>
      <c r="I29" s="1669" t="s">
        <v>1262</v>
      </c>
      <c r="J29" s="1670">
        <f ca="1">ROUND(J26/(1+F40)^F41,0)</f>
        <v>0</v>
      </c>
      <c r="K29" s="1671" t="s">
        <v>1263</v>
      </c>
      <c r="L29" s="1672"/>
      <c r="M29" s="1673">
        <f ca="1">INDIRECT("'数据-取费表'!k"&amp;$G$1)</f>
        <v>34364.589999999997</v>
      </c>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row>
    <row r="30" spans="1:37" ht="18" customHeight="1">
      <c r="A30" s="1616" t="s">
        <v>1205</v>
      </c>
      <c r="B30" s="1617" t="s">
        <v>1206</v>
      </c>
      <c r="C30" s="1618">
        <f ca="1">ROUND(C31+C36+C37+C38,0)</f>
        <v>307</v>
      </c>
      <c r="D30" s="1642" t="s">
        <v>1207</v>
      </c>
      <c r="E30" s="1643"/>
      <c r="F30" s="1588"/>
      <c r="G30" s="1582"/>
      <c r="H30" s="1644"/>
      <c r="I30" s="1749"/>
      <c r="J30" s="1750"/>
      <c r="K30" s="1734"/>
      <c r="L30" s="1751"/>
      <c r="M30" s="1752"/>
    </row>
    <row r="31" spans="1:37" ht="18" customHeight="1">
      <c r="A31" s="1621" t="s">
        <v>834</v>
      </c>
      <c r="B31" s="1592" t="s">
        <v>1212</v>
      </c>
      <c r="C31" s="287">
        <f ca="1">ROUND(IF(项目基本情况!B11="自然人",C5*F31,C32+C33+C34),1)</f>
        <v>157.1</v>
      </c>
      <c r="D31" s="1623" t="s">
        <v>1213</v>
      </c>
      <c r="E31" s="1645" t="s">
        <v>1214</v>
      </c>
      <c r="F31" s="1646" t="str">
        <f ca="1">IF(项目基本情况!B11="企业","",IF(INDIRECT("'数据-取费表'!c"&amp;$G$1)="住宅",5%,IF(F6*F7*F8/12/(1+'数据-取费表'!C42)&gt;20000,12%,7%)))</f>
        <v/>
      </c>
      <c r="G31" s="1582"/>
      <c r="H31" s="1644"/>
      <c r="I31" s="1749"/>
      <c r="J31" s="1750"/>
      <c r="K31" s="1734"/>
      <c r="L31" s="1751"/>
      <c r="M31" s="1752"/>
    </row>
    <row r="32" spans="1:37" ht="18" customHeight="1">
      <c r="A32" s="1621" t="s">
        <v>857</v>
      </c>
      <c r="B32" s="1592" t="s">
        <v>1216</v>
      </c>
      <c r="C32" s="287">
        <f ca="1">IF(项目基本情况!B11="自然人","——",ROUND(C5*F32/(1+'数据-取费表'!C42),2))</f>
        <v>38.5</v>
      </c>
      <c r="D32" s="1645" t="s">
        <v>1217</v>
      </c>
      <c r="E32" s="1592" t="s">
        <v>1204</v>
      </c>
      <c r="F32" s="1637">
        <f>'数据-取费表'!B41</f>
        <v>5.5E-2</v>
      </c>
      <c r="G32" s="1582"/>
      <c r="H32" s="1644"/>
      <c r="I32" s="1749"/>
      <c r="J32" s="1750"/>
      <c r="K32" s="1734"/>
      <c r="L32" s="1751"/>
      <c r="M32" s="1752"/>
    </row>
    <row r="33" spans="1:18" ht="18" customHeight="1">
      <c r="A33" s="1621" t="s">
        <v>862</v>
      </c>
      <c r="B33" s="1592" t="s">
        <v>1220</v>
      </c>
      <c r="C33" s="287">
        <f ca="1">IF(项目基本情况!B11="自然人","——",IF(D33="按租金收入计税",ROUND(C5*F33,2),IF(D33="按房产原值计税",ROUND(C29*F33*0.7,2),INDIRECT("'数据-取费表'!Aj"&amp;$G$1))))</f>
        <v>88.2</v>
      </c>
      <c r="D33" s="1647" t="s">
        <v>1264</v>
      </c>
      <c r="E33" s="1592" t="s">
        <v>1204</v>
      </c>
      <c r="F33" s="1630">
        <f>IF(D33="按票据","——",IF(D33="按租金收入计税",'数据-取费表'!B51,'数据-取费表'!B50))</f>
        <v>0.12</v>
      </c>
      <c r="G33" s="1582"/>
      <c r="H33" s="1648"/>
      <c r="I33" s="1753"/>
      <c r="J33" s="1754"/>
      <c r="K33" s="1755"/>
      <c r="L33" s="1648"/>
      <c r="M33" s="1648"/>
    </row>
    <row r="34" spans="1:18" ht="18" customHeight="1">
      <c r="A34" s="1589" t="s">
        <v>865</v>
      </c>
      <c r="B34" s="1591" t="s">
        <v>1224</v>
      </c>
      <c r="C34" s="1649">
        <f ca="1">IF(项目基本情况!B11="自然人","——",ROUND(F34*F35/10000,2))</f>
        <v>30.42</v>
      </c>
      <c r="D34" s="1650" t="s">
        <v>1225</v>
      </c>
      <c r="E34" s="1592" t="s">
        <v>1226</v>
      </c>
      <c r="F34" s="1636">
        <f>'数据-取费表'!B52</f>
        <v>6</v>
      </c>
      <c r="G34" s="1582"/>
      <c r="H34" s="1644"/>
      <c r="I34" s="1753"/>
      <c r="J34" s="1754"/>
      <c r="K34" s="1756"/>
      <c r="L34" s="1757"/>
      <c r="M34" s="1757"/>
    </row>
    <row r="35" spans="1:18" ht="18" customHeight="1">
      <c r="A35" s="1651"/>
      <c r="B35" s="1652"/>
      <c r="C35" s="1653"/>
      <c r="D35" s="1654"/>
      <c r="E35" s="1592" t="s">
        <v>1230</v>
      </c>
      <c r="F35" s="1593">
        <f ca="1">INDIRECT("'数据-取费表'!r"&amp;$G$1)</f>
        <v>50693.68</v>
      </c>
      <c r="G35" s="1582"/>
      <c r="H35" s="1644"/>
      <c r="I35" s="1753"/>
      <c r="J35" s="1754"/>
      <c r="K35" s="1755"/>
      <c r="L35" s="1648"/>
      <c r="M35" s="1648"/>
    </row>
    <row r="36" spans="1:18" ht="18" customHeight="1">
      <c r="A36" s="1655" t="s">
        <v>838</v>
      </c>
      <c r="B36" s="1592" t="s">
        <v>1232</v>
      </c>
      <c r="C36" s="287">
        <f ca="1">ROUND(C29*F36,1)</f>
        <v>129.1</v>
      </c>
      <c r="D36" s="1645" t="s">
        <v>1265</v>
      </c>
      <c r="E36" s="1592" t="s">
        <v>1204</v>
      </c>
      <c r="F36" s="1656">
        <f ca="1">INDIRECT("'数据-取费表'!Ak"&amp;$G$1)</f>
        <v>1.4999999999999999E-2</v>
      </c>
      <c r="G36" s="1582"/>
      <c r="H36" s="1648"/>
      <c r="I36" s="1753"/>
      <c r="J36" s="1754"/>
      <c r="K36" s="1758"/>
      <c r="L36" s="1648"/>
      <c r="M36" s="1648"/>
    </row>
    <row r="37" spans="1:18" ht="18" customHeight="1">
      <c r="A37" s="1621" t="s">
        <v>882</v>
      </c>
      <c r="B37" s="1592" t="s">
        <v>1236</v>
      </c>
      <c r="C37" s="287">
        <f ca="1">ROUND(C13*F37,1)</f>
        <v>12.9</v>
      </c>
      <c r="D37" s="1645" t="s">
        <v>1237</v>
      </c>
      <c r="E37" s="1592" t="s">
        <v>1204</v>
      </c>
      <c r="F37" s="1657">
        <f ca="1">INDIRECT("'数据-取费表'!Al"&amp;$G$1)</f>
        <v>1.5E-3</v>
      </c>
      <c r="G37" s="1582"/>
      <c r="H37" s="1648"/>
      <c r="I37" s="1753"/>
      <c r="J37" s="1754"/>
      <c r="K37" s="1758"/>
      <c r="L37" s="1648"/>
      <c r="M37" s="1648"/>
    </row>
    <row r="38" spans="1:18" ht="18" customHeight="1">
      <c r="A38" s="1629" t="s">
        <v>886</v>
      </c>
      <c r="B38" s="1614" t="s">
        <v>1222</v>
      </c>
      <c r="C38" s="1638">
        <f ca="1">ROUND(C5*F38,1)</f>
        <v>7.4</v>
      </c>
      <c r="D38" s="1639" t="s">
        <v>1240</v>
      </c>
      <c r="E38" s="1614" t="s">
        <v>1204</v>
      </c>
      <c r="F38" s="1615">
        <f ca="1">INDIRECT("'数据-取费表'!Am"&amp;$G$1)</f>
        <v>0.01</v>
      </c>
      <c r="G38" s="1582"/>
      <c r="H38" s="1648"/>
      <c r="I38" s="1753"/>
      <c r="J38" s="1754"/>
      <c r="K38" s="1759"/>
      <c r="L38" s="1648"/>
      <c r="M38" s="1648"/>
    </row>
    <row r="39" spans="1:18" ht="24.6" customHeight="1">
      <c r="A39" s="1616" t="s">
        <v>1243</v>
      </c>
      <c r="B39" s="1658" t="s">
        <v>1244</v>
      </c>
      <c r="C39" s="1618">
        <f ca="1">C5-C30</f>
        <v>428</v>
      </c>
      <c r="D39" s="1659" t="s">
        <v>1245</v>
      </c>
      <c r="E39" s="1660"/>
      <c r="F39" s="1661"/>
      <c r="G39" s="1582"/>
      <c r="H39" s="1648"/>
      <c r="I39" s="1753"/>
      <c r="J39" s="1754"/>
      <c r="K39" s="1759"/>
      <c r="L39" s="1648"/>
      <c r="M39" s="1648"/>
    </row>
    <row r="40" spans="1:18" ht="18" customHeight="1">
      <c r="A40" s="1583" t="s">
        <v>1249</v>
      </c>
      <c r="B40" s="1584" t="s">
        <v>1266</v>
      </c>
      <c r="C40" s="1662">
        <f ca="1">ROUND(C39*(1-((1+F42)/(1+F40))^F41)/(F40-F42),0)</f>
        <v>11288</v>
      </c>
      <c r="D40" s="1650" t="s">
        <v>1251</v>
      </c>
      <c r="E40" s="1592" t="s">
        <v>1252</v>
      </c>
      <c r="F40" s="1600">
        <f ca="1">INDIRECT("'数据-取费表'!I"&amp;$G$1)</f>
        <v>0.05</v>
      </c>
      <c r="G40" s="1582"/>
      <c r="H40" s="1663"/>
      <c r="I40" s="1753"/>
      <c r="J40" s="1754"/>
      <c r="K40" s="1759"/>
      <c r="L40" s="1663"/>
      <c r="M40" s="1663"/>
    </row>
    <row r="41" spans="1:18" ht="18" customHeight="1">
      <c r="A41" s="1598"/>
      <c r="B41" s="1664"/>
      <c r="C41" s="1599"/>
      <c r="D41" s="1665" t="s">
        <v>1255</v>
      </c>
      <c r="E41" s="1592" t="s">
        <v>1256</v>
      </c>
      <c r="F41" s="1666">
        <f ca="1">IF(INDIRECT("'数据-取费表'!af"&amp;$G$1)=0,INDIRECT("'数据-取费表'!ae"&amp;$G$1),INDIRECT("'数据-取费表'!af"&amp;$G$1))</f>
        <v>44.69</v>
      </c>
      <c r="G41" s="1582"/>
      <c r="H41" s="1667"/>
      <c r="I41" s="1753"/>
      <c r="J41" s="1754"/>
      <c r="K41" s="1758"/>
      <c r="L41" s="1667"/>
      <c r="M41" s="1667"/>
    </row>
    <row r="42" spans="1:18" ht="18" customHeight="1">
      <c r="A42" s="1605"/>
      <c r="B42" s="1668"/>
      <c r="C42" s="1618"/>
      <c r="D42" s="1654"/>
      <c r="E42" s="1592" t="s">
        <v>1259</v>
      </c>
      <c r="F42" s="1600">
        <f ca="1">INDIRECT("'数据-取费表'!v"&amp;$G$1)</f>
        <v>2.5000000000000001E-2</v>
      </c>
      <c r="G42" s="1582"/>
      <c r="H42" s="1667"/>
      <c r="I42" s="1753"/>
      <c r="J42" s="1754"/>
      <c r="K42" s="1758"/>
      <c r="L42" s="1667"/>
      <c r="M42" s="1667"/>
    </row>
    <row r="43" spans="1:18" ht="18" customHeight="1">
      <c r="A43" s="1641" t="s">
        <v>1261</v>
      </c>
      <c r="B43" s="1669" t="s">
        <v>1267</v>
      </c>
      <c r="C43" s="1670">
        <f ca="1">ROUND(C40*10000/F43,0)</f>
        <v>3285</v>
      </c>
      <c r="D43" s="1671" t="s">
        <v>1268</v>
      </c>
      <c r="E43" s="1672" t="s">
        <v>1269</v>
      </c>
      <c r="F43" s="1673">
        <f ca="1">INDIRECT("'数据-取费表'!k"&amp;$G$1)</f>
        <v>34364.589999999997</v>
      </c>
      <c r="G43" s="1582"/>
      <c r="H43" s="1667"/>
      <c r="I43" s="1667"/>
      <c r="J43" s="1667"/>
      <c r="K43" s="1758"/>
      <c r="L43" s="1667"/>
      <c r="M43" s="1667"/>
    </row>
    <row r="44" spans="1:18" s="747" customFormat="1" ht="18" customHeight="1">
      <c r="A44" s="1674"/>
      <c r="B44" s="1674"/>
      <c r="C44" s="1675"/>
      <c r="D44" s="1674"/>
      <c r="E44" s="1674"/>
      <c r="F44" s="1674"/>
      <c r="K44" s="1760"/>
    </row>
    <row r="45" spans="1:18" s="747" customFormat="1" ht="18" customHeight="1">
      <c r="A45" s="1674"/>
      <c r="B45" s="1674"/>
      <c r="C45" s="1675"/>
      <c r="D45" s="1674"/>
      <c r="E45" s="1674"/>
      <c r="F45" s="1674"/>
      <c r="J45" s="320"/>
      <c r="O45" s="1761" t="s">
        <v>1270</v>
      </c>
      <c r="P45" s="1663"/>
      <c r="Q45" s="1663"/>
      <c r="R45" s="1663"/>
    </row>
    <row r="46" spans="1:18" s="747" customFormat="1">
      <c r="A46" s="1678" t="s">
        <v>1271</v>
      </c>
      <c r="C46" s="1679">
        <f ca="1">C68-C40</f>
        <v>-27165</v>
      </c>
      <c r="D46" s="1680" t="str">
        <f>C2</f>
        <v>万元</v>
      </c>
      <c r="E46" s="1674"/>
      <c r="F46" s="1674"/>
      <c r="I46" s="1762" t="s">
        <v>1272</v>
      </c>
      <c r="J46" s="1763"/>
      <c r="K46" s="1764"/>
      <c r="L46" s="1765" t="str">
        <f ca="1">IF(M47="住宅",0,IF(L48&gt;J51,L60,J60))</f>
        <v>0</v>
      </c>
      <c r="O46" s="1766" t="s">
        <v>1273</v>
      </c>
      <c r="P46" s="1767" t="s">
        <v>1274</v>
      </c>
      <c r="Q46" s="1811" t="s">
        <v>1275</v>
      </c>
      <c r="R46" s="1811" t="s">
        <v>1276</v>
      </c>
    </row>
    <row r="47" spans="1:18" s="747" customFormat="1">
      <c r="A47" s="1681" t="s">
        <v>1175</v>
      </c>
      <c r="B47" s="1682" t="s">
        <v>1176</v>
      </c>
      <c r="C47" s="1838" t="s">
        <v>1177</v>
      </c>
      <c r="D47" s="1682" t="s">
        <v>1178</v>
      </c>
      <c r="E47" s="1683" t="s">
        <v>1179</v>
      </c>
      <c r="F47" s="280"/>
      <c r="G47" s="1684"/>
      <c r="I47" s="1768" t="s">
        <v>1277</v>
      </c>
      <c r="J47" s="1769" t="s">
        <v>1278</v>
      </c>
      <c r="K47" s="1770" t="s">
        <v>1279</v>
      </c>
      <c r="L47" s="1771">
        <f ca="1">INDIRECT("'数据-取费表'!d"&amp;$G$1)</f>
        <v>50</v>
      </c>
      <c r="M47" s="1772" t="str">
        <f>IF(ISNUMBER(FIND("住宅",C1)),"住宅","非住宅")</f>
        <v>非住宅</v>
      </c>
      <c r="O47" s="1773" t="s">
        <v>1025</v>
      </c>
      <c r="P47" s="1774" t="s">
        <v>1280</v>
      </c>
      <c r="Q47" s="1812">
        <f ca="1">C40+J29</f>
        <v>11288</v>
      </c>
      <c r="R47" s="1812" t="s">
        <v>1281</v>
      </c>
    </row>
    <row r="48" spans="1:18" s="747" customFormat="1" ht="27.75">
      <c r="A48" s="1685" t="s">
        <v>1282</v>
      </c>
      <c r="B48" s="1584" t="s">
        <v>1180</v>
      </c>
      <c r="C48" s="288">
        <f ca="1">C49+C53+C55</f>
        <v>0</v>
      </c>
      <c r="D48" s="1686"/>
      <c r="E48" s="1687"/>
      <c r="F48" s="1688"/>
      <c r="G48" s="1684"/>
      <c r="H48" s="1689"/>
      <c r="I48" s="804" t="s">
        <v>1283</v>
      </c>
      <c r="J48" s="1775" t="s">
        <v>1284</v>
      </c>
      <c r="K48" s="1776" t="s">
        <v>1285</v>
      </c>
      <c r="L48" s="1777">
        <f ca="1">INDIRECT("'数据-取费表'!f"&amp;$G$1)</f>
        <v>46.69</v>
      </c>
      <c r="O48" s="1773" t="s">
        <v>1029</v>
      </c>
      <c r="P48" s="1774" t="s">
        <v>1286</v>
      </c>
      <c r="Q48" s="1812" t="str">
        <f ca="1">J60</f>
        <v>0</v>
      </c>
      <c r="R48" s="1812" t="s">
        <v>1287</v>
      </c>
    </row>
    <row r="49" spans="1:18" s="747" customFormat="1">
      <c r="A49" s="1690" t="s">
        <v>1288</v>
      </c>
      <c r="B49" s="1691" t="s">
        <v>1289</v>
      </c>
      <c r="C49" s="1692">
        <f ca="1">ROUND(F49*F51*F50*(1-F52)/10000,0)</f>
        <v>0</v>
      </c>
      <c r="D49" s="1693" t="s">
        <v>1185</v>
      </c>
      <c r="E49" s="1694" t="s">
        <v>1290</v>
      </c>
      <c r="F49" s="1695"/>
      <c r="G49" s="1696"/>
      <c r="H49" s="1689"/>
      <c r="I49" s="804" t="s">
        <v>1291</v>
      </c>
      <c r="J49" s="1778">
        <v>2020</v>
      </c>
      <c r="K49" s="1776" t="s">
        <v>1292</v>
      </c>
      <c r="L49" s="1779"/>
      <c r="O49" s="1780" t="s">
        <v>1293</v>
      </c>
      <c r="P49" s="1774" t="s">
        <v>1294</v>
      </c>
      <c r="Q49" s="1812">
        <f ca="1">C29</f>
        <v>8605</v>
      </c>
      <c r="R49" s="1812" t="s">
        <v>1281</v>
      </c>
    </row>
    <row r="50" spans="1:18" s="747" customFormat="1">
      <c r="A50" s="1697"/>
      <c r="B50" s="1698"/>
      <c r="C50" s="1839"/>
      <c r="D50" s="1700"/>
      <c r="E50" s="1701" t="s">
        <v>1186</v>
      </c>
      <c r="F50" s="1702">
        <f ca="1">F7</f>
        <v>34364.589999999997</v>
      </c>
      <c r="H50" s="1689"/>
      <c r="I50" s="804" t="s">
        <v>1295</v>
      </c>
      <c r="J50" s="1781">
        <f>SUMPRODUCT((I63:I65=J47)*(J62:L62=J48)*(J63:L65))</f>
        <v>50</v>
      </c>
      <c r="K50" s="1776" t="s">
        <v>1296</v>
      </c>
      <c r="L50" s="1779"/>
      <c r="M50" s="1782"/>
      <c r="O50" s="1780" t="s">
        <v>1297</v>
      </c>
      <c r="P50" s="1774" t="s">
        <v>1298</v>
      </c>
      <c r="Q50" s="1813" t="e">
        <f ca="1">J58</f>
        <v>#VALUE!</v>
      </c>
      <c r="R50" s="1812"/>
    </row>
    <row r="51" spans="1:18" s="747" customFormat="1">
      <c r="A51" s="1703"/>
      <c r="B51" s="1698"/>
      <c r="C51" s="1699"/>
      <c r="D51" s="1700"/>
      <c r="E51" s="1704" t="s">
        <v>1187</v>
      </c>
      <c r="F51" s="1593">
        <f ca="1">F8</f>
        <v>365</v>
      </c>
      <c r="I51" s="1783" t="s">
        <v>1299</v>
      </c>
      <c r="J51" s="1784">
        <f>IF(J49="",J50,J49+J50-YEAR('数据-取费表'!B2))</f>
        <v>49</v>
      </c>
      <c r="K51" s="1785" t="s">
        <v>1300</v>
      </c>
      <c r="L51" s="1786">
        <f ca="1">ROUND(-PV(INDIRECT("'数据-取费表'!h"&amp;$G$1),L48,(C39-C13*C76),0),0)</f>
        <v>-5879</v>
      </c>
      <c r="M51" s="1787"/>
      <c r="O51" s="1780" t="s">
        <v>1301</v>
      </c>
      <c r="P51" s="1774" t="s">
        <v>1302</v>
      </c>
      <c r="Q51" s="1813">
        <f>J52</f>
        <v>0.09</v>
      </c>
      <c r="R51" s="1812"/>
    </row>
    <row r="52" spans="1:18" s="747" customFormat="1">
      <c r="A52" s="1703"/>
      <c r="B52" s="1698"/>
      <c r="C52" s="1699"/>
      <c r="D52" s="1700"/>
      <c r="E52" s="1704" t="s">
        <v>1188</v>
      </c>
      <c r="F52" s="1705"/>
      <c r="I52" s="1788" t="s">
        <v>1303</v>
      </c>
      <c r="J52" s="1789">
        <f>'数据-取费表'!J6+0.005</f>
        <v>0.09</v>
      </c>
      <c r="K52" s="1788" t="s">
        <v>1304</v>
      </c>
      <c r="L52" s="1789"/>
      <c r="O52" s="1780" t="s">
        <v>1305</v>
      </c>
      <c r="P52" s="1774" t="s">
        <v>1306</v>
      </c>
      <c r="Q52" s="1812">
        <f ca="1">J53</f>
        <v>44.69</v>
      </c>
      <c r="R52" s="1812" t="s">
        <v>1307</v>
      </c>
    </row>
    <row r="53" spans="1:18" s="747" customFormat="1" ht="24">
      <c r="A53" s="1840" t="s">
        <v>1308</v>
      </c>
      <c r="B53" s="1841" t="s">
        <v>1189</v>
      </c>
      <c r="C53" s="286">
        <f ca="1">ROUND(IF(F53="押一",C49/12*F11,IF(F53="押二",C49/12*2*F11,IF(F53="押三",C49/12*3*F11,C54*F11))),0)</f>
        <v>0</v>
      </c>
      <c r="D53" s="1602" t="s">
        <v>1190</v>
      </c>
      <c r="E53" s="1603" t="s">
        <v>1191</v>
      </c>
      <c r="F53" s="1604"/>
      <c r="I53" s="1790" t="s">
        <v>1309</v>
      </c>
      <c r="J53" s="1791">
        <f ca="1">IF(M47="住宅",IF(D1="——",MAX(J51,L48),IF(D1="在建（套用方法）",MAX(J51,L48-'数据-取费表'!B24),MAX(J51,L48-'数据-取费表'!B20))),IF(D1="——",MIN(J51,L48),IF(D1="在建（套用方法）",MIN(J51,L48-'数据-取费表'!B24),IF(D1="土地（套用方法）",MIN(J51,L48-'数据-取费表'!B20)))))</f>
        <v>44.69</v>
      </c>
      <c r="K53" s="3213" t="s">
        <v>1310</v>
      </c>
      <c r="L53" s="3214"/>
      <c r="O53" s="1773" t="s">
        <v>1130</v>
      </c>
      <c r="P53" s="1774" t="s">
        <v>1311</v>
      </c>
      <c r="Q53" s="1812">
        <f ca="1">Q47+Q48</f>
        <v>11288</v>
      </c>
      <c r="R53" s="1812" t="s">
        <v>1312</v>
      </c>
    </row>
    <row r="54" spans="1:18" s="747" customFormat="1">
      <c r="A54" s="1842"/>
      <c r="B54" s="1606" t="s">
        <v>1194</v>
      </c>
      <c r="C54" s="1607"/>
      <c r="D54" s="1602"/>
      <c r="E54" s="1708"/>
      <c r="F54" s="1709"/>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6"/>
      <c r="O54" s="1761" t="s">
        <v>1313</v>
      </c>
      <c r="P54" s="1663"/>
      <c r="Q54" s="1663"/>
      <c r="R54" s="1663"/>
    </row>
    <row r="55" spans="1:18" s="747" customFormat="1">
      <c r="A55" s="1610" t="s">
        <v>882</v>
      </c>
      <c r="B55" s="1611" t="s">
        <v>1196</v>
      </c>
      <c r="C55" s="1612"/>
      <c r="D55" s="1602"/>
      <c r="E55" s="1708"/>
      <c r="F55" s="1709"/>
      <c r="I55" s="1794" t="s">
        <v>1314</v>
      </c>
      <c r="J55" s="1795" t="e">
        <f ca="1">ROUND(IF(J47="钢混",J57/J50,1-(1-2%)*(J50-J57)/J50),3)</f>
        <v>#VALUE!</v>
      </c>
      <c r="K55" s="1796" t="s">
        <v>1315</v>
      </c>
      <c r="L55" s="1797" t="s">
        <v>1316</v>
      </c>
      <c r="O55" s="1766" t="s">
        <v>1273</v>
      </c>
      <c r="P55" s="1767" t="s">
        <v>1274</v>
      </c>
      <c r="Q55" s="1811" t="s">
        <v>1275</v>
      </c>
      <c r="R55" s="1811" t="s">
        <v>1276</v>
      </c>
    </row>
    <row r="56" spans="1:18" s="747" customFormat="1" ht="24">
      <c r="A56" s="1710">
        <v>2</v>
      </c>
      <c r="B56" s="1711" t="s">
        <v>1197</v>
      </c>
      <c r="C56" s="180">
        <f ca="1">C13</f>
        <v>8605</v>
      </c>
      <c r="D56" s="1712"/>
      <c r="E56" s="1713"/>
      <c r="F56" s="1709"/>
      <c r="I56" s="1798" t="s">
        <v>1317</v>
      </c>
      <c r="J56" s="1799" t="s">
        <v>441</v>
      </c>
      <c r="K56" s="804" t="s">
        <v>1318</v>
      </c>
      <c r="L56" s="1777" t="str">
        <f ca="1">IF(L48&lt;J51,"——",L48-J53)</f>
        <v>——</v>
      </c>
      <c r="O56" s="1773" t="s">
        <v>1025</v>
      </c>
      <c r="P56" s="1774" t="s">
        <v>1280</v>
      </c>
      <c r="Q56" s="1812">
        <f ca="1">C40+J29</f>
        <v>11288</v>
      </c>
      <c r="R56" s="1812" t="s">
        <v>1281</v>
      </c>
    </row>
    <row r="57" spans="1:18" s="747" customFormat="1" ht="24">
      <c r="A57" s="1714"/>
      <c r="B57" s="1715" t="s">
        <v>1260</v>
      </c>
      <c r="C57" s="190">
        <f ca="1">C29</f>
        <v>8605</v>
      </c>
      <c r="D57" s="1716"/>
      <c r="E57" s="1717"/>
      <c r="F57" s="1718"/>
      <c r="I57" s="1800" t="s">
        <v>1319</v>
      </c>
      <c r="J57" s="1801" t="str">
        <f ca="1">IF(OR(M47="住宅",J51&lt;L48,J56="是"),"——",J51-L48)</f>
        <v>——</v>
      </c>
      <c r="K57" s="804" t="s">
        <v>1320</v>
      </c>
      <c r="L57" s="1777" t="str">
        <f ca="1">IF(L48&lt;J51,"——",IF(L55="比较法",L49,IF(L55="基准地价",L50,L51)))</f>
        <v>——</v>
      </c>
      <c r="O57" s="1773" t="s">
        <v>1029</v>
      </c>
      <c r="P57" s="1774" t="s">
        <v>1321</v>
      </c>
      <c r="Q57" s="1812">
        <f ca="1">L60</f>
        <v>0</v>
      </c>
      <c r="R57" s="1812" t="s">
        <v>1322</v>
      </c>
    </row>
    <row r="58" spans="1:18" s="747" customFormat="1" ht="24">
      <c r="A58" s="1719" t="s">
        <v>1205</v>
      </c>
      <c r="B58" s="1711" t="s">
        <v>1206</v>
      </c>
      <c r="C58" s="286">
        <f ca="1">ROUND(C59+C64+C65+C66,0)</f>
        <v>895</v>
      </c>
      <c r="D58" s="1720" t="s">
        <v>1207</v>
      </c>
      <c r="E58" s="1721"/>
      <c r="F58" s="1688"/>
      <c r="I58" s="1800" t="s">
        <v>1323</v>
      </c>
      <c r="J58" s="1802" t="e">
        <f ca="1">IF(J55&lt;0.4,0.4,J55)</f>
        <v>#VALUE!</v>
      </c>
      <c r="K58" s="1785" t="s">
        <v>1324</v>
      </c>
      <c r="L58" s="1777" t="e">
        <f ca="1">ROUND(POWER(1+L52,L47-L48)*(POWER(1+L52,L48)-1)/(POWER(1+L52,L47)-1),4)</f>
        <v>#DIV/0!</v>
      </c>
      <c r="O58" s="1780" t="s">
        <v>1293</v>
      </c>
      <c r="P58" s="1774" t="s">
        <v>1325</v>
      </c>
      <c r="Q58" s="1812">
        <f>IF(L55="比较法",L49,IF(L55="基准地价",L50,0))</f>
        <v>0</v>
      </c>
      <c r="R58" s="1812" t="s">
        <v>1281</v>
      </c>
    </row>
    <row r="59" spans="1:18" s="747" customFormat="1" ht="24">
      <c r="A59" s="1621" t="s">
        <v>834</v>
      </c>
      <c r="B59" s="1715" t="s">
        <v>1212</v>
      </c>
      <c r="C59" s="287">
        <f ca="1">ROUND(IF(项目基本情况!B11="自然人",C48*F59,C60+C61+C62),1)</f>
        <v>753.2</v>
      </c>
      <c r="D59" s="1722" t="s">
        <v>1213</v>
      </c>
      <c r="E59" s="1723" t="s">
        <v>1214</v>
      </c>
      <c r="F59" s="1646" t="str">
        <f ca="1">IF(项目基本情况!B11="企业","",IF(INDIRECT("'数据-取费表'!c"&amp;$G$1)="住宅",5%,IF(F49*F50*F51/12/(1+'数据-取费表'!C42)&gt;20000,12%,7%)))</f>
        <v/>
      </c>
      <c r="I59" s="1800" t="s">
        <v>1326</v>
      </c>
      <c r="J59" s="1801" t="str">
        <f ca="1">IF(OR(M47="住宅",J51&lt;L48,J56="是"),"——",ROUND(C29*J58,0))</f>
        <v>——</v>
      </c>
      <c r="K59" s="8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7" t="e">
        <f ca="1">ROUND(IF(D1="在建（套用方法）",M59,IF(D1="土地（套用方法）",N59,POWER(1+L52,L47-J51)*(POWER(1+L52,J51)-1)/(POWER(1+L52,L47)-1))),4)</f>
        <v>#DIV/0!</v>
      </c>
      <c r="M59" s="1772" t="e">
        <f ca="1">ROUND(POWER(1+L52,L47-(J51+'数据-取费表'!B24))*(POWER(1+L52,(J51+'数据-取费表'!B24))-1)/(POWER(1+L52,L47)-1),4)</f>
        <v>#DIV/0!</v>
      </c>
      <c r="N59" s="1772" t="e">
        <f ca="1">ROUND(POWER(1+L52,L47-(J51+'数据-取费表'!B20))*(POWER(1+L52,(J51+'数据-取费表'!B20))-1)/(POWER(1+L52,L47)-1),4)</f>
        <v>#DIV/0!</v>
      </c>
      <c r="O59" s="1780" t="s">
        <v>1297</v>
      </c>
      <c r="P59" s="1774" t="s">
        <v>1327</v>
      </c>
      <c r="Q59" s="1813">
        <f>L52</f>
        <v>0</v>
      </c>
      <c r="R59" s="1812"/>
    </row>
    <row r="60" spans="1:18" s="747" customFormat="1" ht="15.75">
      <c r="A60" s="1621" t="s">
        <v>857</v>
      </c>
      <c r="B60" s="1715" t="s">
        <v>1216</v>
      </c>
      <c r="C60" s="287">
        <f ca="1">IF(项目基本情况!B11="自然人","——",ROUND(C48*F60/(1+'数据-取费表'!C42),2))</f>
        <v>0</v>
      </c>
      <c r="D60" s="1723" t="s">
        <v>1217</v>
      </c>
      <c r="E60" s="1715" t="s">
        <v>1204</v>
      </c>
      <c r="F60" s="1637">
        <f t="shared" ref="F60:F66" si="0">F32</f>
        <v>5.5E-2</v>
      </c>
      <c r="I60" s="1803" t="s">
        <v>1328</v>
      </c>
      <c r="J60" s="1804" t="str">
        <f ca="1">IF(OR(M47="住宅",J51&lt;L48,J56="是"),"0",ROUND(J59/(1+J52)^J53,0))</f>
        <v>0</v>
      </c>
      <c r="K60" s="1805" t="s">
        <v>1329</v>
      </c>
      <c r="L60" s="1804">
        <f ca="1">IF(OR(M47="住宅",L48&lt;J51),0,ROUND(L57*(L58/L59-1),0))</f>
        <v>0</v>
      </c>
      <c r="O60" s="1780" t="s">
        <v>1301</v>
      </c>
      <c r="P60" s="1774" t="s">
        <v>1330</v>
      </c>
      <c r="Q60" s="1812" t="e">
        <f ca="1">L58</f>
        <v>#DIV/0!</v>
      </c>
      <c r="R60" s="1812" t="s">
        <v>1331</v>
      </c>
    </row>
    <row r="61" spans="1:18" s="747" customFormat="1">
      <c r="A61" s="1621" t="s">
        <v>862</v>
      </c>
      <c r="B61" s="1715" t="s">
        <v>1220</v>
      </c>
      <c r="C61" s="287">
        <f ca="1">IF(项目基本情况!B11="自然人","——",IF(D61="按租金收入计税",ROUND(C48*F61,2),IF(D61="按房产原值计税",ROUND(C57*F61*0.7,2),INDIRECT("'数据-取费表'!Aj"&amp;$G$1))))</f>
        <v>722.82</v>
      </c>
      <c r="D61" s="1647" t="s">
        <v>1221</v>
      </c>
      <c r="E61" s="1715" t="s">
        <v>1204</v>
      </c>
      <c r="F61" s="1630">
        <f t="shared" si="0"/>
        <v>0.12</v>
      </c>
      <c r="I61" s="1806"/>
      <c r="J61" s="1806"/>
      <c r="K61" s="1806"/>
      <c r="L61" s="1806"/>
      <c r="O61" s="1780" t="s">
        <v>1305</v>
      </c>
      <c r="P61" s="1774" t="str">
        <f>K59</f>
        <v>建设期及建筑物耐用年限下的土地年期修正系数Kn</v>
      </c>
      <c r="Q61" s="1812" t="e">
        <f ca="1">L59</f>
        <v>#DIV/0!</v>
      </c>
      <c r="R61" s="1812" t="s">
        <v>1332</v>
      </c>
    </row>
    <row r="62" spans="1:18" s="747" customFormat="1">
      <c r="A62" s="1621" t="s">
        <v>865</v>
      </c>
      <c r="B62" s="1724" t="s">
        <v>1224</v>
      </c>
      <c r="C62" s="1649">
        <f ca="1">IF(项目基本情况!B11="自然人","——",ROUND(F62*F63/10000,2))</f>
        <v>30.42</v>
      </c>
      <c r="D62" s="1725" t="s">
        <v>1225</v>
      </c>
      <c r="E62" s="1715" t="s">
        <v>1226</v>
      </c>
      <c r="F62" s="1636">
        <f t="shared" si="0"/>
        <v>6</v>
      </c>
      <c r="I62" s="1807" t="s">
        <v>1333</v>
      </c>
      <c r="J62" s="1808" t="s">
        <v>1334</v>
      </c>
      <c r="K62" s="1808" t="s">
        <v>1335</v>
      </c>
      <c r="L62" s="1808" t="s">
        <v>1336</v>
      </c>
      <c r="M62" s="1809" t="s">
        <v>1337</v>
      </c>
      <c r="O62" s="1773" t="s">
        <v>1130</v>
      </c>
      <c r="P62" s="1774" t="s">
        <v>1311</v>
      </c>
      <c r="Q62" s="1812">
        <f ca="1">Q56+Q57</f>
        <v>11288</v>
      </c>
      <c r="R62" s="1812" t="s">
        <v>1312</v>
      </c>
    </row>
    <row r="63" spans="1:18" s="747" customFormat="1">
      <c r="A63" s="1634"/>
      <c r="B63" s="1726"/>
      <c r="C63" s="1653"/>
      <c r="D63" s="1727"/>
      <c r="E63" s="1715" t="s">
        <v>1230</v>
      </c>
      <c r="F63" s="1593">
        <f t="shared" ca="1" si="0"/>
        <v>50693.68</v>
      </c>
      <c r="I63" s="1807" t="s">
        <v>1338</v>
      </c>
      <c r="J63" s="1808">
        <v>70</v>
      </c>
      <c r="K63" s="1808">
        <v>50</v>
      </c>
      <c r="L63" s="1808">
        <v>80</v>
      </c>
      <c r="M63" s="1810">
        <v>0.02</v>
      </c>
      <c r="O63" s="1761" t="s">
        <v>1339</v>
      </c>
      <c r="P63" s="1663"/>
      <c r="Q63" s="1663"/>
      <c r="R63" s="1663"/>
    </row>
    <row r="64" spans="1:18" s="747" customFormat="1">
      <c r="A64" s="1621" t="s">
        <v>838</v>
      </c>
      <c r="B64" s="1715" t="s">
        <v>1232</v>
      </c>
      <c r="C64" s="287">
        <f ca="1">ROUND(C57*F64,1)</f>
        <v>129.1</v>
      </c>
      <c r="D64" s="1723" t="s">
        <v>1265</v>
      </c>
      <c r="E64" s="1715" t="s">
        <v>1204</v>
      </c>
      <c r="F64" s="1656">
        <f t="shared" ca="1" si="0"/>
        <v>1.4999999999999999E-2</v>
      </c>
      <c r="I64" s="1807" t="s">
        <v>1340</v>
      </c>
      <c r="J64" s="1808">
        <v>50</v>
      </c>
      <c r="K64" s="1808">
        <v>35</v>
      </c>
      <c r="L64" s="1808">
        <v>60</v>
      </c>
      <c r="M64" s="1809">
        <v>0</v>
      </c>
      <c r="O64" s="1766" t="s">
        <v>1273</v>
      </c>
      <c r="P64" s="1767" t="s">
        <v>1274</v>
      </c>
      <c r="Q64" s="1811" t="s">
        <v>1275</v>
      </c>
      <c r="R64" s="1811" t="s">
        <v>1276</v>
      </c>
    </row>
    <row r="65" spans="1:18" s="747" customFormat="1">
      <c r="A65" s="1621" t="s">
        <v>882</v>
      </c>
      <c r="B65" s="1715" t="s">
        <v>1236</v>
      </c>
      <c r="C65" s="287">
        <f ca="1">ROUND(C56*F65,1)</f>
        <v>12.9</v>
      </c>
      <c r="D65" s="1723" t="s">
        <v>1237</v>
      </c>
      <c r="E65" s="1715" t="s">
        <v>1204</v>
      </c>
      <c r="F65" s="1657">
        <f t="shared" ca="1" si="0"/>
        <v>1.5E-3</v>
      </c>
      <c r="I65" s="1807" t="s">
        <v>1341</v>
      </c>
      <c r="J65" s="1808">
        <v>40</v>
      </c>
      <c r="K65" s="1808">
        <v>30</v>
      </c>
      <c r="L65" s="1808">
        <v>50</v>
      </c>
      <c r="M65" s="1810">
        <v>0.02</v>
      </c>
      <c r="O65" s="1773" t="s">
        <v>1025</v>
      </c>
      <c r="P65" s="1774" t="s">
        <v>1280</v>
      </c>
      <c r="Q65" s="1812">
        <f ca="1">C40+J29</f>
        <v>11288</v>
      </c>
      <c r="R65" s="1812" t="s">
        <v>1281</v>
      </c>
    </row>
    <row r="66" spans="1:18" s="747" customFormat="1" ht="15.75">
      <c r="A66" s="1621" t="s">
        <v>886</v>
      </c>
      <c r="B66" s="1715" t="s">
        <v>1222</v>
      </c>
      <c r="C66" s="287">
        <f ca="1">ROUND(C48*F66,1)</f>
        <v>0</v>
      </c>
      <c r="D66" s="1723" t="s">
        <v>1240</v>
      </c>
      <c r="E66" s="1715" t="s">
        <v>1204</v>
      </c>
      <c r="F66" s="1600">
        <f t="shared" ca="1" si="0"/>
        <v>0.01</v>
      </c>
      <c r="O66" s="1773" t="s">
        <v>1029</v>
      </c>
      <c r="P66" s="1774" t="s">
        <v>1321</v>
      </c>
      <c r="Q66" s="1812">
        <f ca="1">L60</f>
        <v>0</v>
      </c>
      <c r="R66" s="1812" t="s">
        <v>1322</v>
      </c>
    </row>
    <row r="67" spans="1:18" s="747" customFormat="1" ht="15.75">
      <c r="A67" s="1710" t="s">
        <v>1243</v>
      </c>
      <c r="B67" s="1814" t="s">
        <v>1244</v>
      </c>
      <c r="C67" s="286">
        <f ca="1">C48-C58</f>
        <v>-895</v>
      </c>
      <c r="D67" s="1722" t="s">
        <v>1245</v>
      </c>
      <c r="E67" s="1815"/>
      <c r="F67" s="1816"/>
      <c r="O67" s="1780" t="s">
        <v>1293</v>
      </c>
      <c r="P67" s="1774" t="s">
        <v>1325</v>
      </c>
      <c r="Q67" s="1836">
        <f ca="1">L51</f>
        <v>-5879</v>
      </c>
      <c r="R67" s="1812" t="s">
        <v>1342</v>
      </c>
    </row>
    <row r="68" spans="1:18" s="747" customFormat="1" ht="15.75">
      <c r="A68" s="1817" t="s">
        <v>1249</v>
      </c>
      <c r="B68" s="1818" t="s">
        <v>1266</v>
      </c>
      <c r="C68" s="1662">
        <f ca="1">ROUND(C67*(1-((1+F70)/(1+F68))^F69)/(F68-F70),0)</f>
        <v>-15877</v>
      </c>
      <c r="D68" s="1725" t="s">
        <v>1251</v>
      </c>
      <c r="E68" s="1715" t="s">
        <v>1252</v>
      </c>
      <c r="F68" s="1600">
        <f ca="1">F40</f>
        <v>0.05</v>
      </c>
      <c r="O68" s="1780" t="s">
        <v>1297</v>
      </c>
      <c r="P68" s="1835" t="s">
        <v>1343</v>
      </c>
      <c r="Q68" s="1812">
        <f ca="1">ROUND(Q69-Q70*Q71,0)</f>
        <v>-303</v>
      </c>
      <c r="R68" s="1812" t="s">
        <v>1344</v>
      </c>
    </row>
    <row r="69" spans="1:18" s="747" customFormat="1">
      <c r="A69" s="1819"/>
      <c r="B69" s="1820"/>
      <c r="C69" s="1599"/>
      <c r="D69" s="1821" t="s">
        <v>1255</v>
      </c>
      <c r="E69" s="1715" t="s">
        <v>1256</v>
      </c>
      <c r="F69" s="1666">
        <f ca="1">F41</f>
        <v>44.69</v>
      </c>
      <c r="O69" s="1780" t="s">
        <v>1345</v>
      </c>
      <c r="P69" s="1835" t="s">
        <v>1346</v>
      </c>
      <c r="Q69" s="1812">
        <f ca="1">C39</f>
        <v>428</v>
      </c>
      <c r="R69" s="1812" t="s">
        <v>1281</v>
      </c>
    </row>
    <row r="70" spans="1:18" s="747" customFormat="1">
      <c r="A70" s="1822"/>
      <c r="B70" s="1823"/>
      <c r="C70" s="1618"/>
      <c r="D70" s="1727"/>
      <c r="E70" s="1715" t="s">
        <v>1259</v>
      </c>
      <c r="F70" s="1705"/>
      <c r="O70" s="1780" t="s">
        <v>1347</v>
      </c>
      <c r="P70" s="1835" t="s">
        <v>1348</v>
      </c>
      <c r="Q70" s="1812">
        <f ca="1">C13</f>
        <v>8605</v>
      </c>
      <c r="R70" s="1812" t="s">
        <v>1281</v>
      </c>
    </row>
    <row r="71" spans="1:18" s="747" customFormat="1">
      <c r="A71" s="1824" t="s">
        <v>1261</v>
      </c>
      <c r="B71" s="1825" t="s">
        <v>1267</v>
      </c>
      <c r="C71" s="1670">
        <f ca="1">ROUND(C68*10000/F71,0)</f>
        <v>-4620</v>
      </c>
      <c r="D71" s="1826" t="s">
        <v>1268</v>
      </c>
      <c r="E71" s="1827" t="s">
        <v>1269</v>
      </c>
      <c r="F71" s="1673">
        <f ca="1">F43</f>
        <v>34364.589999999997</v>
      </c>
      <c r="O71" s="1780" t="s">
        <v>1349</v>
      </c>
      <c r="P71" s="1835" t="s">
        <v>1350</v>
      </c>
      <c r="Q71" s="1813">
        <f ca="1">C76</f>
        <v>8.5000000000000006E-2</v>
      </c>
      <c r="R71" s="1812"/>
    </row>
    <row r="72" spans="1:18" s="747" customFormat="1">
      <c r="B72" s="320"/>
      <c r="C72" s="320"/>
      <c r="O72" s="1780" t="s">
        <v>1301</v>
      </c>
      <c r="P72" s="1774" t="s">
        <v>1327</v>
      </c>
      <c r="Q72" s="1813">
        <f>L52</f>
        <v>0</v>
      </c>
      <c r="R72" s="1812"/>
    </row>
    <row r="73" spans="1:18" ht="15.75">
      <c r="A73" s="747"/>
      <c r="B73" s="320"/>
      <c r="C73" s="320"/>
      <c r="D73" s="747"/>
      <c r="E73" s="747"/>
      <c r="F73" s="747"/>
      <c r="O73" s="1780" t="s">
        <v>1305</v>
      </c>
      <c r="P73" s="1774" t="s">
        <v>1330</v>
      </c>
      <c r="Q73" s="1812" t="e">
        <f ca="1">L58</f>
        <v>#DIV/0!</v>
      </c>
      <c r="R73" s="1812" t="s">
        <v>1331</v>
      </c>
    </row>
    <row r="74" spans="1:18">
      <c r="A74" s="747"/>
      <c r="B74" s="222" t="s">
        <v>1351</v>
      </c>
      <c r="C74" s="1828"/>
      <c r="D74" s="747"/>
      <c r="E74" s="747"/>
      <c r="F74" s="747"/>
      <c r="O74" s="1780" t="s">
        <v>1352</v>
      </c>
      <c r="P74" s="1774" t="str">
        <f>K59</f>
        <v>建设期及建筑物耐用年限下的土地年期修正系数Kn</v>
      </c>
      <c r="Q74" s="1812" t="e">
        <f ca="1">L59</f>
        <v>#DIV/0!</v>
      </c>
      <c r="R74" s="1812" t="s">
        <v>1332</v>
      </c>
    </row>
    <row r="75" spans="1:18">
      <c r="A75" s="747"/>
      <c r="B75" s="1829" t="s">
        <v>1353</v>
      </c>
      <c r="C75" s="1830">
        <f ca="1">ROUND(C13*C76,0)</f>
        <v>731</v>
      </c>
      <c r="D75" s="747"/>
      <c r="E75" s="747"/>
      <c r="F75" s="747"/>
      <c r="K75" s="1760"/>
      <c r="L75" s="747"/>
      <c r="O75" s="1773" t="s">
        <v>1130</v>
      </c>
      <c r="P75" s="1774" t="s">
        <v>1311</v>
      </c>
      <c r="Q75" s="1812">
        <f ca="1">Q65+Q66</f>
        <v>11288</v>
      </c>
      <c r="R75" s="1812" t="s">
        <v>1312</v>
      </c>
    </row>
    <row r="76" spans="1:18">
      <c r="B76" s="568" t="s">
        <v>1354</v>
      </c>
      <c r="C76" s="1831">
        <f ca="1">INDIRECT("'数据-取费表'!j"&amp;$G$1)</f>
        <v>8.5000000000000006E-2</v>
      </c>
      <c r="I76" s="747"/>
      <c r="J76" s="747"/>
      <c r="K76" s="1760"/>
      <c r="L76" s="747"/>
    </row>
    <row r="77" spans="1:18">
      <c r="B77" s="1832" t="s">
        <v>1355</v>
      </c>
      <c r="C77" s="1833"/>
      <c r="I77" s="747"/>
      <c r="J77" s="747"/>
      <c r="K77" s="1760"/>
      <c r="L77" s="747"/>
    </row>
    <row r="78" spans="1:18">
      <c r="B78" s="220" t="s">
        <v>1356</v>
      </c>
      <c r="C78" s="1834"/>
    </row>
    <row r="79" spans="1:18">
      <c r="B79" s="1829" t="s">
        <v>1357</v>
      </c>
      <c r="C79" s="223">
        <f ca="1">1-C80</f>
        <v>-0.70799999999999996</v>
      </c>
    </row>
    <row r="80" spans="1:18">
      <c r="B80" s="1829" t="s">
        <v>1358</v>
      </c>
      <c r="C80" s="223">
        <f ca="1">ROUND(C75/C39,3)</f>
        <v>1.708</v>
      </c>
    </row>
    <row r="81" spans="2:3">
      <c r="B81" s="220" t="s">
        <v>1359</v>
      </c>
      <c r="C81" s="190"/>
    </row>
    <row r="82" spans="2:3">
      <c r="B82" s="222" t="s">
        <v>1106</v>
      </c>
      <c r="C82" s="224">
        <f ca="1">1-C83</f>
        <v>0.23799999999999999</v>
      </c>
    </row>
    <row r="83" spans="2:3">
      <c r="B83" s="222" t="s">
        <v>1107</v>
      </c>
      <c r="C83" s="223">
        <f ca="1">ROUND(C13/C40,3)</f>
        <v>0.76200000000000001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9"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7" customFormat="1" ht="21">
      <c r="A1" s="1560" t="s">
        <v>1168</v>
      </c>
      <c r="B1" s="1085"/>
      <c r="C1" s="1561"/>
      <c r="D1" s="1562"/>
      <c r="E1" s="1563" t="s">
        <v>1169</v>
      </c>
      <c r="F1" s="1564" t="b">
        <f>J53</f>
        <v>0</v>
      </c>
      <c r="G1" s="1565">
        <f>MATCH(C1,'数据-取费表'!A6:A16,0)+5</f>
        <v>7</v>
      </c>
      <c r="H1" s="1566"/>
      <c r="I1" s="1728"/>
      <c r="J1" s="1728"/>
      <c r="K1" s="1729"/>
      <c r="L1" s="1728"/>
      <c r="M1" s="1728"/>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row>
    <row r="2" spans="1:37" ht="18" customHeight="1">
      <c r="A2" s="1567" t="s">
        <v>1170</v>
      </c>
      <c r="B2" s="1568" t="e">
        <f ca="1">ROUND(D2/10000,0)</f>
        <v>#DIV/0!</v>
      </c>
      <c r="C2" s="1569" t="s">
        <v>1171</v>
      </c>
      <c r="D2" s="1570" t="e">
        <f ca="1">C40+J29+L46</f>
        <v>#DIV/0!</v>
      </c>
      <c r="E2" s="1571" t="s">
        <v>1360</v>
      </c>
      <c r="F2" s="1572"/>
      <c r="G2" s="1573"/>
      <c r="H2" s="1574"/>
      <c r="I2" s="1574"/>
      <c r="J2" s="1574"/>
      <c r="K2" s="1731"/>
      <c r="L2" s="1574"/>
      <c r="M2" s="1574"/>
    </row>
    <row r="3" spans="1:37" ht="18" customHeight="1">
      <c r="A3" s="1575" t="s">
        <v>1172</v>
      </c>
      <c r="B3" s="1576">
        <f ca="1">IF(ISERROR(D2/F43),0,ROUND(D2/F43,0))</f>
        <v>0</v>
      </c>
      <c r="C3" s="1569" t="s">
        <v>1173</v>
      </c>
      <c r="D3" s="1569"/>
      <c r="E3" s="1571"/>
      <c r="F3" s="1572"/>
      <c r="G3" s="1573"/>
      <c r="H3" s="1577" t="s">
        <v>1174</v>
      </c>
      <c r="I3" s="1574"/>
      <c r="J3" s="1574"/>
      <c r="K3" s="1731"/>
      <c r="L3" s="1574"/>
      <c r="M3" s="1574"/>
    </row>
    <row r="4" spans="1:37" ht="18" customHeight="1">
      <c r="A4" s="1578" t="s">
        <v>1175</v>
      </c>
      <c r="B4" s="1579" t="s">
        <v>1176</v>
      </c>
      <c r="C4" s="1579" t="s">
        <v>1177</v>
      </c>
      <c r="D4" s="1579" t="s">
        <v>1178</v>
      </c>
      <c r="E4" s="1580" t="s">
        <v>1179</v>
      </c>
      <c r="F4" s="1581"/>
      <c r="G4" s="1582"/>
      <c r="H4" s="1578" t="s">
        <v>1175</v>
      </c>
      <c r="I4" s="1579" t="s">
        <v>1176</v>
      </c>
      <c r="J4" s="1579" t="s">
        <v>1177</v>
      </c>
      <c r="K4" s="1579" t="s">
        <v>1178</v>
      </c>
      <c r="L4" s="1580" t="s">
        <v>1179</v>
      </c>
      <c r="M4" s="1581"/>
    </row>
    <row r="5" spans="1:37" ht="18" customHeight="1">
      <c r="A5" s="1583">
        <v>1</v>
      </c>
      <c r="B5" s="1584" t="s">
        <v>1180</v>
      </c>
      <c r="C5" s="1585">
        <f ca="1">C6+C10+C12</f>
        <v>0</v>
      </c>
      <c r="D5" s="1586" t="s">
        <v>1181</v>
      </c>
      <c r="E5" s="1587"/>
      <c r="F5" s="1588"/>
      <c r="G5" s="1582"/>
      <c r="H5" s="1583">
        <v>1</v>
      </c>
      <c r="I5" s="1584" t="s">
        <v>1180</v>
      </c>
      <c r="J5" s="1585">
        <f ca="1">J6+J10+J12</f>
        <v>0</v>
      </c>
      <c r="K5" s="1586" t="s">
        <v>1181</v>
      </c>
      <c r="L5" s="1587"/>
      <c r="M5" s="1588"/>
    </row>
    <row r="6" spans="1:37" ht="18" customHeight="1">
      <c r="A6" s="1589" t="s">
        <v>834</v>
      </c>
      <c r="B6" s="3215" t="s">
        <v>1182</v>
      </c>
      <c r="C6" s="1590">
        <f ca="1">ROUND(F6*F8*F7*(1-F9),0)</f>
        <v>0</v>
      </c>
      <c r="D6" s="1591" t="s">
        <v>1361</v>
      </c>
      <c r="E6" s="1592" t="s">
        <v>1184</v>
      </c>
      <c r="F6" s="1593">
        <f ca="1">INDIRECT("'数据-取费表'!u"&amp;$G$1)</f>
        <v>0</v>
      </c>
      <c r="G6" s="1582"/>
      <c r="H6" s="1589" t="s">
        <v>834</v>
      </c>
      <c r="I6" s="3215" t="s">
        <v>1182</v>
      </c>
      <c r="J6" s="1662">
        <f ca="1">ROUND(M6*M8*M7*(1-M9),0)</f>
        <v>0</v>
      </c>
      <c r="K6" s="1732" t="s">
        <v>1362</v>
      </c>
      <c r="L6" s="1592" t="s">
        <v>1184</v>
      </c>
      <c r="M6" s="1593">
        <f ca="1">INDIRECT("'数据-取费表'!z"&amp;$G$1)</f>
        <v>0</v>
      </c>
    </row>
    <row r="7" spans="1:37" ht="18" customHeight="1">
      <c r="A7" s="1594"/>
      <c r="B7" s="3216"/>
      <c r="C7" s="1595"/>
      <c r="D7" s="1596"/>
      <c r="E7" s="1597" t="s">
        <v>1186</v>
      </c>
      <c r="F7" s="1593">
        <f ca="1">IF(INDIRECT("'数据-取费表'!ah"&amp;$G$1)="",INDIRECT("'数据-取费表'!k"&amp;$G$1),INDIRECT("'数据-取费表'!ah"&amp;$G$1))</f>
        <v>0</v>
      </c>
      <c r="G7" s="1582"/>
      <c r="H7" s="1598"/>
      <c r="I7" s="3216"/>
      <c r="J7" s="1599"/>
      <c r="K7" s="1596"/>
      <c r="L7" s="1592" t="s">
        <v>1186</v>
      </c>
      <c r="M7" s="1593">
        <f ca="1">F7</f>
        <v>0</v>
      </c>
    </row>
    <row r="8" spans="1:37" ht="18" customHeight="1">
      <c r="A8" s="1598"/>
      <c r="B8" s="3216"/>
      <c r="C8" s="1599"/>
      <c r="D8" s="1596"/>
      <c r="E8" s="1592" t="s">
        <v>1187</v>
      </c>
      <c r="F8" s="1593">
        <f ca="1">INDIRECT("'数据-取费表'!ai"&amp;$G$1)</f>
        <v>0</v>
      </c>
      <c r="G8" s="1582"/>
      <c r="H8" s="1598"/>
      <c r="I8" s="3216"/>
      <c r="J8" s="1599"/>
      <c r="K8" s="1596"/>
      <c r="L8" s="1592" t="s">
        <v>1187</v>
      </c>
      <c r="M8" s="1593">
        <f ca="1">INDIRECT("'数据-取费表'!ai"&amp;$G$1)</f>
        <v>0</v>
      </c>
    </row>
    <row r="9" spans="1:37" ht="18" customHeight="1">
      <c r="A9" s="1598"/>
      <c r="B9" s="3217"/>
      <c r="C9" s="1599"/>
      <c r="D9" s="1596"/>
      <c r="E9" s="1592" t="s">
        <v>1188</v>
      </c>
      <c r="F9" s="1600">
        <f ca="1">INDIRECT("'数据-取费表'!w"&amp;$G$1)</f>
        <v>0</v>
      </c>
      <c r="G9" s="1582"/>
      <c r="H9" s="1598"/>
      <c r="I9" s="3217"/>
      <c r="J9" s="1599"/>
      <c r="K9" s="1596"/>
      <c r="L9" s="1603" t="s">
        <v>1188</v>
      </c>
      <c r="M9" s="1608">
        <f ca="1">INDIRECT("'数据-取费表'!ab"&amp;$G$1)</f>
        <v>0</v>
      </c>
    </row>
    <row r="10" spans="1:37" ht="18" customHeight="1">
      <c r="A10" s="1589" t="s">
        <v>838</v>
      </c>
      <c r="B10" s="1601" t="s">
        <v>1189</v>
      </c>
      <c r="C10" s="286">
        <f ca="1">ROUND(IF(F10="押一",C6/12*F11,IF(F10="押二",C6/12*2*F11,IF(F10="押三",C6/12*3*F11,C11*F11))),0)</f>
        <v>0</v>
      </c>
      <c r="D10" s="1602" t="s">
        <v>1190</v>
      </c>
      <c r="E10" s="1603" t="s">
        <v>1191</v>
      </c>
      <c r="F10" s="1604"/>
      <c r="G10" s="1582"/>
      <c r="H10" s="1589" t="s">
        <v>838</v>
      </c>
      <c r="I10" s="1601" t="s">
        <v>1189</v>
      </c>
      <c r="J10" s="1662">
        <f ca="1">ROUND(IF(M10="押一",J6/12*M11,IF(M10="押二",J6/12*2*M11,IF(M10="押三",J6/12*3*M11,J11*M11))),0)</f>
        <v>0</v>
      </c>
      <c r="K10" s="1733" t="s">
        <v>1363</v>
      </c>
      <c r="L10" s="1603" t="s">
        <v>1191</v>
      </c>
      <c r="M10" s="1604"/>
    </row>
    <row r="11" spans="1:37" ht="18" customHeight="1">
      <c r="A11" s="1605"/>
      <c r="B11" s="1606" t="s">
        <v>1364</v>
      </c>
      <c r="C11" s="1607"/>
      <c r="D11" s="1596"/>
      <c r="E11" s="1603" t="s">
        <v>1195</v>
      </c>
      <c r="F11" s="1608">
        <f ca="1">'数据-取费表'!B39</f>
        <v>1.4999999999999999E-2</v>
      </c>
      <c r="G11" s="1582"/>
      <c r="H11" s="1609"/>
      <c r="I11" s="1606" t="s">
        <v>1365</v>
      </c>
      <c r="J11" s="1607"/>
      <c r="K11" s="1734"/>
      <c r="L11" s="1603" t="s">
        <v>1195</v>
      </c>
      <c r="M11" s="1735">
        <f ca="1">'数据-取费表'!B39</f>
        <v>1.4999999999999999E-2</v>
      </c>
    </row>
    <row r="12" spans="1:37" ht="18" customHeight="1">
      <c r="A12" s="1610" t="s">
        <v>882</v>
      </c>
      <c r="B12" s="1611" t="s">
        <v>1196</v>
      </c>
      <c r="C12" s="1612"/>
      <c r="D12" s="1613"/>
      <c r="E12" s="1614"/>
      <c r="F12" s="1615"/>
      <c r="G12" s="1582"/>
      <c r="H12" s="1610" t="s">
        <v>882</v>
      </c>
      <c r="I12" s="1611" t="s">
        <v>1196</v>
      </c>
      <c r="J12" s="1612"/>
      <c r="K12" s="1736"/>
      <c r="L12" s="1614"/>
      <c r="M12" s="1737"/>
    </row>
    <row r="13" spans="1:37" ht="18" customHeight="1">
      <c r="A13" s="1616">
        <v>2</v>
      </c>
      <c r="B13" s="1617" t="s">
        <v>1197</v>
      </c>
      <c r="C13" s="1618">
        <f ca="1">ROUND(C29*F13,0)</f>
        <v>0</v>
      </c>
      <c r="D13" s="1619" t="s">
        <v>1198</v>
      </c>
      <c r="E13" s="1619" t="s">
        <v>1199</v>
      </c>
      <c r="F13" s="1620">
        <f ca="1">INDIRECT("'数据-取费表'!y"&amp;$G$1)</f>
        <v>0</v>
      </c>
      <c r="G13" s="1582"/>
      <c r="H13" s="1616">
        <v>2</v>
      </c>
      <c r="I13" s="1617" t="s">
        <v>1197</v>
      </c>
      <c r="J13" s="1738">
        <f ca="1">ROUND(J14*J15,0)</f>
        <v>0</v>
      </c>
      <c r="K13" s="1642" t="s">
        <v>1198</v>
      </c>
      <c r="L13" s="1739"/>
      <c r="M13" s="1740"/>
    </row>
    <row r="14" spans="1:37" ht="18" customHeight="1">
      <c r="A14" s="1621" t="s">
        <v>857</v>
      </c>
      <c r="B14" s="1592" t="s">
        <v>1200</v>
      </c>
      <c r="C14" s="1622">
        <f ca="1">ROUND(INDIRECT("'数据-取费表'!l"&amp;$G$1)*F43+'数据-取费表'!L14*INDIRECT("'数据-取费表'!S"&amp;$G$1),0)</f>
        <v>0</v>
      </c>
      <c r="D14" s="1623" t="s">
        <v>1201</v>
      </c>
      <c r="E14" s="1624"/>
      <c r="F14" s="1625"/>
      <c r="G14" s="1582"/>
      <c r="H14" s="1621" t="s">
        <v>834</v>
      </c>
      <c r="I14" s="1592" t="s">
        <v>1202</v>
      </c>
      <c r="J14" s="287">
        <f ca="1">C29</f>
        <v>0</v>
      </c>
      <c r="K14" s="1741"/>
      <c r="L14" s="1742"/>
      <c r="M14" s="1743"/>
    </row>
    <row r="15" spans="1:37" s="1558" customFormat="1" ht="18" customHeight="1">
      <c r="A15" s="1621" t="s">
        <v>862</v>
      </c>
      <c r="B15" s="1592" t="s">
        <v>1128</v>
      </c>
      <c r="C15" s="287">
        <f ca="1">ROUND(C14*F15,0)</f>
        <v>0</v>
      </c>
      <c r="D15" s="1626" t="s">
        <v>1203</v>
      </c>
      <c r="E15" s="1626" t="s">
        <v>1204</v>
      </c>
      <c r="F15" s="1627">
        <f>'数据-取费表'!B33</f>
        <v>3.5000000000000003E-2</v>
      </c>
      <c r="G15" s="1628"/>
      <c r="H15" s="1629" t="s">
        <v>838</v>
      </c>
      <c r="I15" s="1614" t="s">
        <v>1199</v>
      </c>
      <c r="J15" s="1737">
        <f ca="1">INDIRECT("'数据-取费表'!ad"&amp;$G$1)</f>
        <v>0</v>
      </c>
      <c r="K15" s="1744"/>
      <c r="L15" s="1745"/>
      <c r="M15" s="1746"/>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row>
    <row r="16" spans="1:37" ht="18" customHeight="1">
      <c r="A16" s="1621" t="s">
        <v>865</v>
      </c>
      <c r="B16" s="1592" t="s">
        <v>1131</v>
      </c>
      <c r="C16" s="287">
        <f ca="1">ROUND(INDIRECT("'数据-取费表'!l"&amp;$G$1)*F43*F16,0)</f>
        <v>0</v>
      </c>
      <c r="D16" s="1592" t="s">
        <v>1203</v>
      </c>
      <c r="E16" s="1592" t="s">
        <v>1204</v>
      </c>
      <c r="F16" s="1630">
        <f ca="1">IF(INDIRECT("'数据-取费表'!c"&amp;$G$1)="住宅",'数据-取费表'!B34,0)</f>
        <v>0</v>
      </c>
      <c r="G16" s="1582"/>
      <c r="H16" s="1616" t="s">
        <v>1205</v>
      </c>
      <c r="I16" s="1617" t="s">
        <v>1206</v>
      </c>
      <c r="J16" s="1618">
        <f ca="1">ROUND(J17+J22+J23+J24,0)</f>
        <v>0</v>
      </c>
      <c r="K16" s="1642" t="s">
        <v>1207</v>
      </c>
      <c r="L16" s="1643"/>
      <c r="M16" s="1588"/>
    </row>
    <row r="17" spans="1:37" s="1558" customFormat="1" ht="18" customHeight="1">
      <c r="A17" s="1621" t="s">
        <v>1208</v>
      </c>
      <c r="B17" s="1592" t="s">
        <v>1209</v>
      </c>
      <c r="C17" s="287">
        <f ca="1">ROUND(F17*(F43+INDIRECT("'数据-取费表'!S"&amp;$G$1)),0)</f>
        <v>0</v>
      </c>
      <c r="D17" s="1592" t="s">
        <v>1210</v>
      </c>
      <c r="E17" s="1592" t="s">
        <v>1211</v>
      </c>
      <c r="F17" s="1631">
        <f>'数据-取费表'!B35</f>
        <v>180</v>
      </c>
      <c r="G17" s="1628"/>
      <c r="H17" s="1621" t="s">
        <v>834</v>
      </c>
      <c r="I17" s="1592" t="s">
        <v>1212</v>
      </c>
      <c r="J17" s="287">
        <f ca="1">ROUND(IF(项目基本情况!B11="自然人",J5*M17,J18+J19+J20),0)</f>
        <v>0</v>
      </c>
      <c r="K17" s="1623" t="s">
        <v>1213</v>
      </c>
      <c r="L17" s="1645" t="s">
        <v>1214</v>
      </c>
      <c r="M17" s="1646" t="str">
        <f ca="1">IF(项目基本情况!B11="企业","",IF(INDIRECT("'数据-取费表'!c"&amp;$G$1)="住宅",5%,IF(M6*M7*M8/12/(1+'数据-取费表'!C42)&gt;20000,12%,7%)))</f>
        <v/>
      </c>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row>
    <row r="18" spans="1:37" s="1558" customFormat="1" ht="18" customHeight="1">
      <c r="A18" s="1621" t="s">
        <v>1215</v>
      </c>
      <c r="B18" s="1592" t="s">
        <v>1137</v>
      </c>
      <c r="C18" s="287">
        <f ca="1">ROUND(C14*F18,0)</f>
        <v>0</v>
      </c>
      <c r="D18" s="1592" t="s">
        <v>1203</v>
      </c>
      <c r="E18" s="1592" t="s">
        <v>1204</v>
      </c>
      <c r="F18" s="1630">
        <f>'数据-取费表'!B36</f>
        <v>1.4999999999999999E-2</v>
      </c>
      <c r="G18" s="1628"/>
      <c r="H18" s="1621" t="s">
        <v>857</v>
      </c>
      <c r="I18" s="1592" t="s">
        <v>1216</v>
      </c>
      <c r="J18" s="287">
        <f ca="1">ROUND(J5*M18/(1+'数据-取费表'!C42),0)</f>
        <v>0</v>
      </c>
      <c r="K18" s="1645" t="s">
        <v>1217</v>
      </c>
      <c r="L18" s="1592" t="s">
        <v>1204</v>
      </c>
      <c r="M18" s="1630">
        <f>'数据-取费表'!B41</f>
        <v>5.5E-2</v>
      </c>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row>
    <row r="19" spans="1:37" ht="18" customHeight="1">
      <c r="A19" s="1621" t="s">
        <v>834</v>
      </c>
      <c r="B19" s="1592" t="s">
        <v>1218</v>
      </c>
      <c r="C19" s="287">
        <f ca="1">SUM(C14:C18)</f>
        <v>0</v>
      </c>
      <c r="D19" s="1632" t="s">
        <v>1219</v>
      </c>
      <c r="E19" s="289"/>
      <c r="F19" s="1631"/>
      <c r="G19" s="1582"/>
      <c r="H19" s="1621" t="s">
        <v>862</v>
      </c>
      <c r="I19" s="1592" t="s">
        <v>1220</v>
      </c>
      <c r="J19" s="287">
        <f ca="1">IF(K19="按租金收入计税",ROUND(J5*M19,0),ROUND(C29*M19*0.7,0))</f>
        <v>0</v>
      </c>
      <c r="K19" s="1647" t="s">
        <v>1221</v>
      </c>
      <c r="L19" s="1592" t="s">
        <v>1204</v>
      </c>
      <c r="M19" s="1630">
        <f>IF(K19="按租金收入计税",'数据-取费表'!B51,'数据-取费表'!B50)</f>
        <v>1.2E-2</v>
      </c>
    </row>
    <row r="20" spans="1:37" s="1558" customFormat="1" ht="18" customHeight="1">
      <c r="A20" s="1621" t="s">
        <v>838</v>
      </c>
      <c r="B20" s="1592" t="s">
        <v>1222</v>
      </c>
      <c r="C20" s="287">
        <f ca="1">ROUND(C19*F20,0)</f>
        <v>0</v>
      </c>
      <c r="D20" s="1633" t="s">
        <v>1223</v>
      </c>
      <c r="E20" s="1592" t="s">
        <v>1204</v>
      </c>
      <c r="F20" s="1630">
        <f>'数据-取费表'!B37</f>
        <v>0.02</v>
      </c>
      <c r="G20" s="1628"/>
      <c r="H20" s="1621" t="s">
        <v>865</v>
      </c>
      <c r="I20" s="1591" t="s">
        <v>1224</v>
      </c>
      <c r="J20" s="1649">
        <f ca="1">ROUND(M20*M21,0)</f>
        <v>0</v>
      </c>
      <c r="K20" s="1650" t="s">
        <v>1225</v>
      </c>
      <c r="L20" s="1592" t="s">
        <v>1226</v>
      </c>
      <c r="M20" s="1636">
        <f>'数据-取费表'!B52</f>
        <v>6</v>
      </c>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row>
    <row r="21" spans="1:37" s="1558" customFormat="1" ht="18" customHeight="1">
      <c r="A21" s="1621" t="s">
        <v>882</v>
      </c>
      <c r="B21" s="1592" t="s">
        <v>1227</v>
      </c>
      <c r="C21" s="287" t="s">
        <v>124</v>
      </c>
      <c r="D21" s="1633" t="s">
        <v>1228</v>
      </c>
      <c r="E21" s="1592" t="s">
        <v>1229</v>
      </c>
      <c r="F21" s="1630">
        <f>'数据-取费表'!B38</f>
        <v>0.02</v>
      </c>
      <c r="G21" s="1628"/>
      <c r="H21" s="1634"/>
      <c r="I21" s="1748"/>
      <c r="J21" s="1653"/>
      <c r="K21" s="1654"/>
      <c r="L21" s="1592" t="s">
        <v>1230</v>
      </c>
      <c r="M21" s="1593">
        <f ca="1">INDIRECT("'数据-取费表'!r"&amp;$G$1)</f>
        <v>0</v>
      </c>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row>
    <row r="22" spans="1:37" ht="18" customHeight="1">
      <c r="A22" s="1621" t="s">
        <v>886</v>
      </c>
      <c r="B22" s="1592" t="s">
        <v>1231</v>
      </c>
      <c r="C22" s="287"/>
      <c r="D22" s="1632" t="str">
        <f>IF(F23&lt;=1,"单利计息。","复利计息。")&amp;"建造成本、管理费用、销售费用产生的利息。"</f>
        <v>复利计息。建造成本、管理费用、销售费用产生的利息。</v>
      </c>
      <c r="E22" s="289"/>
      <c r="F22" s="1631"/>
      <c r="G22" s="1582"/>
      <c r="H22" s="1621" t="s">
        <v>838</v>
      </c>
      <c r="I22" s="1592" t="s">
        <v>1232</v>
      </c>
      <c r="J22" s="287">
        <f ca="1">ROUND(J14*M22,0)</f>
        <v>0</v>
      </c>
      <c r="K22" s="1645" t="s">
        <v>1233</v>
      </c>
      <c r="L22" s="1592" t="s">
        <v>1204</v>
      </c>
      <c r="M22" s="1656">
        <f ca="1">INDIRECT("'数据-取费表'!Ak"&amp;$G$1)</f>
        <v>0</v>
      </c>
    </row>
    <row r="23" spans="1:37" s="1558" customFormat="1" ht="18" customHeight="1">
      <c r="A23" s="1621" t="s">
        <v>857</v>
      </c>
      <c r="B23" s="1592" t="s">
        <v>1234</v>
      </c>
      <c r="C23" s="287">
        <f ca="1">IF('数据-取费表'!B22&lt;=1,ROUND(C19*F24*F23/2,0)+ROUND(C20*F24*F23/2,0),ROUND(C19*(POWER((1+F24),F23/2)-1),0)+ROUND(C20*(POWER((1+F24),F23/2)-1),0))</f>
        <v>0</v>
      </c>
      <c r="D23" s="1635" t="str">
        <f>IF(F23&lt;=1,"(建造成本+管理费用)×利率×(建设周期÷2)","(建造成本+管理费用)×((1+利率)^(建设周期÷2)-1)")</f>
        <v>(建造成本+管理费用)×((1+利率)^(建设周期÷2)-1)</v>
      </c>
      <c r="E23" s="1592" t="s">
        <v>1235</v>
      </c>
      <c r="F23" s="1636">
        <f>'数据-取费表'!B20</f>
        <v>2</v>
      </c>
      <c r="G23" s="1628"/>
      <c r="H23" s="1621" t="s">
        <v>882</v>
      </c>
      <c r="I23" s="1592" t="s">
        <v>1236</v>
      </c>
      <c r="J23" s="287">
        <f ca="1">ROUND(J13*M23,0)</f>
        <v>0</v>
      </c>
      <c r="K23" s="1645" t="s">
        <v>1237</v>
      </c>
      <c r="L23" s="1592" t="s">
        <v>1204</v>
      </c>
      <c r="M23" s="1657">
        <f ca="1">INDIRECT("'数据-取费表'!Al"&amp;$G$1)</f>
        <v>0</v>
      </c>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row>
    <row r="24" spans="1:37" s="1558" customFormat="1" ht="18" customHeight="1">
      <c r="A24" s="1621" t="s">
        <v>862</v>
      </c>
      <c r="B24" s="1592" t="s">
        <v>1238</v>
      </c>
      <c r="C24" s="287">
        <f ca="1">ROUND(IF('数据-取费表'!B22&lt;=1,F21*F24*F23/2,F21*(POWER((1+F24),F23/2)-1)),4)</f>
        <v>1E-3</v>
      </c>
      <c r="D24" s="1635" t="str">
        <f>IF(F23&lt;=1,"销售费用×利率×(建设周期÷2)","销售费用×((1+利率)^(建设周期÷2)-1)")</f>
        <v>销售费用×((1+利率)^(建设周期÷2)-1)</v>
      </c>
      <c r="E24" s="1592" t="s">
        <v>1239</v>
      </c>
      <c r="F24" s="1637">
        <f ca="1">'数据-取费表'!B40</f>
        <v>4.7500000000000001E-2</v>
      </c>
      <c r="G24" s="1628"/>
      <c r="H24" s="1629" t="s">
        <v>886</v>
      </c>
      <c r="I24" s="1614" t="s">
        <v>1222</v>
      </c>
      <c r="J24" s="1638">
        <f ca="1">ROUND(J5*M24,0)</f>
        <v>0</v>
      </c>
      <c r="K24" s="1639" t="s">
        <v>1240</v>
      </c>
      <c r="L24" s="1614" t="s">
        <v>1204</v>
      </c>
      <c r="M24" s="1615">
        <f ca="1">INDIRECT("'数据-取费表'!Am"&amp;$G$1)</f>
        <v>0</v>
      </c>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row>
    <row r="25" spans="1:37" ht="18" customHeight="1">
      <c r="A25" s="1621" t="s">
        <v>889</v>
      </c>
      <c r="B25" s="1592" t="s">
        <v>1241</v>
      </c>
      <c r="C25" s="287"/>
      <c r="D25" s="1632" t="s">
        <v>1242</v>
      </c>
      <c r="E25" s="289"/>
      <c r="F25" s="1631"/>
      <c r="G25" s="1582"/>
      <c r="H25" s="1616" t="s">
        <v>1243</v>
      </c>
      <c r="I25" s="1658" t="s">
        <v>1244</v>
      </c>
      <c r="J25" s="1618">
        <f ca="1">J5-J16</f>
        <v>0</v>
      </c>
      <c r="K25" s="1659" t="s">
        <v>1245</v>
      </c>
      <c r="L25" s="1660"/>
      <c r="M25" s="1661"/>
    </row>
    <row r="26" spans="1:37" ht="18" customHeight="1">
      <c r="A26" s="1621" t="s">
        <v>857</v>
      </c>
      <c r="B26" s="1592" t="s">
        <v>1246</v>
      </c>
      <c r="C26" s="287">
        <f ca="1">ROUND((C19+C20)*F26,0)</f>
        <v>0</v>
      </c>
      <c r="D26" s="1633" t="s">
        <v>1247</v>
      </c>
      <c r="E26" s="1603" t="s">
        <v>1248</v>
      </c>
      <c r="F26" s="1600">
        <f ca="1">INDIRECT("'数据-取费表'!q"&amp;$G$1)</f>
        <v>0</v>
      </c>
      <c r="G26" s="1582"/>
      <c r="H26" s="1583" t="s">
        <v>1249</v>
      </c>
      <c r="I26" s="1584" t="s">
        <v>1250</v>
      </c>
      <c r="J26" s="1662">
        <f ca="1">IF(J5&lt;&gt;0,ROUND(J25*(1-((1+M28)/(1+M26))^M27)/(M26-M28),0),0)</f>
        <v>0</v>
      </c>
      <c r="K26" s="1650" t="s">
        <v>1251</v>
      </c>
      <c r="L26" s="1592" t="s">
        <v>1252</v>
      </c>
      <c r="M26" s="1600">
        <f ca="1">INDIRECT("'数据-取费表'!I"&amp;$G$1)</f>
        <v>0</v>
      </c>
    </row>
    <row r="27" spans="1:37" ht="18" customHeight="1">
      <c r="A27" s="1621" t="s">
        <v>862</v>
      </c>
      <c r="B27" s="1592" t="s">
        <v>1253</v>
      </c>
      <c r="C27" s="287">
        <f ca="1">ROUND(F21*F26,4)</f>
        <v>0</v>
      </c>
      <c r="D27" s="1633" t="s">
        <v>1254</v>
      </c>
      <c r="E27" s="1626"/>
      <c r="F27" s="1627"/>
      <c r="G27" s="1582"/>
      <c r="H27" s="1598"/>
      <c r="I27" s="1664"/>
      <c r="J27" s="1599"/>
      <c r="K27" s="1665" t="s">
        <v>1255</v>
      </c>
      <c r="L27" s="1592" t="s">
        <v>1256</v>
      </c>
      <c r="M27" s="1666">
        <f ca="1">INDIRECT("'数据-取费表'!ag"&amp;$G$1)</f>
        <v>0</v>
      </c>
    </row>
    <row r="28" spans="1:37" s="1558" customFormat="1" ht="18" customHeight="1">
      <c r="A28" s="1621" t="s">
        <v>890</v>
      </c>
      <c r="B28" s="1592" t="s">
        <v>1257</v>
      </c>
      <c r="C28" s="287">
        <f>ROUND(F28/(1+'数据-取费表'!C42),4)</f>
        <v>5.2400000000000002E-2</v>
      </c>
      <c r="D28" s="1633" t="s">
        <v>1258</v>
      </c>
      <c r="E28" s="1592" t="s">
        <v>1204</v>
      </c>
      <c r="F28" s="1630">
        <f>'数据-取费表'!B41</f>
        <v>5.5E-2</v>
      </c>
      <c r="G28" s="1628"/>
      <c r="H28" s="1605"/>
      <c r="I28" s="1668"/>
      <c r="J28" s="1618"/>
      <c r="K28" s="1654"/>
      <c r="L28" s="1592" t="s">
        <v>1259</v>
      </c>
      <c r="M28" s="1600">
        <f ca="1">INDIRECT("'数据-取费表'!aa"&amp;$G$1)</f>
        <v>0</v>
      </c>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row>
    <row r="29" spans="1:37" s="1558" customFormat="1" ht="18" customHeight="1">
      <c r="A29" s="1629" t="s">
        <v>1163</v>
      </c>
      <c r="B29" s="1614" t="s">
        <v>1260</v>
      </c>
      <c r="C29" s="1638">
        <f ca="1">ROUND((C19+C20+C23+C26)/(1-F21-C24-C27-C28),0)</f>
        <v>0</v>
      </c>
      <c r="D29" s="1639"/>
      <c r="E29" s="1614"/>
      <c r="F29" s="1640"/>
      <c r="G29" s="1628"/>
      <c r="H29" s="1641" t="s">
        <v>1261</v>
      </c>
      <c r="I29" s="1669" t="s">
        <v>1262</v>
      </c>
      <c r="J29" s="1670">
        <f ca="1">ROUND(J26/(1+F40)^F41,0)</f>
        <v>0</v>
      </c>
      <c r="K29" s="1671" t="s">
        <v>1263</v>
      </c>
      <c r="L29" s="1672"/>
      <c r="M29" s="1673">
        <f ca="1">INDIRECT("'数据-取费表'!k"&amp;$G$1)</f>
        <v>0</v>
      </c>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row>
    <row r="30" spans="1:37" ht="18" customHeight="1">
      <c r="A30" s="1616" t="s">
        <v>1205</v>
      </c>
      <c r="B30" s="1617" t="s">
        <v>1206</v>
      </c>
      <c r="C30" s="1618">
        <f ca="1">ROUND(C31+C36+C37+C38,0)</f>
        <v>0</v>
      </c>
      <c r="D30" s="1642" t="s">
        <v>1207</v>
      </c>
      <c r="E30" s="1643"/>
      <c r="F30" s="1588"/>
      <c r="G30" s="1582"/>
      <c r="H30" s="1644"/>
      <c r="I30" s="1749"/>
      <c r="J30" s="1750"/>
      <c r="K30" s="1734"/>
      <c r="L30" s="1751"/>
      <c r="M30" s="1752"/>
    </row>
    <row r="31" spans="1:37" ht="18" customHeight="1">
      <c r="A31" s="1621" t="s">
        <v>834</v>
      </c>
      <c r="B31" s="1592" t="s">
        <v>1212</v>
      </c>
      <c r="C31" s="287">
        <f ca="1">ROUND(IF(项目基本情况!B11="自然人",C5*F31,C32+C33+C34),0)</f>
        <v>0</v>
      </c>
      <c r="D31" s="1623" t="s">
        <v>1213</v>
      </c>
      <c r="E31" s="1645" t="s">
        <v>1214</v>
      </c>
      <c r="F31" s="1646" t="str">
        <f ca="1">IF(项目基本情况!B11="企业","",IF(INDIRECT("'数据-取费表'!c"&amp;$G$1)="住宅",5%,IF(F6*F7*F8/12/(1+'数据-取费表'!C42)&gt;20000,12%,7%)))</f>
        <v/>
      </c>
      <c r="G31" s="1582"/>
      <c r="H31" s="1644"/>
      <c r="I31" s="1749"/>
      <c r="J31" s="1750"/>
      <c r="K31" s="1734"/>
      <c r="L31" s="1751"/>
      <c r="M31" s="1752"/>
    </row>
    <row r="32" spans="1:37" ht="18" customHeight="1">
      <c r="A32" s="1621" t="s">
        <v>857</v>
      </c>
      <c r="B32" s="1592" t="s">
        <v>1216</v>
      </c>
      <c r="C32" s="287">
        <f ca="1">IF(项目基本情况!B11="自然人","——",ROUND(C5*F32/(1+'数据-取费表'!C42),0))</f>
        <v>0</v>
      </c>
      <c r="D32" s="1645" t="s">
        <v>1217</v>
      </c>
      <c r="E32" s="1592" t="s">
        <v>1204</v>
      </c>
      <c r="F32" s="1637">
        <f>'数据-取费表'!B41</f>
        <v>5.5E-2</v>
      </c>
      <c r="G32" s="1582"/>
      <c r="H32" s="1644"/>
      <c r="I32" s="1749"/>
      <c r="J32" s="1750"/>
      <c r="K32" s="1734"/>
      <c r="L32" s="1751"/>
      <c r="M32" s="1752"/>
    </row>
    <row r="33" spans="1:18" ht="18" customHeight="1">
      <c r="A33" s="1621" t="s">
        <v>862</v>
      </c>
      <c r="B33" s="1592" t="s">
        <v>1220</v>
      </c>
      <c r="C33" s="287">
        <f ca="1">IF(项目基本情况!B11="自然人","——",IF(D33="按租金收入计税",ROUND(C5*F33,0),IF(D33="按房产原值计税",ROUND(C29*F33*0.7,0),INDIRECT("'数据-取费表'!Aj"&amp;$G$1))))</f>
        <v>0</v>
      </c>
      <c r="D33" s="1647" t="s">
        <v>1221</v>
      </c>
      <c r="E33" s="1592" t="s">
        <v>1204</v>
      </c>
      <c r="F33" s="1630">
        <f>IF(D33="按票据","——",IF(D33="按租金收入计税",'数据-取费表'!B51,'数据-取费表'!B50))</f>
        <v>1.2E-2</v>
      </c>
      <c r="G33" s="1582"/>
      <c r="H33" s="1648"/>
      <c r="I33" s="1753"/>
      <c r="J33" s="1754"/>
      <c r="K33" s="1755"/>
      <c r="L33" s="1648"/>
      <c r="M33" s="1648"/>
    </row>
    <row r="34" spans="1:18" ht="18" customHeight="1">
      <c r="A34" s="1589" t="s">
        <v>865</v>
      </c>
      <c r="B34" s="1591" t="s">
        <v>1224</v>
      </c>
      <c r="C34" s="1649">
        <f ca="1">IF(项目基本情况!B11="自然人","——",ROUND(F34*F35,))</f>
        <v>0</v>
      </c>
      <c r="D34" s="1650" t="s">
        <v>1225</v>
      </c>
      <c r="E34" s="1592" t="s">
        <v>1226</v>
      </c>
      <c r="F34" s="1636">
        <f>'数据-取费表'!B52</f>
        <v>6</v>
      </c>
      <c r="G34" s="1582"/>
      <c r="H34" s="1644"/>
      <c r="I34" s="1753"/>
      <c r="J34" s="1754"/>
      <c r="K34" s="1756"/>
      <c r="L34" s="1757"/>
      <c r="M34" s="1757"/>
    </row>
    <row r="35" spans="1:18" ht="18" customHeight="1">
      <c r="A35" s="1651"/>
      <c r="B35" s="1652"/>
      <c r="C35" s="1653"/>
      <c r="D35" s="1654"/>
      <c r="E35" s="1592" t="s">
        <v>1230</v>
      </c>
      <c r="F35" s="1593">
        <f ca="1">INDIRECT("'数据-取费表'!r"&amp;$G$1)</f>
        <v>0</v>
      </c>
      <c r="G35" s="1582"/>
      <c r="H35" s="1644"/>
      <c r="I35" s="1753"/>
      <c r="J35" s="1754"/>
      <c r="K35" s="1755"/>
      <c r="L35" s="1648"/>
      <c r="M35" s="1648"/>
    </row>
    <row r="36" spans="1:18" ht="18" customHeight="1">
      <c r="A36" s="1655" t="s">
        <v>838</v>
      </c>
      <c r="B36" s="1592" t="s">
        <v>1232</v>
      </c>
      <c r="C36" s="287">
        <f ca="1">ROUND(C29*F36,0)</f>
        <v>0</v>
      </c>
      <c r="D36" s="1645" t="s">
        <v>1265</v>
      </c>
      <c r="E36" s="1592" t="s">
        <v>1204</v>
      </c>
      <c r="F36" s="1656">
        <f ca="1">INDIRECT("'数据-取费表'!Ak"&amp;$G$1)</f>
        <v>0</v>
      </c>
      <c r="G36" s="1582"/>
      <c r="H36" s="1648"/>
      <c r="I36" s="1753"/>
      <c r="J36" s="1754"/>
      <c r="K36" s="1758"/>
      <c r="L36" s="1648"/>
      <c r="M36" s="1648"/>
    </row>
    <row r="37" spans="1:18" ht="18" customHeight="1">
      <c r="A37" s="1621" t="s">
        <v>882</v>
      </c>
      <c r="B37" s="1592" t="s">
        <v>1236</v>
      </c>
      <c r="C37" s="287">
        <f ca="1">ROUND(C13*F37,0)</f>
        <v>0</v>
      </c>
      <c r="D37" s="1645" t="s">
        <v>1237</v>
      </c>
      <c r="E37" s="1592" t="s">
        <v>1204</v>
      </c>
      <c r="F37" s="1657">
        <f ca="1">INDIRECT("'数据-取费表'!Al"&amp;$G$1)</f>
        <v>0</v>
      </c>
      <c r="G37" s="1582"/>
      <c r="H37" s="1648"/>
      <c r="I37" s="1753"/>
      <c r="J37" s="1754"/>
      <c r="K37" s="1758"/>
      <c r="L37" s="1648"/>
      <c r="M37" s="1648"/>
    </row>
    <row r="38" spans="1:18" ht="18" customHeight="1">
      <c r="A38" s="1629" t="s">
        <v>886</v>
      </c>
      <c r="B38" s="1614" t="s">
        <v>1222</v>
      </c>
      <c r="C38" s="1638">
        <f ca="1">ROUND(C5*F38,1)</f>
        <v>0</v>
      </c>
      <c r="D38" s="1639" t="s">
        <v>1240</v>
      </c>
      <c r="E38" s="1614" t="s">
        <v>1204</v>
      </c>
      <c r="F38" s="1615">
        <f ca="1">INDIRECT("'数据-取费表'!Am"&amp;$G$1)</f>
        <v>0</v>
      </c>
      <c r="G38" s="1582"/>
      <c r="H38" s="1648"/>
      <c r="I38" s="1753"/>
      <c r="J38" s="1754"/>
      <c r="K38" s="1759"/>
      <c r="L38" s="1648"/>
      <c r="M38" s="1648"/>
    </row>
    <row r="39" spans="1:18" ht="24.6" customHeight="1">
      <c r="A39" s="1616" t="s">
        <v>1243</v>
      </c>
      <c r="B39" s="1658" t="s">
        <v>1244</v>
      </c>
      <c r="C39" s="1618">
        <f ca="1">C5-C30</f>
        <v>0</v>
      </c>
      <c r="D39" s="1659" t="s">
        <v>1245</v>
      </c>
      <c r="E39" s="1660"/>
      <c r="F39" s="1661"/>
      <c r="G39" s="1582"/>
      <c r="H39" s="1648"/>
      <c r="I39" s="1753"/>
      <c r="J39" s="1754"/>
      <c r="K39" s="1759"/>
      <c r="L39" s="1648"/>
      <c r="M39" s="1648"/>
    </row>
    <row r="40" spans="1:18" ht="18" customHeight="1">
      <c r="A40" s="1583" t="s">
        <v>1249</v>
      </c>
      <c r="B40" s="1584" t="s">
        <v>1266</v>
      </c>
      <c r="C40" s="1662" t="e">
        <f ca="1">ROUND(C39*(1-((1+F42)/(1+F40))^F41)/(F40-F42),0)</f>
        <v>#DIV/0!</v>
      </c>
      <c r="D40" s="1650" t="s">
        <v>1251</v>
      </c>
      <c r="E40" s="1592" t="s">
        <v>1252</v>
      </c>
      <c r="F40" s="1600">
        <f ca="1">INDIRECT("'数据-取费表'!I"&amp;$G$1)</f>
        <v>0</v>
      </c>
      <c r="G40" s="1582"/>
      <c r="H40" s="1663"/>
      <c r="I40" s="1753"/>
      <c r="J40" s="1754"/>
      <c r="K40" s="1759"/>
      <c r="L40" s="1663"/>
      <c r="M40" s="1663"/>
    </row>
    <row r="41" spans="1:18" ht="18" customHeight="1">
      <c r="A41" s="1598"/>
      <c r="B41" s="1664"/>
      <c r="C41" s="1599"/>
      <c r="D41" s="1665" t="s">
        <v>1255</v>
      </c>
      <c r="E41" s="1592" t="s">
        <v>1256</v>
      </c>
      <c r="F41" s="1666">
        <f ca="1">IF(INDIRECT("'数据-取费表'!af"&amp;$G$1)=0,INDIRECT("'数据-取费表'!ae"&amp;$G$1),INDIRECT("'数据-取费表'!af"&amp;$G$1))</f>
        <v>0</v>
      </c>
      <c r="G41" s="1582"/>
      <c r="H41" s="1667"/>
      <c r="I41" s="1753"/>
      <c r="J41" s="1754"/>
      <c r="K41" s="1758"/>
      <c r="L41" s="1667"/>
      <c r="M41" s="1667"/>
    </row>
    <row r="42" spans="1:18" ht="18" customHeight="1">
      <c r="A42" s="1605"/>
      <c r="B42" s="1668"/>
      <c r="C42" s="1618"/>
      <c r="D42" s="1654"/>
      <c r="E42" s="1592" t="s">
        <v>1259</v>
      </c>
      <c r="F42" s="1600">
        <f ca="1">INDIRECT("'数据-取费表'!v"&amp;$G$1)</f>
        <v>0</v>
      </c>
      <c r="G42" s="1582"/>
      <c r="H42" s="1667"/>
      <c r="I42" s="1753"/>
      <c r="J42" s="1754"/>
      <c r="K42" s="1758"/>
      <c r="L42" s="1667"/>
      <c r="M42" s="1667"/>
    </row>
    <row r="43" spans="1:18" ht="18" customHeight="1">
      <c r="A43" s="1641" t="s">
        <v>1261</v>
      </c>
      <c r="B43" s="1669" t="s">
        <v>1267</v>
      </c>
      <c r="C43" s="1670" t="e">
        <f ca="1">ROUND(C40/F43,0)</f>
        <v>#DIV/0!</v>
      </c>
      <c r="D43" s="1671" t="s">
        <v>1268</v>
      </c>
      <c r="E43" s="1672" t="s">
        <v>1269</v>
      </c>
      <c r="F43" s="1673">
        <f ca="1">INDIRECT("'数据-取费表'!k"&amp;$G$1)</f>
        <v>0</v>
      </c>
      <c r="G43" s="1582"/>
      <c r="H43" s="1667"/>
      <c r="I43" s="1667"/>
      <c r="J43" s="1667"/>
      <c r="K43" s="1758"/>
      <c r="L43" s="1667"/>
      <c r="M43" s="1667"/>
    </row>
    <row r="44" spans="1:18" s="747" customFormat="1" ht="18" customHeight="1">
      <c r="A44" s="1674"/>
      <c r="B44" s="1674"/>
      <c r="C44" s="1675"/>
      <c r="D44" s="1674"/>
      <c r="E44" s="1674"/>
      <c r="F44" s="1674"/>
      <c r="K44" s="1760"/>
    </row>
    <row r="45" spans="1:18" s="747" customFormat="1" ht="18" customHeight="1">
      <c r="A45" s="1674"/>
      <c r="B45" s="1674"/>
      <c r="C45" s="1676" t="e">
        <f ca="1">C68-C40</f>
        <v>#DIV/0!</v>
      </c>
      <c r="D45" s="1677" t="s">
        <v>1366</v>
      </c>
      <c r="E45" s="1674"/>
      <c r="F45" s="1674"/>
      <c r="O45" s="1761" t="s">
        <v>1270</v>
      </c>
      <c r="P45" s="1663"/>
      <c r="Q45" s="1663"/>
      <c r="R45" s="1663"/>
    </row>
    <row r="46" spans="1:18" s="747" customFormat="1">
      <c r="A46" s="1678" t="s">
        <v>1271</v>
      </c>
      <c r="C46" s="1679" t="e">
        <f ca="1">ROUND(C45/10000,0)</f>
        <v>#DIV/0!</v>
      </c>
      <c r="D46" s="1680" t="str">
        <f>C2</f>
        <v>万元</v>
      </c>
      <c r="I46" s="1762" t="s">
        <v>1272</v>
      </c>
      <c r="J46" s="1763"/>
      <c r="K46" s="1764"/>
      <c r="L46" s="1765" t="e">
        <f ca="1">IF(M47="住宅",0,IF(L48&gt;J51,L60,J60))</f>
        <v>#DIV/0!</v>
      </c>
      <c r="O46" s="1766" t="s">
        <v>1273</v>
      </c>
      <c r="P46" s="1767" t="s">
        <v>1274</v>
      </c>
      <c r="Q46" s="1811" t="s">
        <v>1275</v>
      </c>
      <c r="R46" s="1811" t="s">
        <v>1276</v>
      </c>
    </row>
    <row r="47" spans="1:18" s="747" customFormat="1">
      <c r="A47" s="1681" t="s">
        <v>1175</v>
      </c>
      <c r="B47" s="1682" t="s">
        <v>1176</v>
      </c>
      <c r="C47" s="1682" t="s">
        <v>1177</v>
      </c>
      <c r="D47" s="1682" t="s">
        <v>1178</v>
      </c>
      <c r="E47" s="1683" t="s">
        <v>1179</v>
      </c>
      <c r="F47" s="280"/>
      <c r="G47" s="1684"/>
      <c r="I47" s="1768" t="s">
        <v>1277</v>
      </c>
      <c r="J47" s="1769"/>
      <c r="K47" s="1770" t="s">
        <v>1279</v>
      </c>
      <c r="L47" s="1771">
        <f ca="1">INDIRECT("'数据-取费表'!d"&amp;$G$1)</f>
        <v>0</v>
      </c>
      <c r="M47" s="1772" t="str">
        <f>IF(ISNUMBER(FIND("住宅",C1)),"住宅","非住宅")</f>
        <v>非住宅</v>
      </c>
      <c r="O47" s="1773" t="s">
        <v>1025</v>
      </c>
      <c r="P47" s="1774" t="s">
        <v>1280</v>
      </c>
      <c r="Q47" s="1812" t="e">
        <f ca="1">C40+J29</f>
        <v>#DIV/0!</v>
      </c>
      <c r="R47" s="1812" t="s">
        <v>1281</v>
      </c>
    </row>
    <row r="48" spans="1:18" s="747" customFormat="1" ht="27.75">
      <c r="A48" s="1685" t="s">
        <v>1282</v>
      </c>
      <c r="B48" s="1584" t="s">
        <v>1180</v>
      </c>
      <c r="C48" s="288">
        <f ca="1">C49+C53+C55</f>
        <v>0</v>
      </c>
      <c r="D48" s="1686"/>
      <c r="E48" s="1687"/>
      <c r="F48" s="1688"/>
      <c r="G48" s="1684"/>
      <c r="H48" s="1689"/>
      <c r="I48" s="804" t="s">
        <v>1283</v>
      </c>
      <c r="J48" s="1775"/>
      <c r="K48" s="1776" t="s">
        <v>1285</v>
      </c>
      <c r="L48" s="1777">
        <f ca="1">INDIRECT("'数据-取费表'!f"&amp;$G$1)</f>
        <v>0</v>
      </c>
      <c r="O48" s="1773" t="s">
        <v>1029</v>
      </c>
      <c r="P48" s="1774" t="s">
        <v>1286</v>
      </c>
      <c r="Q48" s="1812" t="e">
        <f ca="1">J60</f>
        <v>#DIV/0!</v>
      </c>
      <c r="R48" s="1812" t="s">
        <v>1287</v>
      </c>
    </row>
    <row r="49" spans="1:18" s="747" customFormat="1">
      <c r="A49" s="1690" t="s">
        <v>1288</v>
      </c>
      <c r="B49" s="1691" t="s">
        <v>1289</v>
      </c>
      <c r="C49" s="1692">
        <f ca="1">ROUND(F49*F51*F50*(1-F52),0)</f>
        <v>0</v>
      </c>
      <c r="D49" s="1693" t="s">
        <v>1367</v>
      </c>
      <c r="E49" s="1694" t="s">
        <v>1290</v>
      </c>
      <c r="F49" s="1695"/>
      <c r="G49" s="1696"/>
      <c r="H49" s="1689"/>
      <c r="I49" s="804" t="s">
        <v>1291</v>
      </c>
      <c r="J49" s="1778"/>
      <c r="K49" s="1776" t="s">
        <v>1292</v>
      </c>
      <c r="L49" s="1779"/>
      <c r="O49" s="1780" t="s">
        <v>1293</v>
      </c>
      <c r="P49" s="1774" t="s">
        <v>1294</v>
      </c>
      <c r="Q49" s="1812">
        <f ca="1">C29</f>
        <v>0</v>
      </c>
      <c r="R49" s="1812" t="s">
        <v>1281</v>
      </c>
    </row>
    <row r="50" spans="1:18" s="747" customFormat="1">
      <c r="A50" s="1697"/>
      <c r="B50" s="1698"/>
      <c r="C50" s="1699"/>
      <c r="D50" s="1700"/>
      <c r="E50" s="1701" t="s">
        <v>1186</v>
      </c>
      <c r="F50" s="1702">
        <f ca="1">F7</f>
        <v>0</v>
      </c>
      <c r="H50" s="1689"/>
      <c r="I50" s="804" t="s">
        <v>1295</v>
      </c>
      <c r="J50" s="1781">
        <f>SUMPRODUCT((I63:I65=J47)*(J62:L62=J48)*(J63:L65))</f>
        <v>0</v>
      </c>
      <c r="K50" s="1776" t="s">
        <v>1296</v>
      </c>
      <c r="L50" s="1779"/>
      <c r="M50" s="1782"/>
      <c r="O50" s="1780" t="s">
        <v>1297</v>
      </c>
      <c r="P50" s="1774" t="s">
        <v>1298</v>
      </c>
      <c r="Q50" s="1813" t="e">
        <f ca="1">J58</f>
        <v>#DIV/0!</v>
      </c>
      <c r="R50" s="1812"/>
    </row>
    <row r="51" spans="1:18" s="747" customFormat="1">
      <c r="A51" s="1703"/>
      <c r="B51" s="1698"/>
      <c r="C51" s="1699"/>
      <c r="D51" s="1700"/>
      <c r="E51" s="1704" t="s">
        <v>1187</v>
      </c>
      <c r="F51" s="1593">
        <f ca="1">F8</f>
        <v>0</v>
      </c>
      <c r="I51" s="1783" t="s">
        <v>1299</v>
      </c>
      <c r="J51" s="1784">
        <f>IF(J49="",J50,J49+J50-YEAR('数据-取费表'!B2))</f>
        <v>0</v>
      </c>
      <c r="K51" s="1785" t="s">
        <v>1300</v>
      </c>
      <c r="L51" s="1786">
        <f ca="1">ROUND(-PV(INDIRECT("'数据-取费表'!h"&amp;$G$1),L48,(C39-C13*C76),0),0)</f>
        <v>0</v>
      </c>
      <c r="M51" s="1787"/>
      <c r="O51" s="1780" t="s">
        <v>1301</v>
      </c>
      <c r="P51" s="1774" t="s">
        <v>1302</v>
      </c>
      <c r="Q51" s="1813">
        <f>J52</f>
        <v>0</v>
      </c>
      <c r="R51" s="1812"/>
    </row>
    <row r="52" spans="1:18" s="747" customFormat="1">
      <c r="A52" s="1703"/>
      <c r="B52" s="1698"/>
      <c r="C52" s="1699"/>
      <c r="D52" s="1700"/>
      <c r="E52" s="1704" t="s">
        <v>1188</v>
      </c>
      <c r="F52" s="1705"/>
      <c r="I52" s="1788" t="s">
        <v>1303</v>
      </c>
      <c r="J52" s="1789"/>
      <c r="K52" s="1788" t="s">
        <v>1304</v>
      </c>
      <c r="L52" s="1789"/>
      <c r="O52" s="1780" t="s">
        <v>1305</v>
      </c>
      <c r="P52" s="1774" t="s">
        <v>1306</v>
      </c>
      <c r="Q52" s="1812" t="b">
        <f>J53</f>
        <v>0</v>
      </c>
      <c r="R52" s="1812" t="s">
        <v>1307</v>
      </c>
    </row>
    <row r="53" spans="1:18" s="747" customFormat="1" ht="30.75" customHeight="1">
      <c r="A53" s="1706" t="s">
        <v>1308</v>
      </c>
      <c r="B53" s="1633" t="s">
        <v>1189</v>
      </c>
      <c r="C53" s="286">
        <f ca="1">ROUND(IF(F53="押一",C49/12*F11,IF(F53="押二",C49/12*2*F11,IF(F53="押三",C49/12*3*F11,C54*F11))),0)</f>
        <v>0</v>
      </c>
      <c r="D53" s="1602" t="s">
        <v>1368</v>
      </c>
      <c r="E53" s="1603" t="s">
        <v>1191</v>
      </c>
      <c r="F53" s="1604"/>
      <c r="I53" s="1790" t="s">
        <v>1309</v>
      </c>
      <c r="J53" s="1791" t="b">
        <f>IF(M47="住宅",IF(D1="——",MAX(J51,L48),IF(D1="在建（套用方法）",MAX(J51,L48-'数据-取费表'!B24),MAX(J51,L48-'数据-取费表'!B20))),IF(D1="——",MIN(J51,L48),IF(D1="在建（套用方法）",MIN(J51,L48-'数据-取费表'!B24),IF(D1="土地（套用方法）",MIN(J51,L48-'数据-取费表'!B20)))))</f>
        <v>0</v>
      </c>
      <c r="K53" s="3213" t="s">
        <v>1310</v>
      </c>
      <c r="L53" s="3214"/>
      <c r="O53" s="1773" t="s">
        <v>1130</v>
      </c>
      <c r="P53" s="1774" t="s">
        <v>1311</v>
      </c>
      <c r="Q53" s="1812" t="e">
        <f ca="1">Q47+Q48</f>
        <v>#DIV/0!</v>
      </c>
      <c r="R53" s="1812" t="s">
        <v>1312</v>
      </c>
    </row>
    <row r="54" spans="1:18" s="747" customFormat="1">
      <c r="A54" s="1690"/>
      <c r="B54" s="1707" t="s">
        <v>1365</v>
      </c>
      <c r="C54" s="1607"/>
      <c r="D54" s="1602"/>
      <c r="E54" s="1708"/>
      <c r="F54" s="1709"/>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3"/>
      <c r="K54" s="1793"/>
      <c r="L54" s="1793"/>
      <c r="M54" s="1696"/>
      <c r="O54" s="1761" t="s">
        <v>1313</v>
      </c>
      <c r="P54" s="1663"/>
      <c r="Q54" s="1663"/>
      <c r="R54" s="1663"/>
    </row>
    <row r="55" spans="1:18" s="747" customFormat="1">
      <c r="A55" s="1610" t="s">
        <v>882</v>
      </c>
      <c r="B55" s="1611" t="s">
        <v>1196</v>
      </c>
      <c r="C55" s="1612"/>
      <c r="D55" s="1602"/>
      <c r="E55" s="1708"/>
      <c r="F55" s="1709"/>
      <c r="I55" s="1794" t="s">
        <v>1314</v>
      </c>
      <c r="J55" s="1795" t="e">
        <f ca="1">ROUND(IF(J47="钢混",J57/J50,1-(1-2%)*(J50-J57)/J50),3)</f>
        <v>#DIV/0!</v>
      </c>
      <c r="K55" s="1796" t="s">
        <v>1315</v>
      </c>
      <c r="L55" s="1797"/>
      <c r="O55" s="1766" t="s">
        <v>1273</v>
      </c>
      <c r="P55" s="1767" t="s">
        <v>1274</v>
      </c>
      <c r="Q55" s="1811" t="s">
        <v>1275</v>
      </c>
      <c r="R55" s="1811" t="s">
        <v>1276</v>
      </c>
    </row>
    <row r="56" spans="1:18" s="747" customFormat="1" ht="36" customHeight="1">
      <c r="A56" s="1710">
        <v>2</v>
      </c>
      <c r="B56" s="1711" t="s">
        <v>1197</v>
      </c>
      <c r="C56" s="180">
        <f ca="1">C13</f>
        <v>0</v>
      </c>
      <c r="D56" s="1712"/>
      <c r="E56" s="1713"/>
      <c r="F56" s="1709"/>
      <c r="I56" s="1798" t="s">
        <v>1317</v>
      </c>
      <c r="J56" s="1799"/>
      <c r="K56" s="804" t="s">
        <v>1318</v>
      </c>
      <c r="L56" s="1777">
        <f ca="1">IF(L48&lt;J51,"——",L48-J51)</f>
        <v>0</v>
      </c>
      <c r="O56" s="1773" t="s">
        <v>1025</v>
      </c>
      <c r="P56" s="1774" t="s">
        <v>1280</v>
      </c>
      <c r="Q56" s="1812" t="e">
        <f ca="1">C40+J29</f>
        <v>#DIV/0!</v>
      </c>
      <c r="R56" s="1812" t="s">
        <v>1281</v>
      </c>
    </row>
    <row r="57" spans="1:18" s="747" customFormat="1" ht="24">
      <c r="A57" s="1714"/>
      <c r="B57" s="1715" t="s">
        <v>1260</v>
      </c>
      <c r="C57" s="190">
        <f ca="1">C29</f>
        <v>0</v>
      </c>
      <c r="D57" s="1716"/>
      <c r="E57" s="1717"/>
      <c r="F57" s="1718"/>
      <c r="I57" s="1800" t="s">
        <v>1319</v>
      </c>
      <c r="J57" s="1801">
        <f ca="1">IF(OR(M47="住宅",J51&lt;L48,J56="是"),"——",J51-L48)</f>
        <v>0</v>
      </c>
      <c r="K57" s="804" t="s">
        <v>1369</v>
      </c>
      <c r="L57" s="1777">
        <f ca="1">IF(L48&lt;J51,"——",IF(L55="比较法",L49,IF(L55="基准地价",L50,L51)))</f>
        <v>0</v>
      </c>
      <c r="O57" s="1773" t="s">
        <v>1029</v>
      </c>
      <c r="P57" s="1774" t="s">
        <v>1321</v>
      </c>
      <c r="Q57" s="1812" t="e">
        <f ca="1">L60</f>
        <v>#DIV/0!</v>
      </c>
      <c r="R57" s="1812" t="s">
        <v>1322</v>
      </c>
    </row>
    <row r="58" spans="1:18" s="747" customFormat="1" ht="24">
      <c r="A58" s="1719" t="s">
        <v>1205</v>
      </c>
      <c r="B58" s="1711" t="s">
        <v>1206</v>
      </c>
      <c r="C58" s="286">
        <f ca="1">ROUND(C59+C64+C65+C66,0)</f>
        <v>0</v>
      </c>
      <c r="D58" s="1720" t="s">
        <v>1207</v>
      </c>
      <c r="E58" s="1721"/>
      <c r="F58" s="1688"/>
      <c r="I58" s="1800" t="s">
        <v>1323</v>
      </c>
      <c r="J58" s="1802" t="e">
        <f ca="1">IF(J55&lt;0.4,0.4,J55)</f>
        <v>#DIV/0!</v>
      </c>
      <c r="K58" s="1785" t="s">
        <v>1370</v>
      </c>
      <c r="L58" s="1777" t="e">
        <f ca="1">ROUND(POWER(1+L52,L47-L48)*(POWER(1+L52,L48)-1)/(POWER(1+L52,L47)-1),4)</f>
        <v>#DIV/0!</v>
      </c>
      <c r="O58" s="1780" t="s">
        <v>1293</v>
      </c>
      <c r="P58" s="1774" t="s">
        <v>1325</v>
      </c>
      <c r="Q58" s="1812">
        <f>IF(L55="比较法",L49,IF(L55="基准地价",L50,0))</f>
        <v>0</v>
      </c>
      <c r="R58" s="1812" t="s">
        <v>1281</v>
      </c>
    </row>
    <row r="59" spans="1:18" s="747" customFormat="1" ht="24">
      <c r="A59" s="1621" t="s">
        <v>834</v>
      </c>
      <c r="B59" s="1715" t="s">
        <v>1212</v>
      </c>
      <c r="C59" s="287">
        <f ca="1">ROUND(IF(项目基本情况!B11="自然人",C48*F59,C60+C61+C62),0)</f>
        <v>0</v>
      </c>
      <c r="D59" s="1722" t="s">
        <v>1213</v>
      </c>
      <c r="E59" s="1723" t="s">
        <v>1214</v>
      </c>
      <c r="F59" s="1646" t="str">
        <f ca="1">IF(项目基本情况!B11="企业","",IF(INDIRECT("'数据-取费表'!c"&amp;$G$1)="住宅",5%,IF(F49*F50*F51/12/(1+'数据-取费表'!C42)&gt;20000,12%,7%)))</f>
        <v/>
      </c>
      <c r="I59" s="1800" t="s">
        <v>1326</v>
      </c>
      <c r="J59" s="1801" t="e">
        <f ca="1">IF(OR(M47="住宅",J51&lt;L48,J56="是"),"——",ROUND(C29*J58,0))</f>
        <v>#DIV/0!</v>
      </c>
      <c r="K59" s="8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7" t="e">
        <f ca="1">ROUND(IF(D1="在建（套用方法）",M59,IF(D1="土地（套用方法）",N59,POWER(1+L52,L47-J51)*(POWER(1+L52,J51)-1)/(POWER(1+L52,L47)-1))),4)</f>
        <v>#DIV/0!</v>
      </c>
      <c r="M59" s="1663" t="e">
        <f ca="1">ROUND(POWER(1+L52,L47-(J51+'数据-取费表'!B24))*(POWER(1+L52,(J51+'数据-取费表'!B24))-1)/(POWER(1+L52,L47)-1),4)</f>
        <v>#DIV/0!</v>
      </c>
      <c r="N59" s="1663" t="e">
        <f ca="1">ROUND(POWER(1+L52,L47-(J51+'数据-取费表'!B20))*(POWER(1+L52,(J51+'数据-取费表'!B20))-1)/(POWER(1+L52,L47)-1),4)</f>
        <v>#DIV/0!</v>
      </c>
      <c r="O59" s="1780" t="s">
        <v>1297</v>
      </c>
      <c r="P59" s="1774" t="s">
        <v>1327</v>
      </c>
      <c r="Q59" s="1813">
        <f>L52</f>
        <v>0</v>
      </c>
      <c r="R59" s="1812"/>
    </row>
    <row r="60" spans="1:18" s="747" customFormat="1" ht="15.75">
      <c r="A60" s="1621" t="s">
        <v>857</v>
      </c>
      <c r="B60" s="1715" t="s">
        <v>1216</v>
      </c>
      <c r="C60" s="287">
        <f ca="1">IF(项目基本情况!B11="自然人","——",ROUND(C48*F60/(1+'数据-取费表'!C42),0))</f>
        <v>0</v>
      </c>
      <c r="D60" s="1723" t="s">
        <v>1217</v>
      </c>
      <c r="E60" s="1715" t="s">
        <v>1204</v>
      </c>
      <c r="F60" s="1637">
        <f t="shared" ref="F60:F66" si="0">F32</f>
        <v>5.5E-2</v>
      </c>
      <c r="I60" s="1803" t="s">
        <v>1328</v>
      </c>
      <c r="J60" s="1804" t="e">
        <f ca="1">IF(OR(M47="住宅",J51&lt;L48,J56="是"),"0",ROUND(J59/(1+J52)^J53,0))</f>
        <v>#DIV/0!</v>
      </c>
      <c r="K60" s="1805" t="s">
        <v>1329</v>
      </c>
      <c r="L60" s="1804" t="e">
        <f ca="1">IF(OR(M47="住宅",L48&lt;J51),0,ROUND(L57*(L58/L59-1),0))</f>
        <v>#DIV/0!</v>
      </c>
      <c r="O60" s="1780" t="s">
        <v>1301</v>
      </c>
      <c r="P60" s="1774" t="s">
        <v>1330</v>
      </c>
      <c r="Q60" s="1812" t="e">
        <f ca="1">L58</f>
        <v>#DIV/0!</v>
      </c>
      <c r="R60" s="1812" t="s">
        <v>1331</v>
      </c>
    </row>
    <row r="61" spans="1:18" s="747" customFormat="1">
      <c r="A61" s="1621" t="s">
        <v>862</v>
      </c>
      <c r="B61" s="1715" t="s">
        <v>1220</v>
      </c>
      <c r="C61" s="287">
        <f ca="1">IF(项目基本情况!B11="自然人","——",IF(D61="按租金收入计税",ROUND(C48*F61,0),IF(D61="按房产原值计税",ROUND(C57*F61*0.7,0),INDIRECT("'数据-取费表'!Aj"&amp;$G$1))))</f>
        <v>0</v>
      </c>
      <c r="D61" s="1647" t="s">
        <v>1221</v>
      </c>
      <c r="E61" s="1715" t="s">
        <v>1204</v>
      </c>
      <c r="F61" s="1630">
        <f t="shared" si="0"/>
        <v>1.2E-2</v>
      </c>
      <c r="I61" s="1806"/>
      <c r="J61" s="1806"/>
      <c r="K61" s="1806"/>
      <c r="L61" s="1806"/>
      <c r="O61" s="1780" t="s">
        <v>1305</v>
      </c>
      <c r="P61" s="1774" t="str">
        <f>K59</f>
        <v>建设期及建筑物耐用年限下的土地年期修正系数Kn</v>
      </c>
      <c r="Q61" s="1812" t="e">
        <f ca="1">L59</f>
        <v>#DIV/0!</v>
      </c>
      <c r="R61" s="1812" t="s">
        <v>1332</v>
      </c>
    </row>
    <row r="62" spans="1:18" s="747" customFormat="1">
      <c r="A62" s="1621" t="s">
        <v>865</v>
      </c>
      <c r="B62" s="1724" t="s">
        <v>1224</v>
      </c>
      <c r="C62" s="1649">
        <f ca="1">IF(项目基本情况!B11="自然人","——",ROUND(F62*F63,0))</f>
        <v>0</v>
      </c>
      <c r="D62" s="1725" t="s">
        <v>1225</v>
      </c>
      <c r="E62" s="1715" t="s">
        <v>1226</v>
      </c>
      <c r="F62" s="1636">
        <f t="shared" si="0"/>
        <v>6</v>
      </c>
      <c r="I62" s="1807" t="s">
        <v>1333</v>
      </c>
      <c r="J62" s="1808" t="s">
        <v>1334</v>
      </c>
      <c r="K62" s="1808" t="s">
        <v>1335</v>
      </c>
      <c r="L62" s="1808" t="s">
        <v>1336</v>
      </c>
      <c r="M62" s="1809" t="s">
        <v>1337</v>
      </c>
      <c r="O62" s="1773" t="s">
        <v>1130</v>
      </c>
      <c r="P62" s="1774" t="s">
        <v>1311</v>
      </c>
      <c r="Q62" s="1812" t="e">
        <f ca="1">Q56+Q57</f>
        <v>#DIV/0!</v>
      </c>
      <c r="R62" s="1812" t="s">
        <v>1312</v>
      </c>
    </row>
    <row r="63" spans="1:18" s="747" customFormat="1">
      <c r="A63" s="1634"/>
      <c r="B63" s="1726"/>
      <c r="C63" s="1653"/>
      <c r="D63" s="1727"/>
      <c r="E63" s="1715" t="s">
        <v>1230</v>
      </c>
      <c r="F63" s="1593">
        <f t="shared" ca="1" si="0"/>
        <v>0</v>
      </c>
      <c r="I63" s="1807" t="s">
        <v>1338</v>
      </c>
      <c r="J63" s="1808">
        <v>70</v>
      </c>
      <c r="K63" s="1808">
        <v>50</v>
      </c>
      <c r="L63" s="1808">
        <v>80</v>
      </c>
      <c r="M63" s="1810">
        <v>0.02</v>
      </c>
      <c r="O63" s="1761" t="s">
        <v>1339</v>
      </c>
      <c r="P63" s="1663"/>
      <c r="Q63" s="1663"/>
      <c r="R63" s="1663"/>
    </row>
    <row r="64" spans="1:18" s="747" customFormat="1">
      <c r="A64" s="1621" t="s">
        <v>838</v>
      </c>
      <c r="B64" s="1715" t="s">
        <v>1232</v>
      </c>
      <c r="C64" s="287">
        <f ca="1">ROUND(C57*F64,0)</f>
        <v>0</v>
      </c>
      <c r="D64" s="1723" t="s">
        <v>1265</v>
      </c>
      <c r="E64" s="1715" t="s">
        <v>1204</v>
      </c>
      <c r="F64" s="1656">
        <f t="shared" ca="1" si="0"/>
        <v>0</v>
      </c>
      <c r="I64" s="1807" t="s">
        <v>1340</v>
      </c>
      <c r="J64" s="1808">
        <v>50</v>
      </c>
      <c r="K64" s="1808">
        <v>35</v>
      </c>
      <c r="L64" s="1808">
        <v>60</v>
      </c>
      <c r="M64" s="1809">
        <v>0</v>
      </c>
      <c r="O64" s="1766" t="s">
        <v>1273</v>
      </c>
      <c r="P64" s="1767" t="s">
        <v>1274</v>
      </c>
      <c r="Q64" s="1811" t="s">
        <v>1275</v>
      </c>
      <c r="R64" s="1811" t="s">
        <v>1276</v>
      </c>
    </row>
    <row r="65" spans="1:18" s="747" customFormat="1">
      <c r="A65" s="1621" t="s">
        <v>882</v>
      </c>
      <c r="B65" s="1715" t="s">
        <v>1236</v>
      </c>
      <c r="C65" s="287">
        <f ca="1">ROUND(C56*F65,0)</f>
        <v>0</v>
      </c>
      <c r="D65" s="1723" t="s">
        <v>1237</v>
      </c>
      <c r="E65" s="1715" t="s">
        <v>1204</v>
      </c>
      <c r="F65" s="1657">
        <f t="shared" ca="1" si="0"/>
        <v>0</v>
      </c>
      <c r="I65" s="1807" t="s">
        <v>1341</v>
      </c>
      <c r="J65" s="1808">
        <v>40</v>
      </c>
      <c r="K65" s="1808">
        <v>30</v>
      </c>
      <c r="L65" s="1808">
        <v>50</v>
      </c>
      <c r="M65" s="1810">
        <v>0.02</v>
      </c>
      <c r="O65" s="1773" t="s">
        <v>1025</v>
      </c>
      <c r="P65" s="1774" t="s">
        <v>1280</v>
      </c>
      <c r="Q65" s="1812" t="e">
        <f ca="1">C40+J29</f>
        <v>#DIV/0!</v>
      </c>
      <c r="R65" s="1812" t="s">
        <v>1281</v>
      </c>
    </row>
    <row r="66" spans="1:18" s="747" customFormat="1" ht="15.75">
      <c r="A66" s="1621" t="s">
        <v>886</v>
      </c>
      <c r="B66" s="1715" t="s">
        <v>1222</v>
      </c>
      <c r="C66" s="287">
        <f ca="1">ROUND(C48*F66,0)</f>
        <v>0</v>
      </c>
      <c r="D66" s="1723" t="s">
        <v>1240</v>
      </c>
      <c r="E66" s="1715" t="s">
        <v>1204</v>
      </c>
      <c r="F66" s="1600">
        <f t="shared" ca="1" si="0"/>
        <v>0</v>
      </c>
      <c r="O66" s="1773" t="s">
        <v>1029</v>
      </c>
      <c r="P66" s="1774" t="s">
        <v>1321</v>
      </c>
      <c r="Q66" s="1812" t="e">
        <f ca="1">L60</f>
        <v>#DIV/0!</v>
      </c>
      <c r="R66" s="1812" t="s">
        <v>1322</v>
      </c>
    </row>
    <row r="67" spans="1:18" s="747" customFormat="1" ht="15.75">
      <c r="A67" s="1710" t="s">
        <v>1243</v>
      </c>
      <c r="B67" s="1814" t="s">
        <v>1244</v>
      </c>
      <c r="C67" s="286">
        <f ca="1">C48-C58</f>
        <v>0</v>
      </c>
      <c r="D67" s="1722" t="s">
        <v>1245</v>
      </c>
      <c r="E67" s="1815"/>
      <c r="F67" s="1816"/>
      <c r="O67" s="1780" t="s">
        <v>1293</v>
      </c>
      <c r="P67" s="1774" t="s">
        <v>1325</v>
      </c>
      <c r="Q67" s="1836">
        <f ca="1">L51</f>
        <v>0</v>
      </c>
      <c r="R67" s="1812" t="s">
        <v>1342</v>
      </c>
    </row>
    <row r="68" spans="1:18" s="747" customFormat="1" ht="15.75">
      <c r="A68" s="1817" t="s">
        <v>1249</v>
      </c>
      <c r="B68" s="1818" t="s">
        <v>1266</v>
      </c>
      <c r="C68" s="1662" t="e">
        <f ca="1">ROUND(C67*(1-((1+F70)/(1+F68))^F69)/(F68-F70),0)</f>
        <v>#DIV/0!</v>
      </c>
      <c r="D68" s="1725" t="s">
        <v>1251</v>
      </c>
      <c r="E68" s="1715" t="s">
        <v>1252</v>
      </c>
      <c r="F68" s="1600">
        <f ca="1">F40</f>
        <v>0</v>
      </c>
      <c r="O68" s="1780" t="s">
        <v>1297</v>
      </c>
      <c r="P68" s="1835" t="s">
        <v>1343</v>
      </c>
      <c r="Q68" s="1812">
        <f ca="1">ROUND(Q69-Q70*Q71,0)</f>
        <v>0</v>
      </c>
      <c r="R68" s="1812" t="s">
        <v>1344</v>
      </c>
    </row>
    <row r="69" spans="1:18" s="747" customFormat="1">
      <c r="A69" s="1819"/>
      <c r="B69" s="1820"/>
      <c r="C69" s="1599"/>
      <c r="D69" s="1821" t="s">
        <v>1255</v>
      </c>
      <c r="E69" s="1715" t="s">
        <v>1256</v>
      </c>
      <c r="F69" s="1666">
        <f ca="1">F41</f>
        <v>0</v>
      </c>
      <c r="O69" s="1780" t="s">
        <v>1345</v>
      </c>
      <c r="P69" s="1835" t="s">
        <v>1346</v>
      </c>
      <c r="Q69" s="1812">
        <f ca="1">C39</f>
        <v>0</v>
      </c>
      <c r="R69" s="1812" t="s">
        <v>1281</v>
      </c>
    </row>
    <row r="70" spans="1:18" s="747" customFormat="1">
      <c r="A70" s="1822"/>
      <c r="B70" s="1823"/>
      <c r="C70" s="1618"/>
      <c r="D70" s="1727"/>
      <c r="E70" s="1715" t="s">
        <v>1259</v>
      </c>
      <c r="F70" s="1705">
        <f ca="1">F42</f>
        <v>0</v>
      </c>
      <c r="O70" s="1780" t="s">
        <v>1347</v>
      </c>
      <c r="P70" s="1835" t="s">
        <v>1348</v>
      </c>
      <c r="Q70" s="1812">
        <f ca="1">C13</f>
        <v>0</v>
      </c>
      <c r="R70" s="1812" t="s">
        <v>1281</v>
      </c>
    </row>
    <row r="71" spans="1:18" s="747" customFormat="1">
      <c r="A71" s="1824" t="s">
        <v>1261</v>
      </c>
      <c r="B71" s="1825" t="s">
        <v>1267</v>
      </c>
      <c r="C71" s="1670" t="e">
        <f ca="1">ROUND(C68/F71,0)</f>
        <v>#DIV/0!</v>
      </c>
      <c r="D71" s="1826" t="s">
        <v>1268</v>
      </c>
      <c r="E71" s="1827" t="s">
        <v>1269</v>
      </c>
      <c r="F71" s="1673">
        <f ca="1">F43</f>
        <v>0</v>
      </c>
      <c r="O71" s="1780" t="s">
        <v>1349</v>
      </c>
      <c r="P71" s="1835" t="s">
        <v>1350</v>
      </c>
      <c r="Q71" s="1813">
        <f ca="1">C76</f>
        <v>0</v>
      </c>
      <c r="R71" s="1812"/>
    </row>
    <row r="72" spans="1:18" s="747" customFormat="1">
      <c r="B72" s="320"/>
      <c r="C72" s="320"/>
      <c r="O72" s="1780" t="s">
        <v>1301</v>
      </c>
      <c r="P72" s="1774" t="s">
        <v>1327</v>
      </c>
      <c r="Q72" s="1813">
        <f>L52</f>
        <v>0</v>
      </c>
      <c r="R72" s="1812"/>
    </row>
    <row r="73" spans="1:18" ht="15.75">
      <c r="A73" s="747"/>
      <c r="B73" s="320"/>
      <c r="C73" s="320"/>
      <c r="D73" s="747"/>
      <c r="E73" s="747"/>
      <c r="F73" s="747"/>
      <c r="O73" s="1780" t="s">
        <v>1305</v>
      </c>
      <c r="P73" s="1774" t="s">
        <v>1330</v>
      </c>
      <c r="Q73" s="1812" t="e">
        <f ca="1">L58</f>
        <v>#DIV/0!</v>
      </c>
      <c r="R73" s="1812" t="s">
        <v>1331</v>
      </c>
    </row>
    <row r="74" spans="1:18">
      <c r="A74" s="747"/>
      <c r="B74" s="222" t="s">
        <v>1351</v>
      </c>
      <c r="C74" s="1828"/>
      <c r="D74" s="747"/>
      <c r="E74" s="747"/>
      <c r="F74" s="747"/>
      <c r="O74" s="1780" t="s">
        <v>1352</v>
      </c>
      <c r="P74" s="1774" t="str">
        <f>K59</f>
        <v>建设期及建筑物耐用年限下的土地年期修正系数Kn</v>
      </c>
      <c r="Q74" s="1812" t="e">
        <f ca="1">L59</f>
        <v>#DIV/0!</v>
      </c>
      <c r="R74" s="1812" t="s">
        <v>1332</v>
      </c>
    </row>
    <row r="75" spans="1:18">
      <c r="A75" s="747"/>
      <c r="B75" s="1829" t="s">
        <v>1353</v>
      </c>
      <c r="C75" s="1830">
        <f ca="1">ROUND(C13*C76,0)</f>
        <v>0</v>
      </c>
      <c r="D75" s="747"/>
      <c r="E75" s="747"/>
      <c r="F75" s="747"/>
      <c r="K75" s="1760"/>
      <c r="L75" s="747"/>
      <c r="O75" s="1773" t="s">
        <v>1130</v>
      </c>
      <c r="P75" s="1774" t="s">
        <v>1311</v>
      </c>
      <c r="Q75" s="1812" t="e">
        <f ca="1">Q65+Q66</f>
        <v>#DIV/0!</v>
      </c>
      <c r="R75" s="1812" t="s">
        <v>1312</v>
      </c>
    </row>
    <row r="76" spans="1:18">
      <c r="B76" s="568" t="s">
        <v>1354</v>
      </c>
      <c r="C76" s="1831">
        <f ca="1">INDIRECT("'数据-取费表'!j"&amp;$G$1)</f>
        <v>0</v>
      </c>
      <c r="I76" s="747"/>
      <c r="J76" s="747"/>
      <c r="K76" s="1760"/>
      <c r="L76" s="747"/>
    </row>
    <row r="77" spans="1:18">
      <c r="B77" s="1832" t="s">
        <v>1355</v>
      </c>
      <c r="C77" s="1833"/>
      <c r="I77" s="747"/>
      <c r="J77" s="747"/>
      <c r="K77" s="1760"/>
      <c r="L77" s="747"/>
    </row>
    <row r="78" spans="1:18">
      <c r="B78" s="220" t="s">
        <v>1356</v>
      </c>
      <c r="C78" s="1834"/>
    </row>
    <row r="79" spans="1:18">
      <c r="B79" s="1829" t="s">
        <v>1357</v>
      </c>
      <c r="C79" s="223" t="e">
        <f ca="1">1-C80</f>
        <v>#DIV/0!</v>
      </c>
    </row>
    <row r="80" spans="1:18">
      <c r="B80" s="1829" t="s">
        <v>1358</v>
      </c>
      <c r="C80" s="223" t="e">
        <f ca="1">ROUND(C75/C39,3)</f>
        <v>#DIV/0!</v>
      </c>
    </row>
    <row r="81" spans="2:3">
      <c r="B81" s="220" t="s">
        <v>1359</v>
      </c>
      <c r="C81" s="190"/>
    </row>
    <row r="82" spans="2:3">
      <c r="B82" s="222" t="s">
        <v>1106</v>
      </c>
      <c r="C82" s="224" t="e">
        <f ca="1">1-C83</f>
        <v>#DIV/0!</v>
      </c>
    </row>
    <row r="83" spans="2:3">
      <c r="B83" s="222" t="s">
        <v>1107</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1371</v>
      </c>
      <c r="B1" s="1538"/>
      <c r="C1" s="1538"/>
      <c r="D1" s="1538"/>
      <c r="E1" s="1539"/>
    </row>
    <row r="2" spans="1:6" ht="15.75">
      <c r="A2" s="1540" t="s">
        <v>925</v>
      </c>
      <c r="B2" s="1541">
        <f ca="1">SUMIF(B6:B13,"&lt;&gt;#ref!",B6:B13)</f>
        <v>11288</v>
      </c>
      <c r="C2" s="1542" t="s">
        <v>1372</v>
      </c>
      <c r="D2" s="1543" t="s">
        <v>1373</v>
      </c>
      <c r="E2" s="1544">
        <f>SUM(E6:E13)</f>
        <v>34364.589999999997</v>
      </c>
    </row>
    <row r="3" spans="1:6" ht="15.75">
      <c r="A3" s="1540" t="s">
        <v>926</v>
      </c>
      <c r="B3" s="1541">
        <f ca="1">ROUND(B2*10000/E2,0)</f>
        <v>3285</v>
      </c>
      <c r="C3" s="1542" t="s">
        <v>1374</v>
      </c>
      <c r="D3" s="1545"/>
      <c r="E3" s="1546"/>
    </row>
    <row r="4" spans="1:6" ht="15.75">
      <c r="A4" s="1547"/>
      <c r="B4" s="1545"/>
      <c r="C4" s="1545"/>
      <c r="D4" s="1545"/>
      <c r="E4" s="1546"/>
    </row>
    <row r="5" spans="1:6" ht="15">
      <c r="A5" s="1548" t="s">
        <v>1375</v>
      </c>
      <c r="B5" s="3218" t="s">
        <v>1376</v>
      </c>
      <c r="C5" s="3218"/>
      <c r="D5" s="1549"/>
      <c r="E5" s="1550" t="s">
        <v>1377</v>
      </c>
      <c r="F5" s="504" t="s">
        <v>1378</v>
      </c>
    </row>
    <row r="6" spans="1:6">
      <c r="A6" s="1551" t="str">
        <f>'数据-取费表'!AN6</f>
        <v>收益法</v>
      </c>
      <c r="B6" s="504">
        <f ca="1">IF(F6="是",'数据-取费表'!AO6,0)</f>
        <v>11288</v>
      </c>
      <c r="C6" s="1542" t="s">
        <v>1372</v>
      </c>
      <c r="D6" s="1545"/>
      <c r="E6" s="1552">
        <f>IF(OR(A6=0,F6="否"),0,'数据-取费表'!K6+'数据-取费表'!S6)</f>
        <v>34364.589999999997</v>
      </c>
      <c r="F6" s="1553" t="s">
        <v>1379</v>
      </c>
    </row>
    <row r="7" spans="1:6">
      <c r="A7" s="1551">
        <f>'数据-取费表'!AN7</f>
        <v>0</v>
      </c>
      <c r="B7" s="504" t="e">
        <f ca="1">IF(F7="是",'数据-取费表'!AO7,0)</f>
        <v>#REF!</v>
      </c>
      <c r="C7" s="1542" t="s">
        <v>1372</v>
      </c>
      <c r="D7" s="1545"/>
      <c r="E7" s="1552">
        <f>IF(OR(A7=0,F7="否"),0,'数据-取费表'!K7+'数据-取费表'!S7)</f>
        <v>0</v>
      </c>
      <c r="F7" s="1553" t="s">
        <v>1379</v>
      </c>
    </row>
    <row r="8" spans="1:6">
      <c r="A8" s="1551">
        <f>'数据-取费表'!AN8</f>
        <v>0</v>
      </c>
      <c r="B8" s="504" t="e">
        <f ca="1">IF(F8="是",'数据-取费表'!AO8,0)</f>
        <v>#REF!</v>
      </c>
      <c r="C8" s="1542" t="s">
        <v>1372</v>
      </c>
      <c r="D8" s="1545"/>
      <c r="E8" s="1552">
        <f>IF(OR(A8=0,F8="否"),0,'数据-取费表'!K8+'数据-取费表'!S8)</f>
        <v>0</v>
      </c>
      <c r="F8" s="1553" t="s">
        <v>1379</v>
      </c>
    </row>
    <row r="9" spans="1:6">
      <c r="A9" s="1551">
        <f>'数据-取费表'!AN9</f>
        <v>0</v>
      </c>
      <c r="B9" s="504" t="e">
        <f ca="1">IF(F9="是",'数据-取费表'!AO9,0)</f>
        <v>#REF!</v>
      </c>
      <c r="C9" s="1542" t="s">
        <v>1372</v>
      </c>
      <c r="D9" s="1545"/>
      <c r="E9" s="1552">
        <f>IF(OR(A9=0,F9="否"),0,'数据-取费表'!K9+'数据-取费表'!S9)</f>
        <v>0</v>
      </c>
      <c r="F9" s="1553" t="s">
        <v>1379</v>
      </c>
    </row>
    <row r="10" spans="1:6">
      <c r="A10" s="1551">
        <f>'数据-取费表'!AN10</f>
        <v>0</v>
      </c>
      <c r="B10" s="504" t="e">
        <f ca="1">IF(F10="是",'数据-取费表'!AO10,0)</f>
        <v>#REF!</v>
      </c>
      <c r="C10" s="1542" t="s">
        <v>1372</v>
      </c>
      <c r="D10" s="1545"/>
      <c r="E10" s="1552">
        <f>IF(OR(A10=0,F10="否"),0,'数据-取费表'!K10+'数据-取费表'!S10)</f>
        <v>0</v>
      </c>
      <c r="F10" s="1553" t="s">
        <v>1379</v>
      </c>
    </row>
    <row r="11" spans="1:6">
      <c r="A11" s="1551">
        <f>'数据-取费表'!AN11</f>
        <v>0</v>
      </c>
      <c r="B11" s="504" t="e">
        <f ca="1">IF(F11="是",'数据-取费表'!AO11,0)</f>
        <v>#REF!</v>
      </c>
      <c r="C11" s="1542" t="s">
        <v>1372</v>
      </c>
      <c r="D11" s="1545"/>
      <c r="E11" s="1552">
        <f>IF(OR(A11=0,F11="否"),0,'数据-取费表'!K11+'数据-取费表'!S11)</f>
        <v>0</v>
      </c>
      <c r="F11" s="1553" t="s">
        <v>1379</v>
      </c>
    </row>
    <row r="12" spans="1:6">
      <c r="A12" s="1551">
        <f>'数据-取费表'!AN12</f>
        <v>0</v>
      </c>
      <c r="B12" s="504" t="e">
        <f ca="1">IF(F12="是",'数据-取费表'!AO12,0)</f>
        <v>#REF!</v>
      </c>
      <c r="C12" s="1542" t="s">
        <v>1372</v>
      </c>
      <c r="D12" s="1545"/>
      <c r="E12" s="1552">
        <f>IF(OR(A12=0,F12="否"),0,'数据-取费表'!K12+'数据-取费表'!S12)</f>
        <v>0</v>
      </c>
      <c r="F12" s="1553" t="s">
        <v>1379</v>
      </c>
    </row>
    <row r="13" spans="1:6">
      <c r="A13" s="1554">
        <f>'数据-取费表'!AN13</f>
        <v>0</v>
      </c>
      <c r="B13" s="504" t="e">
        <f ca="1">IF(F13="是",'数据-取费表'!AO13,0)</f>
        <v>#REF!</v>
      </c>
      <c r="C13" s="1555" t="s">
        <v>1372</v>
      </c>
      <c r="D13" s="1556"/>
      <c r="E13" s="1552">
        <f>IF(OR(A13=0,F13="否"),0,'数据-取费表'!K13+'数据-取费表'!S13)</f>
        <v>0</v>
      </c>
      <c r="F13" s="1553" t="s">
        <v>1379</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9" t="s">
        <v>1380</v>
      </c>
      <c r="B1" s="3220"/>
      <c r="C1" s="3221"/>
      <c r="D1" s="3222">
        <f>SUM(I10,I15,I20,I21,I23)</f>
        <v>0</v>
      </c>
      <c r="E1" s="3222"/>
      <c r="F1" s="3222"/>
      <c r="G1" s="3222"/>
      <c r="H1" s="3222"/>
      <c r="I1" s="3223"/>
    </row>
    <row r="2" spans="1:9">
      <c r="A2" s="3231" t="s">
        <v>1381</v>
      </c>
      <c r="B2" s="3224" t="s">
        <v>1382</v>
      </c>
      <c r="C2" s="3224"/>
      <c r="D2" s="1508" t="s">
        <v>1383</v>
      </c>
      <c r="E2" s="1508" t="s">
        <v>1384</v>
      </c>
      <c r="F2" s="1508" t="s">
        <v>1385</v>
      </c>
      <c r="G2" s="1508" t="s">
        <v>1386</v>
      </c>
      <c r="H2" s="1508" t="s">
        <v>1387</v>
      </c>
      <c r="I2" s="1532" t="s">
        <v>1388</v>
      </c>
    </row>
    <row r="3" spans="1:9">
      <c r="A3" s="3231"/>
      <c r="B3" s="3224" t="s">
        <v>1389</v>
      </c>
      <c r="C3" s="3224"/>
      <c r="D3" s="1509"/>
      <c r="E3" s="1508"/>
      <c r="F3" s="1510"/>
      <c r="G3" s="1510"/>
      <c r="H3" s="1511"/>
      <c r="I3" s="1533">
        <f>ROUND(D3*E3*F3*G3*H3/10000,0)</f>
        <v>0</v>
      </c>
    </row>
    <row r="4" spans="1:9">
      <c r="A4" s="3231"/>
      <c r="B4" s="3224" t="s">
        <v>1390</v>
      </c>
      <c r="C4" s="3224"/>
      <c r="D4" s="1509"/>
      <c r="E4" s="1508"/>
      <c r="F4" s="1510"/>
      <c r="G4" s="1510"/>
      <c r="H4" s="1511"/>
      <c r="I4" s="1533">
        <f t="shared" ref="I4:I9" si="0">ROUND(D4*E4*F4*G4*H4/10000,0)</f>
        <v>0</v>
      </c>
    </row>
    <row r="5" spans="1:9">
      <c r="A5" s="3231"/>
      <c r="B5" s="3224" t="s">
        <v>1391</v>
      </c>
      <c r="C5" s="3224"/>
      <c r="D5" s="1509"/>
      <c r="E5" s="1508"/>
      <c r="F5" s="1510"/>
      <c r="G5" s="1510"/>
      <c r="H5" s="1511"/>
      <c r="I5" s="1533">
        <f t="shared" si="0"/>
        <v>0</v>
      </c>
    </row>
    <row r="6" spans="1:9">
      <c r="A6" s="3231"/>
      <c r="B6" s="3224" t="s">
        <v>1392</v>
      </c>
      <c r="C6" s="3224"/>
      <c r="D6" s="1509"/>
      <c r="E6" s="1508"/>
      <c r="F6" s="1510"/>
      <c r="G6" s="1510"/>
      <c r="H6" s="1511"/>
      <c r="I6" s="1533">
        <f t="shared" si="0"/>
        <v>0</v>
      </c>
    </row>
    <row r="7" spans="1:9">
      <c r="A7" s="3231"/>
      <c r="B7" s="3224" t="s">
        <v>1393</v>
      </c>
      <c r="C7" s="3224"/>
      <c r="D7" s="1509"/>
      <c r="E7" s="1508"/>
      <c r="F7" s="1510"/>
      <c r="G7" s="1510"/>
      <c r="H7" s="1511"/>
      <c r="I7" s="1533">
        <f t="shared" si="0"/>
        <v>0</v>
      </c>
    </row>
    <row r="8" spans="1:9">
      <c r="A8" s="3231"/>
      <c r="B8" s="3224" t="s">
        <v>1394</v>
      </c>
      <c r="C8" s="3224"/>
      <c r="D8" s="1509"/>
      <c r="E8" s="1508"/>
      <c r="F8" s="1510"/>
      <c r="G8" s="1510"/>
      <c r="H8" s="1511"/>
      <c r="I8" s="1533">
        <f t="shared" si="0"/>
        <v>0</v>
      </c>
    </row>
    <row r="9" spans="1:9">
      <c r="A9" s="3231"/>
      <c r="B9" s="3224" t="s">
        <v>1395</v>
      </c>
      <c r="C9" s="3224"/>
      <c r="D9" s="1509"/>
      <c r="E9" s="1508"/>
      <c r="F9" s="1510"/>
      <c r="G9" s="1510"/>
      <c r="H9" s="1511"/>
      <c r="I9" s="1533">
        <f t="shared" si="0"/>
        <v>0</v>
      </c>
    </row>
    <row r="10" spans="1:9">
      <c r="A10" s="3231"/>
      <c r="B10" s="3225" t="s">
        <v>481</v>
      </c>
      <c r="C10" s="3225"/>
      <c r="D10" s="1512"/>
      <c r="E10" s="1512" t="e">
        <f>ROUND(D1*10000/D10/H9,0)</f>
        <v>#DIV/0!</v>
      </c>
      <c r="F10" s="1513"/>
      <c r="G10" s="1513"/>
      <c r="H10" s="1514"/>
      <c r="I10" s="1534">
        <f>SUM(I3:I9)</f>
        <v>0</v>
      </c>
    </row>
    <row r="11" spans="1:9" ht="14.25">
      <c r="A11" s="3231" t="s">
        <v>1396</v>
      </c>
      <c r="B11" s="3224" t="s">
        <v>1397</v>
      </c>
      <c r="C11" s="3224"/>
      <c r="D11" s="1509" t="s">
        <v>1398</v>
      </c>
      <c r="E11" s="1509" t="s">
        <v>1399</v>
      </c>
      <c r="F11" s="1510" t="s">
        <v>1400</v>
      </c>
      <c r="G11" s="1510" t="s">
        <v>1387</v>
      </c>
      <c r="H11" s="1515" t="s">
        <v>124</v>
      </c>
      <c r="I11" s="1532" t="s">
        <v>1388</v>
      </c>
    </row>
    <row r="12" spans="1:9">
      <c r="A12" s="3231"/>
      <c r="B12" s="3224" t="s">
        <v>1401</v>
      </c>
      <c r="C12" s="3224"/>
      <c r="D12" s="1509"/>
      <c r="E12" s="1509"/>
      <c r="F12" s="1510"/>
      <c r="G12" s="1511"/>
      <c r="H12" s="1516"/>
      <c r="I12" s="1532">
        <f>ROUND(D12*E12*F12*G12/10000,0)</f>
        <v>0</v>
      </c>
    </row>
    <row r="13" spans="1:9">
      <c r="A13" s="3231"/>
      <c r="B13" s="3224" t="s">
        <v>1402</v>
      </c>
      <c r="C13" s="3224"/>
      <c r="D13" s="1509"/>
      <c r="E13" s="1509"/>
      <c r="F13" s="1510"/>
      <c r="G13" s="1511"/>
      <c r="H13" s="1516"/>
      <c r="I13" s="1532">
        <f>ROUND(D13*E13*F13*G13/10000,0)</f>
        <v>0</v>
      </c>
    </row>
    <row r="14" spans="1:9">
      <c r="A14" s="3231"/>
      <c r="B14" s="3224" t="s">
        <v>1403</v>
      </c>
      <c r="C14" s="3224"/>
      <c r="D14" s="1509"/>
      <c r="E14" s="1509"/>
      <c r="F14" s="1510"/>
      <c r="G14" s="1511"/>
      <c r="H14" s="1516"/>
      <c r="I14" s="1532">
        <f>ROUND(D14*E14*F14*G14/10000,0)</f>
        <v>0</v>
      </c>
    </row>
    <row r="15" spans="1:9">
      <c r="A15" s="3231"/>
      <c r="B15" s="3225" t="s">
        <v>481</v>
      </c>
      <c r="C15" s="3225"/>
      <c r="D15" s="1512"/>
      <c r="E15" s="1512">
        <f>SUM(E12:E14)</f>
        <v>0</v>
      </c>
      <c r="F15" s="1513"/>
      <c r="G15" s="1511"/>
      <c r="H15" s="1516"/>
      <c r="I15" s="1535">
        <f>SUM(I12:I14)</f>
        <v>0</v>
      </c>
    </row>
    <row r="16" spans="1:9" ht="24">
      <c r="A16" s="3231" t="s">
        <v>1404</v>
      </c>
      <c r="B16" s="3224" t="s">
        <v>1405</v>
      </c>
      <c r="C16" s="3224"/>
      <c r="D16" s="1509" t="s">
        <v>1383</v>
      </c>
      <c r="E16" s="1517" t="s">
        <v>1406</v>
      </c>
      <c r="F16" s="1510" t="s">
        <v>1407</v>
      </c>
      <c r="G16" s="1511" t="s">
        <v>1387</v>
      </c>
      <c r="H16" s="1515" t="s">
        <v>124</v>
      </c>
      <c r="I16" s="1532" t="s">
        <v>1388</v>
      </c>
    </row>
    <row r="17" spans="1:9" ht="14.25">
      <c r="A17" s="3231"/>
      <c r="B17" s="3224" t="s">
        <v>1408</v>
      </c>
      <c r="C17" s="3224"/>
      <c r="D17" s="1509"/>
      <c r="E17" s="1509"/>
      <c r="F17" s="1510"/>
      <c r="G17" s="1511"/>
      <c r="H17" s="1518"/>
      <c r="I17" s="1536">
        <f>ROUND(D17*E17*F17*G17/10000,0)</f>
        <v>0</v>
      </c>
    </row>
    <row r="18" spans="1:9" ht="14.25">
      <c r="A18" s="3231"/>
      <c r="B18" s="3224" t="s">
        <v>1409</v>
      </c>
      <c r="C18" s="3224"/>
      <c r="D18" s="1509"/>
      <c r="E18" s="1509"/>
      <c r="F18" s="1510"/>
      <c r="G18" s="1511"/>
      <c r="H18" s="1518"/>
      <c r="I18" s="1536">
        <f>ROUND(D18*E18*F18*G18/10000,0)</f>
        <v>0</v>
      </c>
    </row>
    <row r="19" spans="1:9" ht="14.25">
      <c r="A19" s="3231"/>
      <c r="B19" s="3224" t="s">
        <v>1410</v>
      </c>
      <c r="C19" s="3224"/>
      <c r="D19" s="1509"/>
      <c r="E19" s="1509"/>
      <c r="F19" s="1510"/>
      <c r="G19" s="1511"/>
      <c r="H19" s="1518"/>
      <c r="I19" s="1536">
        <f>ROUND(D19*E19*F19*G19/10000,0)</f>
        <v>0</v>
      </c>
    </row>
    <row r="20" spans="1:9">
      <c r="A20" s="3231"/>
      <c r="B20" s="3225" t="s">
        <v>481</v>
      </c>
      <c r="C20" s="3225"/>
      <c r="D20" s="1512">
        <f>SUM(D17:D19)</f>
        <v>0</v>
      </c>
      <c r="E20" s="1512"/>
      <c r="F20" s="1513"/>
      <c r="G20" s="1511"/>
      <c r="H20" s="1516"/>
      <c r="I20" s="1535">
        <f>SUM(I17:I19)</f>
        <v>0</v>
      </c>
    </row>
    <row r="21" spans="1:9">
      <c r="A21" s="3231" t="s">
        <v>1411</v>
      </c>
      <c r="B21" s="3239"/>
      <c r="C21" s="3239"/>
      <c r="D21" s="3239"/>
      <c r="E21" s="3239"/>
      <c r="F21" s="3239"/>
      <c r="G21" s="3239"/>
      <c r="H21" s="1519">
        <v>0.1</v>
      </c>
      <c r="I21" s="1534">
        <f>ROUND(I10*H21,0)</f>
        <v>0</v>
      </c>
    </row>
    <row r="22" spans="1:9" ht="14.25">
      <c r="A22" s="3232" t="s">
        <v>1412</v>
      </c>
      <c r="B22" s="3233"/>
      <c r="C22" s="3234"/>
      <c r="D22" s="1520" t="s">
        <v>477</v>
      </c>
      <c r="E22" s="1520" t="s">
        <v>1413</v>
      </c>
      <c r="F22" s="1521" t="s">
        <v>1387</v>
      </c>
      <c r="G22" s="1521" t="s">
        <v>1414</v>
      </c>
      <c r="H22" s="1515" t="s">
        <v>124</v>
      </c>
      <c r="I22" s="1532" t="s">
        <v>1388</v>
      </c>
    </row>
    <row r="23" spans="1:9">
      <c r="A23" s="3235"/>
      <c r="B23" s="3236"/>
      <c r="C23" s="3237"/>
      <c r="D23" s="1522"/>
      <c r="E23" s="1522"/>
      <c r="F23" s="1522"/>
      <c r="G23" s="1523"/>
      <c r="H23" s="1524"/>
      <c r="I23" s="1537">
        <f>ROUND(E23*D23*F23*(1-G23)/10000,0)</f>
        <v>0</v>
      </c>
    </row>
    <row r="26" spans="1:9">
      <c r="A26" s="1525" t="s">
        <v>1415</v>
      </c>
      <c r="B26" s="1525"/>
      <c r="C26" s="1525"/>
      <c r="D26" s="1525"/>
      <c r="E26" s="3230">
        <f>C27-C30-C31-C32</f>
        <v>0</v>
      </c>
      <c r="F26" s="3230"/>
      <c r="G26" s="3230"/>
      <c r="H26" s="1526" t="s">
        <v>1416</v>
      </c>
    </row>
    <row r="27" spans="1:9">
      <c r="A27" s="1527">
        <v>1</v>
      </c>
      <c r="B27" s="1528" t="s">
        <v>1417</v>
      </c>
      <c r="C27" s="1528">
        <f>C28+C29</f>
        <v>0</v>
      </c>
      <c r="D27" s="1528"/>
      <c r="E27" s="3226"/>
      <c r="F27" s="3226"/>
      <c r="G27" s="3226"/>
    </row>
    <row r="28" spans="1:9">
      <c r="A28" s="1529" t="s">
        <v>1418</v>
      </c>
      <c r="B28" s="1528" t="s">
        <v>1419</v>
      </c>
      <c r="C28" s="1528"/>
      <c r="D28" s="1528"/>
      <c r="E28" s="3226"/>
      <c r="F28" s="3226"/>
      <c r="G28" s="3226"/>
    </row>
    <row r="29" spans="1:9">
      <c r="A29" s="1529" t="s">
        <v>1420</v>
      </c>
      <c r="B29" s="1528" t="s">
        <v>1421</v>
      </c>
      <c r="C29" s="1528"/>
      <c r="D29" s="1528"/>
      <c r="E29" s="1528" t="s">
        <v>1422</v>
      </c>
      <c r="F29" s="1528"/>
      <c r="G29" s="1528"/>
    </row>
    <row r="30" spans="1:9">
      <c r="A30" s="1527">
        <v>2</v>
      </c>
      <c r="B30" s="1528" t="s">
        <v>1423</v>
      </c>
      <c r="C30" s="1528">
        <f>C27*D30</f>
        <v>0</v>
      </c>
      <c r="D30" s="1530">
        <v>0.2</v>
      </c>
      <c r="E30" s="1528" t="s">
        <v>1424</v>
      </c>
      <c r="F30" s="1528"/>
      <c r="G30" s="1528"/>
    </row>
    <row r="31" spans="1:9">
      <c r="A31" s="1527">
        <v>3</v>
      </c>
      <c r="B31" s="1528" t="s">
        <v>1425</v>
      </c>
      <c r="C31" s="1528">
        <f>C25*D31</f>
        <v>0</v>
      </c>
      <c r="D31" s="1530">
        <v>0.15</v>
      </c>
      <c r="E31" s="1528" t="s">
        <v>1426</v>
      </c>
      <c r="F31" s="1528"/>
      <c r="G31" s="1528"/>
    </row>
    <row r="32" spans="1:9">
      <c r="A32" s="1527">
        <v>4</v>
      </c>
      <c r="B32" s="1528" t="s">
        <v>1427</v>
      </c>
      <c r="C32" s="1528">
        <f>C27*D32</f>
        <v>0</v>
      </c>
      <c r="D32" s="1530">
        <v>0.05</v>
      </c>
      <c r="E32" s="3238"/>
      <c r="F32" s="3238"/>
      <c r="G32" s="3238"/>
    </row>
    <row r="33" spans="1:7" hidden="1">
      <c r="A33" s="3227" t="s">
        <v>1428</v>
      </c>
      <c r="B33" s="3228"/>
      <c r="C33" s="3228"/>
      <c r="D33" s="3229"/>
      <c r="E33" s="3230"/>
      <c r="F33" s="3230"/>
      <c r="G33" s="3230"/>
    </row>
    <row r="34" spans="1:7" hidden="1">
      <c r="A34" s="1531">
        <v>1</v>
      </c>
      <c r="B34" s="1528" t="s">
        <v>1429</v>
      </c>
      <c r="C34" s="1528"/>
      <c r="D34" s="1528"/>
      <c r="E34" s="3226"/>
      <c r="F34" s="3226"/>
      <c r="G34" s="3226"/>
    </row>
    <row r="35" spans="1:7" hidden="1">
      <c r="A35" s="1531">
        <v>2</v>
      </c>
      <c r="B35" s="1528" t="s">
        <v>1430</v>
      </c>
      <c r="C35" s="1528"/>
      <c r="D35" s="1528"/>
      <c r="E35" s="3226"/>
      <c r="F35" s="3226"/>
      <c r="G35" s="3226"/>
    </row>
    <row r="36" spans="1:7" hidden="1">
      <c r="A36" s="1531">
        <v>3</v>
      </c>
      <c r="B36" s="1528" t="s">
        <v>1431</v>
      </c>
      <c r="C36" s="1528"/>
      <c r="D36" s="1528"/>
      <c r="E36" s="3226"/>
      <c r="F36" s="3226"/>
      <c r="G36" s="3226"/>
    </row>
    <row r="37" spans="1:7" hidden="1">
      <c r="A37" s="1531">
        <v>4</v>
      </c>
      <c r="B37" s="1528" t="s">
        <v>1432</v>
      </c>
      <c r="C37" s="1528"/>
      <c r="D37" s="1528"/>
      <c r="E37" s="3226"/>
      <c r="F37" s="3226"/>
      <c r="G37" s="3226"/>
    </row>
    <row r="38" spans="1:7" hidden="1">
      <c r="A38" s="3227" t="s">
        <v>1433</v>
      </c>
      <c r="B38" s="3228"/>
      <c r="C38" s="3228"/>
      <c r="D38" s="3229"/>
      <c r="E38" s="3230"/>
      <c r="F38" s="3230"/>
      <c r="G38" s="323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1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1434</v>
      </c>
      <c r="B1" s="1412" t="s">
        <v>1435</v>
      </c>
      <c r="C1" s="1282" t="s">
        <v>1436</v>
      </c>
      <c r="D1" s="1224"/>
      <c r="E1" s="1436"/>
      <c r="F1" s="1226" t="s">
        <v>1437</v>
      </c>
      <c r="G1" s="1227" t="s">
        <v>924</v>
      </c>
      <c r="H1" s="1225"/>
      <c r="I1" s="1225"/>
      <c r="J1" s="1225"/>
      <c r="K1" s="1280"/>
      <c r="L1" s="1281"/>
      <c r="M1" s="1282"/>
      <c r="N1" s="1282"/>
      <c r="O1" s="1282"/>
      <c r="P1" s="1445"/>
      <c r="Q1" s="1223"/>
      <c r="R1" s="1223"/>
      <c r="S1" s="1223"/>
      <c r="T1" s="1223"/>
      <c r="U1" s="1223"/>
      <c r="V1" s="1223"/>
      <c r="W1" s="1223"/>
      <c r="X1" s="1223"/>
      <c r="Y1" s="1223"/>
      <c r="Z1" s="1223"/>
      <c r="AA1" s="1223"/>
      <c r="AB1" s="1223"/>
      <c r="AC1" s="1291"/>
    </row>
    <row r="2" spans="1:29" s="1435" customFormat="1" ht="28.5" customHeight="1">
      <c r="A2" s="1228" t="s">
        <v>925</v>
      </c>
      <c r="B2" s="1229" t="e">
        <f ca="1">IF(C2="——",ROUND(C49*D3/10000,0),ROUND(C49*D3/10000,0)-D2)</f>
        <v>#DIV/0!</v>
      </c>
      <c r="C2" s="1230"/>
      <c r="D2" s="1379" t="e">
        <f ca="1">SUMIF(INDIRECT("'"&amp;F2&amp;"'"&amp;"!A:A"),"承租人权益价值",INDIRECT("'"&amp;F2&amp;"'"&amp;"!c:c"))</f>
        <v>#REF!</v>
      </c>
      <c r="E2" s="1231" t="s">
        <v>1011</v>
      </c>
      <c r="F2" s="1232"/>
      <c r="G2" s="889"/>
      <c r="H2" s="889"/>
      <c r="I2" s="889"/>
      <c r="J2" s="889"/>
      <c r="K2" s="1446"/>
      <c r="L2" s="1447"/>
      <c r="M2" s="1448"/>
      <c r="N2" s="1448"/>
      <c r="O2" s="1448"/>
      <c r="P2" s="1449"/>
      <c r="Q2" s="1463"/>
      <c r="R2" s="1463"/>
      <c r="S2" s="1463"/>
      <c r="T2" s="1463"/>
      <c r="U2" s="1463"/>
      <c r="V2" s="1463"/>
      <c r="W2" s="1463"/>
      <c r="X2" s="1463"/>
      <c r="Y2" s="1463"/>
      <c r="Z2" s="1463"/>
      <c r="AA2" s="1463"/>
      <c r="AB2" s="1463"/>
      <c r="AC2" s="1464"/>
    </row>
    <row r="3" spans="1:29" s="1435" customFormat="1" ht="28.5" customHeight="1">
      <c r="A3" s="147" t="s">
        <v>926</v>
      </c>
      <c r="B3" s="1234" t="e">
        <f ca="1">IF(C2="——",C49,ROUND(B2*10000/D3,0))</f>
        <v>#DIV/0!</v>
      </c>
      <c r="C3" s="1233" t="s">
        <v>927</v>
      </c>
      <c r="D3" s="1234">
        <f>IF(D1="",'数据-汇总表'!E3,SUMIF('数据-汇总表'!$C19:$C33,D1,'数据-汇总表'!$E19:$E33))</f>
        <v>34364.589999999997</v>
      </c>
      <c r="E3" s="889"/>
      <c r="F3" s="1437"/>
      <c r="G3" s="889"/>
      <c r="H3" s="889"/>
      <c r="I3" s="889"/>
      <c r="J3" s="889"/>
      <c r="K3" s="1446"/>
      <c r="L3" s="1447"/>
      <c r="M3" s="1448"/>
      <c r="N3" s="1448"/>
      <c r="O3" s="1448"/>
      <c r="P3" s="1449"/>
      <c r="Q3" s="1463"/>
      <c r="R3" s="1463"/>
      <c r="S3" s="1463"/>
      <c r="T3" s="1463"/>
      <c r="U3" s="1463"/>
      <c r="V3" s="1463"/>
      <c r="W3" s="1463"/>
      <c r="X3" s="1463"/>
      <c r="Y3" s="1463"/>
      <c r="Z3" s="1463"/>
      <c r="AA3" s="1463"/>
      <c r="AB3" s="1463"/>
      <c r="AC3" s="1465"/>
    </row>
    <row r="4" spans="1:29" ht="15">
      <c r="A4" s="894" t="s">
        <v>928</v>
      </c>
      <c r="B4" s="895"/>
      <c r="C4" s="3167" t="s">
        <v>929</v>
      </c>
      <c r="D4" s="3168"/>
      <c r="E4" s="3169" t="s">
        <v>930</v>
      </c>
      <c r="F4" s="3170"/>
      <c r="G4" s="3167" t="s">
        <v>931</v>
      </c>
      <c r="H4" s="3168"/>
      <c r="I4" s="3167" t="s">
        <v>932</v>
      </c>
      <c r="J4" s="3168"/>
      <c r="K4" s="1450"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5" t="s">
        <v>931</v>
      </c>
      <c r="AC4" s="3195" t="s">
        <v>932</v>
      </c>
    </row>
    <row r="5" spans="1:29" ht="15">
      <c r="A5" s="896"/>
      <c r="B5" s="897"/>
      <c r="C5" s="3171" t="s">
        <v>935</v>
      </c>
      <c r="D5" s="3172"/>
      <c r="E5" s="3173" t="s">
        <v>1438</v>
      </c>
      <c r="F5" s="3174"/>
      <c r="G5" s="3171" t="s">
        <v>1439</v>
      </c>
      <c r="H5" s="3172"/>
      <c r="I5" s="3171" t="s">
        <v>1440</v>
      </c>
      <c r="J5" s="3172"/>
      <c r="K5" s="1451"/>
      <c r="L5" s="1029"/>
      <c r="M5" s="1030"/>
      <c r="N5" s="1030"/>
      <c r="O5" s="1030"/>
      <c r="P5" s="3200"/>
      <c r="Q5" s="3201"/>
      <c r="R5" s="3206"/>
      <c r="S5" s="3207"/>
      <c r="T5" s="3206"/>
      <c r="U5" s="3207"/>
      <c r="V5" s="3183"/>
      <c r="W5" s="3183"/>
      <c r="X5" s="1070"/>
      <c r="Y5" s="3206"/>
      <c r="Z5" s="3207"/>
      <c r="AA5" s="3196"/>
      <c r="AB5" s="3196"/>
      <c r="AC5" s="3196"/>
    </row>
    <row r="6" spans="1:29" ht="15">
      <c r="A6" s="898"/>
      <c r="B6" s="899"/>
      <c r="C6" s="3240" t="s">
        <v>1441</v>
      </c>
      <c r="D6" s="3241"/>
      <c r="E6" s="3242" t="s">
        <v>1441</v>
      </c>
      <c r="F6" s="3243"/>
      <c r="G6" s="3240" t="s">
        <v>1441</v>
      </c>
      <c r="H6" s="3241"/>
      <c r="I6" s="3240" t="s">
        <v>1441</v>
      </c>
      <c r="J6" s="3241"/>
      <c r="K6" s="1451" t="s">
        <v>937</v>
      </c>
      <c r="L6" s="1029"/>
      <c r="M6" s="1030"/>
      <c r="N6" s="1030"/>
      <c r="O6" s="1030"/>
      <c r="P6" s="3202"/>
      <c r="Q6" s="3203"/>
      <c r="R6" s="3206"/>
      <c r="S6" s="3207"/>
      <c r="T6" s="3208"/>
      <c r="U6" s="3209"/>
      <c r="V6" s="3183"/>
      <c r="W6" s="3183"/>
      <c r="X6" s="1070"/>
      <c r="Y6" s="3208"/>
      <c r="Z6" s="3209"/>
      <c r="AA6" s="3197"/>
      <c r="AB6" s="3197"/>
      <c r="AC6" s="3197"/>
    </row>
    <row r="7" spans="1:29" s="874" customFormat="1" ht="15">
      <c r="A7" s="900" t="s">
        <v>938</v>
      </c>
      <c r="B7" s="901"/>
      <c r="C7" s="902">
        <f>'数据-取费表'!B2</f>
        <v>44393</v>
      </c>
      <c r="D7" s="903">
        <v>100</v>
      </c>
      <c r="E7" s="904"/>
      <c r="F7" s="905">
        <f>SUMIF(58:58,YEAR(E7)&amp;"-"&amp;MONTH(E7),59:59)</f>
        <v>0</v>
      </c>
      <c r="G7" s="904"/>
      <c r="H7" s="903">
        <f>SUMIF(58:58,YEAR(G7)&amp;"-"&amp;MONTH(G7),59:59)</f>
        <v>0</v>
      </c>
      <c r="I7" s="904"/>
      <c r="J7" s="903">
        <f>SUMIF(58:58,YEAR(I7)&amp;"-"&amp;MONTH(I7),59:59)</f>
        <v>0</v>
      </c>
      <c r="K7" s="1452"/>
      <c r="L7" s="1032"/>
      <c r="M7" s="1033"/>
      <c r="N7" s="1033"/>
      <c r="O7" s="1033"/>
      <c r="P7" s="3179" t="s">
        <v>939</v>
      </c>
      <c r="Q7" s="3180"/>
      <c r="R7" s="1071" t="s">
        <v>940</v>
      </c>
      <c r="S7" s="1072">
        <f t="shared" ref="S7:S15" si="0">F7</f>
        <v>0</v>
      </c>
      <c r="T7" s="1071" t="s">
        <v>940</v>
      </c>
      <c r="U7" s="1072">
        <f t="shared" ref="U7:U15" si="1">H7</f>
        <v>0</v>
      </c>
      <c r="V7" s="1071" t="s">
        <v>940</v>
      </c>
      <c r="W7" s="1072">
        <f t="shared" ref="W7:W15" si="2">J7</f>
        <v>0</v>
      </c>
      <c r="X7" s="1073"/>
      <c r="Y7" s="3179" t="s">
        <v>939</v>
      </c>
      <c r="Z7" s="3181"/>
      <c r="AA7" s="1086" t="e">
        <f>D7/F7</f>
        <v>#DIV/0!</v>
      </c>
      <c r="AB7" s="1086" t="e">
        <f>D7/H7</f>
        <v>#DIV/0!</v>
      </c>
      <c r="AC7" s="1086" t="e">
        <f>D7/J7</f>
        <v>#DIV/0!</v>
      </c>
    </row>
    <row r="8" spans="1:29" s="874" customFormat="1" ht="15">
      <c r="A8" s="900" t="s">
        <v>941</v>
      </c>
      <c r="B8" s="901"/>
      <c r="C8" s="907" t="s">
        <v>942</v>
      </c>
      <c r="D8" s="903">
        <v>100</v>
      </c>
      <c r="E8" s="1438"/>
      <c r="F8" s="905">
        <f>SUMIF(61:61,E8,62:62)-SUMIF(61:61,C8,62:62)+100</f>
        <v>0</v>
      </c>
      <c r="G8" s="907"/>
      <c r="H8" s="903">
        <f>SUMIF(61:61,G8,62:62)-SUMIF(61:61,C8,62:62)+100</f>
        <v>0</v>
      </c>
      <c r="I8" s="1438"/>
      <c r="J8" s="903">
        <f>SUMIF(61:61,I8,62:62)-SUMIF(61:61,C8,62:62)+100</f>
        <v>0</v>
      </c>
      <c r="K8" s="1452"/>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19" si="3">D8/F8</f>
        <v>#DIV/0!</v>
      </c>
      <c r="AB8" s="1086" t="e">
        <f t="shared" ref="AB8:AB19" si="4">D8/H8</f>
        <v>#DIV/0!</v>
      </c>
      <c r="AC8" s="1086" t="e">
        <f t="shared" ref="AC8:AC19" si="5">D8/J8</f>
        <v>#DIV/0!</v>
      </c>
    </row>
    <row r="9" spans="1:29" s="874" customFormat="1">
      <c r="A9" s="908" t="s">
        <v>944</v>
      </c>
      <c r="B9" s="909" t="s">
        <v>349</v>
      </c>
      <c r="C9" s="1235"/>
      <c r="D9" s="911">
        <v>100</v>
      </c>
      <c r="E9" s="1309"/>
      <c r="F9" s="1237">
        <f>SUMIF(63:63,E9,64:64)-SUMIF(63:63,C9,64:64)+100</f>
        <v>100</v>
      </c>
      <c r="G9" s="1236"/>
      <c r="H9" s="911">
        <f>SUMIF(63:63,G9,64:64)-SUMIF(63:63,C9,64:64)+100</f>
        <v>100</v>
      </c>
      <c r="I9" s="1236"/>
      <c r="J9" s="911">
        <f>SUMIF(63:63,I9,64:64)-SUMIF(63:63,C9,64:64)+100</f>
        <v>100</v>
      </c>
      <c r="K9" s="1452"/>
      <c r="L9" s="1032"/>
      <c r="M9" s="1033"/>
      <c r="N9" s="1033"/>
      <c r="O9" s="1033"/>
      <c r="P9" s="3190"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086">
        <f t="shared" si="5"/>
        <v>1</v>
      </c>
    </row>
    <row r="10" spans="1:29" s="875" customFormat="1" ht="27">
      <c r="A10" s="912"/>
      <c r="B10" s="913" t="s">
        <v>947</v>
      </c>
      <c r="C10" s="1238"/>
      <c r="D10" s="915">
        <v>100</v>
      </c>
      <c r="E10" s="1312"/>
      <c r="F10" s="1239">
        <f>SUMIF(65:65,E10,66:66)-SUMIF(65:65,C10,66:66)+100</f>
        <v>100</v>
      </c>
      <c r="G10" s="1238"/>
      <c r="H10" s="915">
        <f>SUMIF(65:65,G10,66:66)-SUMIF(65:65,C10,66:66)+100</f>
        <v>100</v>
      </c>
      <c r="I10" s="1238"/>
      <c r="J10" s="915">
        <f>SUMIF(65:65,I10,66:66)-SUMIF(65:65,C10,66:66)+100</f>
        <v>100</v>
      </c>
      <c r="K10" s="1453"/>
      <c r="L10" s="1036"/>
      <c r="M10" s="1037"/>
      <c r="N10" s="1037"/>
      <c r="O10" s="1037"/>
      <c r="P10" s="3190"/>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086">
        <f t="shared" si="5"/>
        <v>1</v>
      </c>
    </row>
    <row r="11" spans="1:29" ht="15">
      <c r="A11" s="918"/>
      <c r="B11" s="913" t="s">
        <v>948</v>
      </c>
      <c r="C11" s="919"/>
      <c r="D11" s="915">
        <v>100</v>
      </c>
      <c r="E11" s="920"/>
      <c r="F11" s="1239" t="e">
        <f>LOOKUP(E11,68:68,69:69)-LOOKUP(C11,68:68,69:69)+100</f>
        <v>#N/A</v>
      </c>
      <c r="G11" s="919"/>
      <c r="H11" s="915" t="e">
        <f>LOOKUP(G11,68:68,69:69)-LOOKUP(C11,68:68,69:69)+100</f>
        <v>#N/A</v>
      </c>
      <c r="I11" s="919"/>
      <c r="J11" s="915" t="e">
        <f>LOOKUP(I11,68:68,69:69)-LOOKUP(C11,68:68,69:69)+100</f>
        <v>#N/A</v>
      </c>
      <c r="K11" s="1453"/>
      <c r="L11" s="1040"/>
      <c r="M11" s="1030"/>
      <c r="N11" s="1030"/>
      <c r="O11" s="1030"/>
      <c r="P11" s="3190"/>
      <c r="Q11" s="1075" t="str">
        <f t="shared" si="6"/>
        <v>容积率</v>
      </c>
      <c r="R11" s="1071" t="s">
        <v>940</v>
      </c>
      <c r="S11" s="1072" t="e">
        <f t="shared" si="0"/>
        <v>#N/A</v>
      </c>
      <c r="T11" s="1071" t="s">
        <v>940</v>
      </c>
      <c r="U11" s="1072" t="e">
        <f t="shared" si="1"/>
        <v>#N/A</v>
      </c>
      <c r="V11" s="1071" t="s">
        <v>940</v>
      </c>
      <c r="W11" s="1072" t="e">
        <f t="shared" si="2"/>
        <v>#N/A</v>
      </c>
      <c r="X11" s="1073"/>
      <c r="Y11" s="3047"/>
      <c r="Z11" s="1087" t="str">
        <f t="shared" si="7"/>
        <v>容积率</v>
      </c>
      <c r="AA11" s="1086" t="e">
        <f t="shared" si="3"/>
        <v>#N/A</v>
      </c>
      <c r="AB11" s="1086" t="e">
        <f t="shared" si="4"/>
        <v>#N/A</v>
      </c>
      <c r="AC11" s="1086" t="e">
        <f t="shared" si="5"/>
        <v>#N/A</v>
      </c>
    </row>
    <row r="12" spans="1:29" s="874" customFormat="1" ht="15">
      <c r="A12" s="921"/>
      <c r="B12" s="922">
        <v>111</v>
      </c>
      <c r="C12" s="914"/>
      <c r="D12" s="923">
        <v>100</v>
      </c>
      <c r="E12" s="914"/>
      <c r="F12" s="1239">
        <f>SUMIF(70:70,E12,71:71)-SUMIF(70:70,C12,71:71)+100</f>
        <v>100</v>
      </c>
      <c r="G12" s="914"/>
      <c r="H12" s="915">
        <f>SUMIF(70:70,G12,71:71)-SUMIF(70:70,C12,71:71)+100</f>
        <v>100</v>
      </c>
      <c r="I12" s="914"/>
      <c r="J12" s="915">
        <f>SUMIF(70:70,I12,71:71)-SUMIF(70:70,C12,71:71)+100</f>
        <v>100</v>
      </c>
      <c r="K12" s="1454"/>
      <c r="L12" s="1032"/>
      <c r="M12" s="1033"/>
      <c r="N12" s="1033"/>
      <c r="O12" s="1033"/>
      <c r="P12" s="3190"/>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c r="A13" s="918"/>
      <c r="B13" s="922">
        <v>111</v>
      </c>
      <c r="C13" s="924"/>
      <c r="D13" s="925">
        <v>100</v>
      </c>
      <c r="E13" s="924"/>
      <c r="F13" s="1239">
        <f>SUMIF(72:72,E13,73:73)-SUMIF(72:72,C13,73:73)+100</f>
        <v>100</v>
      </c>
      <c r="G13" s="924"/>
      <c r="H13" s="925">
        <f>SUMIF(72:72,G13,73:73)-SUMIF(72:72,C13,73:73)+100</f>
        <v>100</v>
      </c>
      <c r="I13" s="924"/>
      <c r="J13" s="925">
        <f>SUMIF(72:72,I13,73:73)-SUMIF(72:72,C13,73:73)+100</f>
        <v>100</v>
      </c>
      <c r="K13" s="1454"/>
      <c r="L13" s="1042"/>
      <c r="M13" s="1030"/>
      <c r="N13" s="1030"/>
      <c r="O13" s="1030"/>
      <c r="P13" s="3190"/>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54"/>
      <c r="L14" s="1042"/>
      <c r="M14" s="1030"/>
      <c r="N14" s="1030"/>
      <c r="O14" s="1030"/>
      <c r="P14" s="3190"/>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086">
        <f t="shared" si="5"/>
        <v>1</v>
      </c>
    </row>
    <row r="15" spans="1:29" ht="99.75">
      <c r="A15" s="932" t="s">
        <v>949</v>
      </c>
      <c r="B15" s="933" t="s">
        <v>657</v>
      </c>
      <c r="C15" s="934" t="str">
        <f>估价对象房地状况!C3</f>
        <v>估价对象周边居住用地比例、居住小区规模和社区发展完善程度，综合评价居住社区成熟度一般</v>
      </c>
      <c r="D15" s="935">
        <v>100</v>
      </c>
      <c r="E15" s="1043"/>
      <c r="F15" s="935">
        <f>SUMIF(76:76,E16,77:77)-SUMIF(76:76,C16,77:77)+100</f>
        <v>100</v>
      </c>
      <c r="G15" s="936"/>
      <c r="H15" s="935">
        <f>SUMIF(76:76,G16,77:77)-SUMIF(76:76,C16,77:77)+100</f>
        <v>100</v>
      </c>
      <c r="I15" s="936"/>
      <c r="J15" s="935">
        <f>SUMIF(76:76,I16,77:77)-SUMIF(76:76,C16,77:77)+100</f>
        <v>100</v>
      </c>
      <c r="K15" s="1455"/>
      <c r="L15" s="1042"/>
      <c r="M15" s="1030"/>
      <c r="N15" s="1030"/>
      <c r="O15" s="1030"/>
      <c r="P15" s="3245" t="s">
        <v>950</v>
      </c>
      <c r="Q15" s="657" t="str">
        <f t="shared" si="6"/>
        <v>居住社区成熟度</v>
      </c>
      <c r="R15" s="1076" t="s">
        <v>940</v>
      </c>
      <c r="S15" s="1077">
        <f t="shared" si="0"/>
        <v>100</v>
      </c>
      <c r="T15" s="1076" t="s">
        <v>940</v>
      </c>
      <c r="U15" s="1077">
        <f t="shared" si="1"/>
        <v>100</v>
      </c>
      <c r="V15" s="1076" t="s">
        <v>940</v>
      </c>
      <c r="W15" s="1077">
        <f t="shared" si="2"/>
        <v>100</v>
      </c>
      <c r="X15" s="1070"/>
      <c r="Y15" s="3185" t="s">
        <v>950</v>
      </c>
      <c r="Z15" s="1069" t="str">
        <f t="shared" si="7"/>
        <v>居住社区成熟度</v>
      </c>
      <c r="AA15" s="1088">
        <f t="shared" si="3"/>
        <v>1</v>
      </c>
      <c r="AB15" s="1088">
        <f t="shared" si="4"/>
        <v>1</v>
      </c>
      <c r="AC15" s="1088">
        <f t="shared" si="5"/>
        <v>1</v>
      </c>
    </row>
    <row r="16" spans="1:29" ht="15">
      <c r="A16" s="918"/>
      <c r="B16" s="937"/>
      <c r="C16" s="938"/>
      <c r="D16" s="939"/>
      <c r="E16" s="954"/>
      <c r="F16" s="939"/>
      <c r="G16" s="940"/>
      <c r="H16" s="941"/>
      <c r="I16" s="940"/>
      <c r="J16" s="939"/>
      <c r="K16" s="1456"/>
      <c r="L16" s="1042"/>
      <c r="M16" s="1030"/>
      <c r="N16" s="1030"/>
      <c r="O16" s="1030"/>
      <c r="P16" s="3246"/>
      <c r="Q16" s="657"/>
      <c r="R16" s="1076"/>
      <c r="S16" s="1077"/>
      <c r="T16" s="1076"/>
      <c r="U16" s="1077"/>
      <c r="V16" s="1076"/>
      <c r="W16" s="1077"/>
      <c r="X16" s="1070"/>
      <c r="Y16" s="3186"/>
      <c r="Z16" s="1069"/>
      <c r="AA16" s="1088">
        <v>1</v>
      </c>
      <c r="AB16" s="1088">
        <v>1</v>
      </c>
      <c r="AC16" s="1088">
        <v>1</v>
      </c>
    </row>
    <row r="17" spans="1:29" ht="85.5">
      <c r="A17" s="918"/>
      <c r="B17" s="942" t="s">
        <v>663</v>
      </c>
      <c r="C17" s="949" t="str">
        <f>估价对象房地状况!C6</f>
        <v>估价对象周边道路状况、公共交通通达情况、停车便捷程度，综合评价交通便捷度较好</v>
      </c>
      <c r="D17" s="941">
        <v>100</v>
      </c>
      <c r="E17" s="952"/>
      <c r="F17" s="941">
        <f>SUMIF(78:78,E18,79:79)-SUMIF(78:78,C18,79:79)+100</f>
        <v>100</v>
      </c>
      <c r="G17" s="943"/>
      <c r="H17" s="944">
        <f>SUMIF(78:78,G18,79:79)-SUMIF(78:78,C18,79:79)+100</f>
        <v>100</v>
      </c>
      <c r="I17" s="943"/>
      <c r="J17" s="944">
        <f>SUMIF(78:78,I18,79:79)-SUMIF(78:78,C18,79:79)+100</f>
        <v>100</v>
      </c>
      <c r="K17" s="1455"/>
      <c r="L17" s="1042"/>
      <c r="M17" s="1030"/>
      <c r="N17" s="1030"/>
      <c r="O17" s="1030"/>
      <c r="P17" s="3246"/>
      <c r="Q17" s="657" t="str">
        <f>B17</f>
        <v>交通便捷度</v>
      </c>
      <c r="R17" s="1076" t="s">
        <v>940</v>
      </c>
      <c r="S17" s="1077">
        <f>F17</f>
        <v>100</v>
      </c>
      <c r="T17" s="1076" t="s">
        <v>940</v>
      </c>
      <c r="U17" s="1077">
        <f>H17</f>
        <v>100</v>
      </c>
      <c r="V17" s="1076" t="s">
        <v>940</v>
      </c>
      <c r="W17" s="1077">
        <f>J17</f>
        <v>100</v>
      </c>
      <c r="X17" s="1070"/>
      <c r="Y17" s="3186"/>
      <c r="Z17" s="1069" t="str">
        <f>Q17</f>
        <v>交通便捷度</v>
      </c>
      <c r="AA17" s="1088">
        <f t="shared" si="3"/>
        <v>1</v>
      </c>
      <c r="AB17" s="1088">
        <f t="shared" si="4"/>
        <v>1</v>
      </c>
      <c r="AC17" s="1088">
        <f t="shared" si="5"/>
        <v>1</v>
      </c>
    </row>
    <row r="18" spans="1:29" ht="15">
      <c r="A18" s="918"/>
      <c r="B18" s="945"/>
      <c r="C18" s="946"/>
      <c r="D18" s="941"/>
      <c r="E18" s="1044"/>
      <c r="F18" s="941"/>
      <c r="G18" s="947"/>
      <c r="H18" s="939"/>
      <c r="I18" s="947"/>
      <c r="J18" s="939"/>
      <c r="K18" s="1456"/>
      <c r="L18" s="1042"/>
      <c r="M18" s="1030"/>
      <c r="N18" s="1030"/>
      <c r="O18" s="1030"/>
      <c r="P18" s="3246"/>
      <c r="Q18" s="657"/>
      <c r="R18" s="1076"/>
      <c r="S18" s="1077"/>
      <c r="T18" s="1076"/>
      <c r="U18" s="1077"/>
      <c r="V18" s="1076"/>
      <c r="W18" s="1077"/>
      <c r="X18" s="1070"/>
      <c r="Y18" s="3186"/>
      <c r="Z18" s="1069"/>
      <c r="AA18" s="1088">
        <v>1</v>
      </c>
      <c r="AB18" s="1088">
        <v>1</v>
      </c>
      <c r="AC18" s="1088">
        <v>1</v>
      </c>
    </row>
    <row r="19" spans="1:29" ht="42.75">
      <c r="A19" s="918"/>
      <c r="B19" s="942" t="s">
        <v>667</v>
      </c>
      <c r="C19" s="949" t="str">
        <f>估价对象房地状况!C7</f>
        <v>估价对象所在区域公共配套设施齐备情况</v>
      </c>
      <c r="D19" s="944">
        <v>100</v>
      </c>
      <c r="E19" s="1045"/>
      <c r="F19" s="944">
        <f>SUMIF(80:80,E20,81:81)-SUMIF(80:80,C20,81:81)+100</f>
        <v>100</v>
      </c>
      <c r="G19" s="948"/>
      <c r="H19" s="941">
        <f>SUMIF(80:80,G20,81:81)-SUMIF(80:80,C20,81:81)+100</f>
        <v>100</v>
      </c>
      <c r="I19" s="948"/>
      <c r="J19" s="941">
        <f>SUMIF(80:80,I20,81:81)-SUMIF(80:80,C20,81:81)+100</f>
        <v>100</v>
      </c>
      <c r="K19" s="1455"/>
      <c r="L19" s="1042"/>
      <c r="M19" s="1030"/>
      <c r="N19" s="1030"/>
      <c r="O19" s="1030"/>
      <c r="P19" s="3246"/>
      <c r="Q19" s="657" t="str">
        <f>B19</f>
        <v>公共配套设施</v>
      </c>
      <c r="R19" s="1076" t="s">
        <v>940</v>
      </c>
      <c r="S19" s="1077">
        <f>F19</f>
        <v>100</v>
      </c>
      <c r="T19" s="1076" t="s">
        <v>940</v>
      </c>
      <c r="U19" s="1077">
        <f>H19</f>
        <v>100</v>
      </c>
      <c r="V19" s="1076" t="s">
        <v>940</v>
      </c>
      <c r="W19" s="1077">
        <f>J19</f>
        <v>100</v>
      </c>
      <c r="X19" s="1070"/>
      <c r="Y19" s="3186"/>
      <c r="Z19" s="1069" t="str">
        <f>Q19</f>
        <v>公共配套设施</v>
      </c>
      <c r="AA19" s="1088">
        <f t="shared" si="3"/>
        <v>1</v>
      </c>
      <c r="AB19" s="1088">
        <f t="shared" si="4"/>
        <v>1</v>
      </c>
      <c r="AC19" s="1088">
        <f t="shared" si="5"/>
        <v>1</v>
      </c>
    </row>
    <row r="20" spans="1:29" ht="15">
      <c r="A20" s="918"/>
      <c r="B20" s="945"/>
      <c r="C20" s="938"/>
      <c r="D20" s="939"/>
      <c r="E20" s="954"/>
      <c r="F20" s="939"/>
      <c r="G20" s="940"/>
      <c r="H20" s="939"/>
      <c r="I20" s="940"/>
      <c r="J20" s="939"/>
      <c r="K20" s="1456"/>
      <c r="L20" s="1042"/>
      <c r="M20" s="1030"/>
      <c r="N20" s="1030"/>
      <c r="O20" s="1030"/>
      <c r="P20" s="3246"/>
      <c r="Q20" s="657"/>
      <c r="R20" s="1076"/>
      <c r="S20" s="1077"/>
      <c r="T20" s="1076"/>
      <c r="U20" s="1077"/>
      <c r="V20" s="1076"/>
      <c r="W20" s="1077"/>
      <c r="X20" s="1070"/>
      <c r="Y20" s="3186"/>
      <c r="Z20" s="1069"/>
      <c r="AA20" s="1088">
        <v>1</v>
      </c>
      <c r="AB20" s="1088">
        <v>1</v>
      </c>
      <c r="AC20" s="1088">
        <v>1</v>
      </c>
    </row>
    <row r="21" spans="1:29" ht="28.5">
      <c r="A21" s="918"/>
      <c r="B21" s="950" t="s">
        <v>669</v>
      </c>
      <c r="C21" s="949" t="str">
        <f>估价对象房地状况!C8</f>
        <v>估价对象所在区域基础设施水平</v>
      </c>
      <c r="D21" s="941">
        <v>100</v>
      </c>
      <c r="E21" s="1045"/>
      <c r="F21" s="944">
        <f>SUMIF(82:82,E22,83:83)-SUMIF(82:82,C22,83:83)+100</f>
        <v>100</v>
      </c>
      <c r="G21" s="948"/>
      <c r="H21" s="941">
        <f>SUMIF(82:82,G22,83:83)-SUMIF(82:82,C22,83:83)+100</f>
        <v>100</v>
      </c>
      <c r="I21" s="948"/>
      <c r="J21" s="941">
        <f>SUMIF(82:82,I22,83:83)-SUMIF(82:82,C22,83:83)+100</f>
        <v>100</v>
      </c>
      <c r="K21" s="1455"/>
      <c r="L21" s="1042"/>
      <c r="M21" s="1030"/>
      <c r="N21" s="1030"/>
      <c r="O21" s="1030"/>
      <c r="P21" s="3246"/>
      <c r="Q21" s="657" t="str">
        <f>B21</f>
        <v>基础设施水平</v>
      </c>
      <c r="R21" s="1076" t="s">
        <v>940</v>
      </c>
      <c r="S21" s="1077">
        <f>F21</f>
        <v>100</v>
      </c>
      <c r="T21" s="1076" t="s">
        <v>940</v>
      </c>
      <c r="U21" s="1077">
        <f>H21</f>
        <v>100</v>
      </c>
      <c r="V21" s="1076" t="s">
        <v>940</v>
      </c>
      <c r="W21" s="1077">
        <f>J21</f>
        <v>100</v>
      </c>
      <c r="X21" s="1070"/>
      <c r="Y21" s="3186"/>
      <c r="Z21" s="1069" t="str">
        <f>Q21</f>
        <v>基础设施水平</v>
      </c>
      <c r="AA21" s="1088">
        <f t="shared" ref="AA21" si="8">D21/F21</f>
        <v>1</v>
      </c>
      <c r="AB21" s="1088">
        <f t="shared" ref="AB21" si="9">D21/H21</f>
        <v>1</v>
      </c>
      <c r="AC21" s="1088">
        <f t="shared" ref="AC21" si="10">D21/J21</f>
        <v>1</v>
      </c>
    </row>
    <row r="22" spans="1:29" ht="15">
      <c r="A22" s="918"/>
      <c r="B22" s="950"/>
      <c r="C22" s="946"/>
      <c r="D22" s="939"/>
      <c r="E22" s="938"/>
      <c r="F22" s="939"/>
      <c r="G22" s="955"/>
      <c r="H22" s="939"/>
      <c r="I22" s="938"/>
      <c r="J22" s="939"/>
      <c r="K22" s="1457"/>
      <c r="L22" s="1042"/>
      <c r="M22" s="1030"/>
      <c r="N22" s="1030"/>
      <c r="O22" s="1030"/>
      <c r="P22" s="3246"/>
      <c r="Q22" s="657"/>
      <c r="R22" s="1076"/>
      <c r="S22" s="1077"/>
      <c r="T22" s="1076"/>
      <c r="U22" s="1077"/>
      <c r="V22" s="1076"/>
      <c r="W22" s="1077"/>
      <c r="X22" s="1070"/>
      <c r="Y22" s="3186"/>
      <c r="Z22" s="1069"/>
      <c r="AA22" s="1088">
        <v>1</v>
      </c>
      <c r="AB22" s="1088">
        <v>1</v>
      </c>
      <c r="AC22" s="1088">
        <v>1</v>
      </c>
    </row>
    <row r="23" spans="1:29" ht="57">
      <c r="A23" s="918"/>
      <c r="B23" s="942" t="s">
        <v>673</v>
      </c>
      <c r="C23" s="949" t="str">
        <f>估价对象房地状况!C9</f>
        <v>区域自然环境：；人文环境；综合评价环境状况一般</v>
      </c>
      <c r="D23" s="941">
        <v>100</v>
      </c>
      <c r="E23" s="952"/>
      <c r="F23" s="941">
        <f>SUMIF(84:84,E24,85:85)-SUMIF(84:84,C24,85:85)+100</f>
        <v>100</v>
      </c>
      <c r="G23" s="943"/>
      <c r="H23" s="941">
        <f>SUMIF(84:84,G24,85:85)-SUMIF(84:84,C24,85:85)+100</f>
        <v>100</v>
      </c>
      <c r="I23" s="943"/>
      <c r="J23" s="941">
        <f>SUMIF(84:84,I24,85:85)-SUMIF(84:84,C24,85:85)+100</f>
        <v>100</v>
      </c>
      <c r="K23" s="1455"/>
      <c r="L23" s="1042"/>
      <c r="M23" s="1030"/>
      <c r="N23" s="1030"/>
      <c r="O23" s="1030"/>
      <c r="P23" s="3246"/>
      <c r="Q23" s="657" t="str">
        <f>B23</f>
        <v>自然及人文环境</v>
      </c>
      <c r="R23" s="1076" t="s">
        <v>940</v>
      </c>
      <c r="S23" s="1077">
        <f>F23</f>
        <v>100</v>
      </c>
      <c r="T23" s="1076" t="s">
        <v>940</v>
      </c>
      <c r="U23" s="1077">
        <f>H23</f>
        <v>100</v>
      </c>
      <c r="V23" s="1076" t="s">
        <v>940</v>
      </c>
      <c r="W23" s="1077">
        <f>J23</f>
        <v>100</v>
      </c>
      <c r="X23" s="1070"/>
      <c r="Y23" s="3186"/>
      <c r="Z23" s="1069" t="str">
        <f>Q23</f>
        <v>自然及人文环境</v>
      </c>
      <c r="AA23" s="1088">
        <f>D23/F23</f>
        <v>1</v>
      </c>
      <c r="AB23" s="1088">
        <f>D23/H23</f>
        <v>1</v>
      </c>
      <c r="AC23" s="1088">
        <f>D23/J23</f>
        <v>1</v>
      </c>
    </row>
    <row r="24" spans="1:29" ht="15">
      <c r="A24" s="918"/>
      <c r="B24" s="945"/>
      <c r="C24" s="938"/>
      <c r="D24" s="939"/>
      <c r="E24" s="954"/>
      <c r="F24" s="939"/>
      <c r="G24" s="940"/>
      <c r="H24" s="939"/>
      <c r="I24" s="940"/>
      <c r="J24" s="939"/>
      <c r="K24" s="1456"/>
      <c r="L24" s="1042"/>
      <c r="M24" s="1030"/>
      <c r="N24" s="1030"/>
      <c r="O24" s="1030"/>
      <c r="P24" s="3246"/>
      <c r="Q24" s="657"/>
      <c r="R24" s="1076"/>
      <c r="S24" s="1077"/>
      <c r="T24" s="1076"/>
      <c r="U24" s="1077"/>
      <c r="V24" s="1076"/>
      <c r="W24" s="1077"/>
      <c r="X24" s="1070"/>
      <c r="Y24" s="3186"/>
      <c r="Z24" s="1069"/>
      <c r="AA24" s="1088">
        <v>1</v>
      </c>
      <c r="AB24" s="1088">
        <v>1</v>
      </c>
      <c r="AC24" s="1088">
        <v>1</v>
      </c>
    </row>
    <row r="25" spans="1:29" ht="15">
      <c r="A25" s="918"/>
      <c r="B25" s="913" t="s">
        <v>1442</v>
      </c>
      <c r="C25" s="1257"/>
      <c r="D25" s="925">
        <v>100</v>
      </c>
      <c r="E25" s="972"/>
      <c r="F25" s="925">
        <f>SUMIF(86:86,E25,87:87)-SUMIF(86:86,C25,87:87)+100</f>
        <v>100</v>
      </c>
      <c r="G25" s="1439"/>
      <c r="H25" s="925">
        <f>SUMIF(86:86,G25,87:87)-SUMIF(86:86,C25,87:87)+100</f>
        <v>100</v>
      </c>
      <c r="I25" s="1439"/>
      <c r="J25" s="925">
        <f>SUMIF(86:86,I25,87:87)-SUMIF(86:86,C25,87:87)+100</f>
        <v>100</v>
      </c>
      <c r="K25" s="1453"/>
      <c r="L25" s="1042"/>
      <c r="M25" s="1030"/>
      <c r="N25" s="1030"/>
      <c r="O25" s="1030"/>
      <c r="P25" s="3246"/>
      <c r="Q25" s="657" t="str">
        <f t="shared" ref="Q25:Q46" si="11">B25</f>
        <v>楼层-1</v>
      </c>
      <c r="R25" s="1076" t="s">
        <v>940</v>
      </c>
      <c r="S25" s="1077">
        <f t="shared" ref="S25:S46" si="12">F25</f>
        <v>100</v>
      </c>
      <c r="T25" s="1076" t="s">
        <v>940</v>
      </c>
      <c r="U25" s="1077">
        <f t="shared" ref="U25:U46" si="13">H25</f>
        <v>100</v>
      </c>
      <c r="V25" s="1076" t="s">
        <v>940</v>
      </c>
      <c r="W25" s="1077">
        <f t="shared" ref="W25:W46" si="14">J25</f>
        <v>100</v>
      </c>
      <c r="X25" s="1070"/>
      <c r="Y25" s="3186"/>
      <c r="Z25" s="1069" t="str">
        <f>Q25</f>
        <v>楼层-1</v>
      </c>
      <c r="AA25" s="1088">
        <f t="shared" ref="AA25:AA46" si="15">D25/F25</f>
        <v>1</v>
      </c>
      <c r="AB25" s="1088">
        <f t="shared" ref="AB25:AB46" si="16">D25/H25</f>
        <v>1</v>
      </c>
      <c r="AC25" s="1088">
        <f t="shared" ref="AC25:AC46" si="17">D25/J25</f>
        <v>1</v>
      </c>
    </row>
    <row r="26" spans="1:29" ht="15">
      <c r="A26" s="918"/>
      <c r="B26" s="913" t="s">
        <v>1443</v>
      </c>
      <c r="C26" s="1257"/>
      <c r="D26" s="925">
        <v>100</v>
      </c>
      <c r="E26" s="972"/>
      <c r="F26" s="925">
        <f>SUMIF(88:88,E26,89:89)-SUMIF(88:88,C26,89:89)+100</f>
        <v>100</v>
      </c>
      <c r="G26" s="1439"/>
      <c r="H26" s="925">
        <f>SUMIF(88:88,G26,89:89)-SUMIF(88:88,C26,89:89)+100</f>
        <v>100</v>
      </c>
      <c r="I26" s="1439"/>
      <c r="J26" s="925">
        <f>SUMIF(88:88,I26,89:89)-SUMIF(88:88,C26,89:89)+100</f>
        <v>100</v>
      </c>
      <c r="K26" s="1453"/>
      <c r="L26" s="1042"/>
      <c r="M26" s="1030"/>
      <c r="N26" s="1030"/>
      <c r="O26" s="1030"/>
      <c r="P26" s="3246"/>
      <c r="Q26" s="657" t="str">
        <f t="shared" si="11"/>
        <v>朝向</v>
      </c>
      <c r="R26" s="1076" t="s">
        <v>940</v>
      </c>
      <c r="S26" s="1077">
        <f t="shared" si="12"/>
        <v>100</v>
      </c>
      <c r="T26" s="1076" t="s">
        <v>940</v>
      </c>
      <c r="U26" s="1077">
        <f t="shared" si="13"/>
        <v>100</v>
      </c>
      <c r="V26" s="1076" t="s">
        <v>940</v>
      </c>
      <c r="W26" s="1077">
        <f t="shared" si="14"/>
        <v>100</v>
      </c>
      <c r="X26" s="1070"/>
      <c r="Y26" s="3186"/>
      <c r="Z26" s="1069" t="str">
        <f>Q26</f>
        <v>朝向</v>
      </c>
      <c r="AA26" s="1088">
        <f t="shared" si="15"/>
        <v>1</v>
      </c>
      <c r="AB26" s="1088">
        <f t="shared" si="16"/>
        <v>1</v>
      </c>
      <c r="AC26" s="1088">
        <f t="shared" si="17"/>
        <v>1</v>
      </c>
    </row>
    <row r="27" spans="1:29" s="874" customFormat="1" ht="15">
      <c r="A27" s="921"/>
      <c r="B27" s="960">
        <v>111</v>
      </c>
      <c r="C27" s="914"/>
      <c r="D27" s="1376">
        <v>100</v>
      </c>
      <c r="E27" s="916"/>
      <c r="F27" s="1376">
        <f>SUMIF(90:90,E27,91:91)-SUMIF(90:90,C27,91:91)+100</f>
        <v>100</v>
      </c>
      <c r="G27" s="917"/>
      <c r="H27" s="1376">
        <f>SUMIF(90:90,G27,91:91)-SUMIF(90:90,C27,91:91)+100</f>
        <v>100</v>
      </c>
      <c r="I27" s="917"/>
      <c r="J27" s="1376">
        <f>SUMIF(90:90,I27,91:91)-SUMIF(90:90,C27,91:91)+100</f>
        <v>100</v>
      </c>
      <c r="K27" s="1454"/>
      <c r="L27" s="1032"/>
      <c r="M27" s="1033"/>
      <c r="N27" s="1033"/>
      <c r="O27" s="1033"/>
      <c r="P27" s="3246"/>
      <c r="Q27" s="1075">
        <f t="shared" si="11"/>
        <v>111</v>
      </c>
      <c r="R27" s="1071" t="s">
        <v>940</v>
      </c>
      <c r="S27" s="1072">
        <f t="shared" si="12"/>
        <v>100</v>
      </c>
      <c r="T27" s="1071" t="s">
        <v>940</v>
      </c>
      <c r="U27" s="1072">
        <f t="shared" si="13"/>
        <v>100</v>
      </c>
      <c r="V27" s="1071" t="s">
        <v>940</v>
      </c>
      <c r="W27" s="1072">
        <f t="shared" si="14"/>
        <v>100</v>
      </c>
      <c r="X27" s="1073"/>
      <c r="Y27" s="3186"/>
      <c r="Z27" s="1087">
        <f>Q27</f>
        <v>111</v>
      </c>
      <c r="AA27" s="1088">
        <f t="shared" si="15"/>
        <v>1</v>
      </c>
      <c r="AB27" s="1088">
        <f t="shared" si="16"/>
        <v>1</v>
      </c>
      <c r="AC27" s="1088">
        <f t="shared" si="17"/>
        <v>1</v>
      </c>
    </row>
    <row r="28" spans="1:29" ht="15">
      <c r="A28" s="918"/>
      <c r="B28" s="960">
        <v>111</v>
      </c>
      <c r="C28" s="924"/>
      <c r="D28" s="925">
        <v>100</v>
      </c>
      <c r="E28" s="924"/>
      <c r="F28" s="925">
        <f>SUMIF(92:92,E28,93:93)-SUMIF(92:92,C28,93:93)+100</f>
        <v>100</v>
      </c>
      <c r="G28" s="1386"/>
      <c r="H28" s="925">
        <f>SUMIF(92:92,G28,93:93)-SUMIF(92:92,C28,93:93)+100</f>
        <v>100</v>
      </c>
      <c r="I28" s="924"/>
      <c r="J28" s="925">
        <f>SUMIF(92:92,I28,93:93)-SUMIF(92:92,C28,93:93)+100</f>
        <v>100</v>
      </c>
      <c r="K28" s="1454"/>
      <c r="L28" s="1042"/>
      <c r="M28" s="1030"/>
      <c r="N28" s="1030"/>
      <c r="O28" s="1030"/>
      <c r="P28" s="3246"/>
      <c r="Q28" s="657">
        <f t="shared" si="11"/>
        <v>111</v>
      </c>
      <c r="R28" s="1076" t="s">
        <v>940</v>
      </c>
      <c r="S28" s="1077">
        <f t="shared" si="12"/>
        <v>100</v>
      </c>
      <c r="T28" s="1076" t="s">
        <v>940</v>
      </c>
      <c r="U28" s="1077">
        <f t="shared" si="13"/>
        <v>100</v>
      </c>
      <c r="V28" s="1076" t="s">
        <v>940</v>
      </c>
      <c r="W28" s="1077">
        <f t="shared" si="14"/>
        <v>100</v>
      </c>
      <c r="X28" s="1070"/>
      <c r="Y28" s="3186"/>
      <c r="Z28" s="1069">
        <f t="shared" ref="Z28:Z46" si="18">Q28</f>
        <v>111</v>
      </c>
      <c r="AA28" s="1088">
        <f t="shared" si="15"/>
        <v>1</v>
      </c>
      <c r="AB28" s="1088">
        <f t="shared" si="16"/>
        <v>1</v>
      </c>
      <c r="AC28" s="1088">
        <f t="shared" si="17"/>
        <v>1</v>
      </c>
    </row>
    <row r="29" spans="1:29" ht="15">
      <c r="A29" s="918"/>
      <c r="B29" s="960">
        <v>111</v>
      </c>
      <c r="C29" s="924"/>
      <c r="D29" s="925">
        <v>100</v>
      </c>
      <c r="E29" s="924"/>
      <c r="F29" s="925">
        <f>SUMIF(94:94,E29,95:95)-SUMIF(94:94,C29,95:95)+100</f>
        <v>100</v>
      </c>
      <c r="G29" s="1386"/>
      <c r="H29" s="925">
        <f>SUMIF(94:94,G29,95:95)-SUMIF(94:94,C29,95:95)+100</f>
        <v>100</v>
      </c>
      <c r="I29" s="924"/>
      <c r="J29" s="925">
        <f>SUMIF(94:94,I29,95:95)-SUMIF(94:94,C29,95:95)+100</f>
        <v>100</v>
      </c>
      <c r="K29" s="1454"/>
      <c r="L29" s="1042"/>
      <c r="M29" s="1030"/>
      <c r="N29" s="1030"/>
      <c r="O29" s="1030"/>
      <c r="P29" s="3246"/>
      <c r="Q29" s="657">
        <f t="shared" si="11"/>
        <v>111</v>
      </c>
      <c r="R29" s="1076" t="s">
        <v>940</v>
      </c>
      <c r="S29" s="1077">
        <f t="shared" si="12"/>
        <v>100</v>
      </c>
      <c r="T29" s="1076" t="s">
        <v>940</v>
      </c>
      <c r="U29" s="1077">
        <f t="shared" si="13"/>
        <v>100</v>
      </c>
      <c r="V29" s="1076" t="s">
        <v>940</v>
      </c>
      <c r="W29" s="1077">
        <f t="shared" si="14"/>
        <v>100</v>
      </c>
      <c r="X29" s="1070"/>
      <c r="Y29" s="3186"/>
      <c r="Z29" s="1069">
        <f t="shared" si="18"/>
        <v>111</v>
      </c>
      <c r="AA29" s="1088">
        <f t="shared" si="15"/>
        <v>1</v>
      </c>
      <c r="AB29" s="1088">
        <f t="shared" si="16"/>
        <v>1</v>
      </c>
      <c r="AC29" s="1088">
        <f t="shared" si="17"/>
        <v>1</v>
      </c>
    </row>
    <row r="30" spans="1:29" ht="15">
      <c r="A30" s="918"/>
      <c r="B30" s="960">
        <v>111</v>
      </c>
      <c r="C30" s="924"/>
      <c r="D30" s="925">
        <v>100</v>
      </c>
      <c r="E30" s="924"/>
      <c r="F30" s="925">
        <f>SUMIF(96:96,E30,97:97)-SUMIF(96:96,C30,97:97)+100</f>
        <v>100</v>
      </c>
      <c r="G30" s="1386"/>
      <c r="H30" s="925">
        <f>SUMIF(96:96,G30,97:97)-SUMIF(96:96,C30,97:97)+100</f>
        <v>100</v>
      </c>
      <c r="I30" s="924"/>
      <c r="J30" s="925">
        <f>SUMIF(96:96,I30,97:97)-SUMIF(96:96,C30,97:97)+100</f>
        <v>100</v>
      </c>
      <c r="K30" s="1454"/>
      <c r="L30" s="1042"/>
      <c r="M30" s="1030"/>
      <c r="N30" s="1030"/>
      <c r="O30" s="1030"/>
      <c r="P30" s="3246"/>
      <c r="Q30" s="657">
        <f t="shared" si="11"/>
        <v>111</v>
      </c>
      <c r="R30" s="1076" t="s">
        <v>940</v>
      </c>
      <c r="S30" s="1077">
        <f t="shared" si="12"/>
        <v>100</v>
      </c>
      <c r="T30" s="1076" t="s">
        <v>940</v>
      </c>
      <c r="U30" s="1077">
        <f t="shared" si="13"/>
        <v>100</v>
      </c>
      <c r="V30" s="1076" t="s">
        <v>940</v>
      </c>
      <c r="W30" s="1077">
        <f t="shared" si="14"/>
        <v>100</v>
      </c>
      <c r="X30" s="1070"/>
      <c r="Y30" s="3186"/>
      <c r="Z30" s="1069">
        <f t="shared" si="18"/>
        <v>111</v>
      </c>
      <c r="AA30" s="1088">
        <f t="shared" si="15"/>
        <v>1</v>
      </c>
      <c r="AB30" s="1088">
        <f t="shared" si="16"/>
        <v>1</v>
      </c>
      <c r="AC30" s="1088">
        <f t="shared" si="17"/>
        <v>1</v>
      </c>
    </row>
    <row r="31" spans="1:29" ht="15">
      <c r="A31" s="928"/>
      <c r="B31" s="960">
        <v>111</v>
      </c>
      <c r="C31" s="930"/>
      <c r="D31" s="931">
        <v>100</v>
      </c>
      <c r="E31" s="930"/>
      <c r="F31" s="931">
        <f>SUMIF(98:98,E31,99:99)-SUMIF(98:98,C31,99:99)+100</f>
        <v>100</v>
      </c>
      <c r="G31" s="1390"/>
      <c r="H31" s="931">
        <f>SUMIF(98:98,G31,99:99)-SUMIF(98:98,C31,99:99)+100</f>
        <v>100</v>
      </c>
      <c r="I31" s="930"/>
      <c r="J31" s="931">
        <f>SUMIF(98:98,I31,99:99)-SUMIF(98:98,C31,99:99)+100</f>
        <v>100</v>
      </c>
      <c r="K31" s="1454"/>
      <c r="L31" s="1042"/>
      <c r="M31" s="1030"/>
      <c r="N31" s="1030"/>
      <c r="O31" s="1030"/>
      <c r="P31" s="3246"/>
      <c r="Q31" s="657">
        <f t="shared" si="11"/>
        <v>111</v>
      </c>
      <c r="R31" s="1076" t="s">
        <v>940</v>
      </c>
      <c r="S31" s="1077">
        <f t="shared" si="12"/>
        <v>100</v>
      </c>
      <c r="T31" s="1076" t="s">
        <v>940</v>
      </c>
      <c r="U31" s="1077">
        <f t="shared" si="13"/>
        <v>100</v>
      </c>
      <c r="V31" s="1076" t="s">
        <v>940</v>
      </c>
      <c r="W31" s="1077">
        <f t="shared" si="14"/>
        <v>100</v>
      </c>
      <c r="X31" s="1070"/>
      <c r="Y31" s="3186"/>
      <c r="Z31" s="1069">
        <f t="shared" si="18"/>
        <v>111</v>
      </c>
      <c r="AA31" s="1088">
        <f t="shared" si="15"/>
        <v>1</v>
      </c>
      <c r="AB31" s="1088">
        <f t="shared" si="16"/>
        <v>1</v>
      </c>
      <c r="AC31" s="1088">
        <f t="shared" si="17"/>
        <v>1</v>
      </c>
    </row>
    <row r="32" spans="1:29" ht="15">
      <c r="A32" s="932" t="s">
        <v>952</v>
      </c>
      <c r="B32" s="909" t="s">
        <v>1444</v>
      </c>
      <c r="C32" s="1414"/>
      <c r="D32" s="971">
        <v>100</v>
      </c>
      <c r="E32" s="1440"/>
      <c r="F32" s="1247">
        <f>SUMIF(100:100,E32,101:101)-SUMIF(100:100,C32,101:101)+100</f>
        <v>100</v>
      </c>
      <c r="G32" s="1414"/>
      <c r="H32" s="971">
        <f>SUMIF(100:100,G32,101:101)-SUMIF(100:100,C32,101:101)+100</f>
        <v>100</v>
      </c>
      <c r="I32" s="1440"/>
      <c r="J32" s="925">
        <f>SUMIF(100:100,I32,101:101)-SUMIF(100:100,C32,101:101)+100</f>
        <v>100</v>
      </c>
      <c r="K32" s="1453"/>
      <c r="L32" s="1042"/>
      <c r="M32" s="1030"/>
      <c r="N32" s="1030"/>
      <c r="O32" s="1030"/>
      <c r="P32" s="3247" t="s">
        <v>951</v>
      </c>
      <c r="Q32" s="657" t="str">
        <f t="shared" si="11"/>
        <v>建筑类型</v>
      </c>
      <c r="R32" s="1076" t="s">
        <v>940</v>
      </c>
      <c r="S32" s="1077">
        <f t="shared" si="12"/>
        <v>100</v>
      </c>
      <c r="T32" s="1076" t="s">
        <v>940</v>
      </c>
      <c r="U32" s="1077">
        <f t="shared" si="13"/>
        <v>100</v>
      </c>
      <c r="V32" s="1076" t="s">
        <v>940</v>
      </c>
      <c r="W32" s="1077">
        <f t="shared" si="14"/>
        <v>100</v>
      </c>
      <c r="X32" s="1070"/>
      <c r="Y32" s="3188" t="s">
        <v>951</v>
      </c>
      <c r="Z32" s="1069" t="str">
        <f t="shared" si="18"/>
        <v>建筑类型</v>
      </c>
      <c r="AA32" s="1088">
        <f t="shared" si="15"/>
        <v>1</v>
      </c>
      <c r="AB32" s="1088">
        <f t="shared" si="16"/>
        <v>1</v>
      </c>
      <c r="AC32" s="1088">
        <f t="shared" si="17"/>
        <v>1</v>
      </c>
    </row>
    <row r="33" spans="1:29" s="876" customFormat="1" ht="15">
      <c r="A33" s="975"/>
      <c r="B33" s="913" t="s">
        <v>1445</v>
      </c>
      <c r="C33" s="1240"/>
      <c r="D33" s="915">
        <v>100</v>
      </c>
      <c r="E33" s="920"/>
      <c r="F33" s="1239" t="e">
        <f>LOOKUP(E33,103:103,104:104)-LOOKUP(C33,103:103,104:104)+100</f>
        <v>#N/A</v>
      </c>
      <c r="G33" s="919"/>
      <c r="H33" s="915" t="e">
        <f>LOOKUP(G33,103:103,104:104)-LOOKUP(C33,103:103,104:104)+100</f>
        <v>#N/A</v>
      </c>
      <c r="I33" s="920"/>
      <c r="J33" s="915" t="e">
        <f>LOOKUP(I33,103:103,104:104)-LOOKUP(C33,103:103,104:104)+100</f>
        <v>#N/A</v>
      </c>
      <c r="K33" s="1454"/>
      <c r="L33" s="1040"/>
      <c r="M33" s="1049"/>
      <c r="N33" s="1049"/>
      <c r="O33" s="1049"/>
      <c r="P33" s="3248"/>
      <c r="Q33" s="1290" t="str">
        <f t="shared" si="11"/>
        <v>项目建筑规模</v>
      </c>
      <c r="R33" s="1078" t="s">
        <v>940</v>
      </c>
      <c r="S33" s="1079" t="e">
        <f t="shared" si="12"/>
        <v>#N/A</v>
      </c>
      <c r="T33" s="1078" t="s">
        <v>940</v>
      </c>
      <c r="U33" s="1079" t="e">
        <f t="shared" si="13"/>
        <v>#N/A</v>
      </c>
      <c r="V33" s="1078" t="s">
        <v>940</v>
      </c>
      <c r="W33" s="1079" t="e">
        <f t="shared" si="14"/>
        <v>#N/A</v>
      </c>
      <c r="X33" s="1080"/>
      <c r="Y33" s="3188"/>
      <c r="Z33" s="1089" t="str">
        <f t="shared" si="18"/>
        <v>项目建筑规模</v>
      </c>
      <c r="AA33" s="1088" t="e">
        <f t="shared" si="15"/>
        <v>#N/A</v>
      </c>
      <c r="AB33" s="1088" t="e">
        <f t="shared" si="16"/>
        <v>#N/A</v>
      </c>
      <c r="AC33" s="1088" t="e">
        <f t="shared" si="17"/>
        <v>#N/A</v>
      </c>
    </row>
    <row r="34" spans="1:29" ht="15">
      <c r="A34" s="969"/>
      <c r="B34" s="913" t="s">
        <v>1446</v>
      </c>
      <c r="C34" s="1415"/>
      <c r="D34" s="925">
        <v>100</v>
      </c>
      <c r="E34" s="1441"/>
      <c r="F34" s="1247">
        <f>SUMIF(105:105,E34,106:106)-SUMIF(105:105,C34,106:106)+100</f>
        <v>100</v>
      </c>
      <c r="G34" s="1415"/>
      <c r="H34" s="925">
        <f>SUMIF(105:105,G34,106:106)-SUMIF(105:105,C34,106:106)+100</f>
        <v>100</v>
      </c>
      <c r="I34" s="1441"/>
      <c r="J34" s="925">
        <f>SUMIF(105:105,I34,106:106)-SUMIF(105:105,C34,106:106)+100</f>
        <v>100</v>
      </c>
      <c r="K34" s="1453"/>
      <c r="L34" s="1042"/>
      <c r="M34" s="1030"/>
      <c r="N34" s="1030"/>
      <c r="O34" s="1030"/>
      <c r="P34" s="3248"/>
      <c r="Q34" s="657" t="str">
        <f t="shared" si="11"/>
        <v>建筑结构</v>
      </c>
      <c r="R34" s="1076" t="s">
        <v>940</v>
      </c>
      <c r="S34" s="1077">
        <f t="shared" si="12"/>
        <v>100</v>
      </c>
      <c r="T34" s="1076" t="s">
        <v>940</v>
      </c>
      <c r="U34" s="1077">
        <f t="shared" si="13"/>
        <v>100</v>
      </c>
      <c r="V34" s="1076" t="s">
        <v>940</v>
      </c>
      <c r="W34" s="1077">
        <f t="shared" si="14"/>
        <v>100</v>
      </c>
      <c r="X34" s="1070"/>
      <c r="Y34" s="3188"/>
      <c r="Z34" s="1069" t="str">
        <f t="shared" si="18"/>
        <v>建筑结构</v>
      </c>
      <c r="AA34" s="1088">
        <f t="shared" si="15"/>
        <v>1</v>
      </c>
      <c r="AB34" s="1088">
        <f t="shared" si="16"/>
        <v>1</v>
      </c>
      <c r="AC34" s="1088">
        <f t="shared" si="17"/>
        <v>1</v>
      </c>
    </row>
    <row r="35" spans="1:29" ht="15">
      <c r="A35" s="969"/>
      <c r="B35" s="913" t="s">
        <v>1447</v>
      </c>
      <c r="C35" s="972"/>
      <c r="D35" s="925">
        <v>100</v>
      </c>
      <c r="E35" s="1439"/>
      <c r="F35" s="1247">
        <f>SUMIF(107:107,E35,108:108)-SUMIF(107:107,C35,108:108)+100</f>
        <v>100</v>
      </c>
      <c r="G35" s="972"/>
      <c r="H35" s="925">
        <f>SUMIF(107:107,G35,108:108)-SUMIF(107:107,C35,108:108)+100</f>
        <v>100</v>
      </c>
      <c r="I35" s="1439"/>
      <c r="J35" s="925">
        <f>SUMIF(107:107,I35,108:108)-SUMIF(107:107,C35,108:108)+100</f>
        <v>100</v>
      </c>
      <c r="K35" s="1453"/>
      <c r="L35" s="1042"/>
      <c r="M35" s="1030"/>
      <c r="N35" s="1030"/>
      <c r="O35" s="1030"/>
      <c r="P35" s="3248"/>
      <c r="Q35" s="657" t="str">
        <f t="shared" si="11"/>
        <v>建筑品质</v>
      </c>
      <c r="R35" s="1076" t="s">
        <v>940</v>
      </c>
      <c r="S35" s="1077">
        <f t="shared" si="12"/>
        <v>100</v>
      </c>
      <c r="T35" s="1076" t="s">
        <v>940</v>
      </c>
      <c r="U35" s="1077">
        <f t="shared" si="13"/>
        <v>100</v>
      </c>
      <c r="V35" s="1076" t="s">
        <v>940</v>
      </c>
      <c r="W35" s="1077">
        <f t="shared" si="14"/>
        <v>100</v>
      </c>
      <c r="X35" s="1070"/>
      <c r="Y35" s="3188"/>
      <c r="Z35" s="1069" t="str">
        <f t="shared" si="18"/>
        <v>建筑品质</v>
      </c>
      <c r="AA35" s="1088">
        <f t="shared" si="15"/>
        <v>1</v>
      </c>
      <c r="AB35" s="1088">
        <f t="shared" si="16"/>
        <v>1</v>
      </c>
      <c r="AC35" s="1088">
        <f t="shared" si="17"/>
        <v>1</v>
      </c>
    </row>
    <row r="36" spans="1:29" ht="15">
      <c r="A36" s="969"/>
      <c r="B36" s="913" t="s">
        <v>1448</v>
      </c>
      <c r="C36" s="972"/>
      <c r="D36" s="925">
        <v>100</v>
      </c>
      <c r="E36" s="1439"/>
      <c r="F36" s="1247">
        <f>SUMIF(109:109,E36,110:110)-SUMIF(109:109,C36,110:110)+100</f>
        <v>100</v>
      </c>
      <c r="G36" s="972"/>
      <c r="H36" s="925">
        <f>SUMIF(109:109,G36,110:110)-SUMIF(109:109,C36,110:110)+100</f>
        <v>100</v>
      </c>
      <c r="I36" s="1439"/>
      <c r="J36" s="925">
        <f>SUMIF(109:109,I36,110:110)-SUMIF(109:109,C36,110:110)+100</f>
        <v>100</v>
      </c>
      <c r="K36" s="1453"/>
      <c r="L36" s="1042"/>
      <c r="M36" s="1030"/>
      <c r="N36" s="1030"/>
      <c r="O36" s="1030"/>
      <c r="P36" s="3248"/>
      <c r="Q36" s="657" t="str">
        <f t="shared" si="11"/>
        <v>公共部分装修</v>
      </c>
      <c r="R36" s="1076" t="s">
        <v>940</v>
      </c>
      <c r="S36" s="1077">
        <f t="shared" si="12"/>
        <v>100</v>
      </c>
      <c r="T36" s="1076" t="s">
        <v>940</v>
      </c>
      <c r="U36" s="1077">
        <f t="shared" si="13"/>
        <v>100</v>
      </c>
      <c r="V36" s="1076" t="s">
        <v>940</v>
      </c>
      <c r="W36" s="1077">
        <f t="shared" si="14"/>
        <v>100</v>
      </c>
      <c r="X36" s="1070"/>
      <c r="Y36" s="3188"/>
      <c r="Z36" s="1069" t="str">
        <f t="shared" si="18"/>
        <v>公共部分装修</v>
      </c>
      <c r="AA36" s="1088">
        <f t="shared" si="15"/>
        <v>1</v>
      </c>
      <c r="AB36" s="1088">
        <f t="shared" si="16"/>
        <v>1</v>
      </c>
      <c r="AC36" s="1088">
        <f t="shared" si="17"/>
        <v>1</v>
      </c>
    </row>
    <row r="37" spans="1:29" s="874" customFormat="1" ht="15">
      <c r="A37" s="973"/>
      <c r="B37" s="913" t="s">
        <v>570</v>
      </c>
      <c r="C37" s="1254"/>
      <c r="D37" s="915">
        <v>100</v>
      </c>
      <c r="E37" s="1254"/>
      <c r="F37" s="1239" t="e">
        <f>LOOKUP(E37,112:112,113:113)-LOOKUP(C37,112:112,113:113)+100</f>
        <v>#N/A</v>
      </c>
      <c r="G37" s="1256"/>
      <c r="H37" s="915" t="e">
        <f>LOOKUP(G37,112:112,113:113)-LOOKUP(C37,112:112,113:113)+100</f>
        <v>#N/A</v>
      </c>
      <c r="I37" s="1255"/>
      <c r="J37" s="915" t="e">
        <f>LOOKUP(I37,112:112,113:113)-LOOKUP(C37,112:112,113:113)+100</f>
        <v>#N/A</v>
      </c>
      <c r="K37" s="1453"/>
      <c r="L37" s="1032"/>
      <c r="M37" s="1033"/>
      <c r="N37" s="1033"/>
      <c r="O37" s="1033"/>
      <c r="P37" s="3248"/>
      <c r="Q37" s="1075" t="str">
        <f t="shared" si="11"/>
        <v>成新度</v>
      </c>
      <c r="R37" s="1071" t="s">
        <v>940</v>
      </c>
      <c r="S37" s="1072" t="e">
        <f t="shared" si="12"/>
        <v>#N/A</v>
      </c>
      <c r="T37" s="1071" t="s">
        <v>940</v>
      </c>
      <c r="U37" s="1072" t="e">
        <f t="shared" si="13"/>
        <v>#N/A</v>
      </c>
      <c r="V37" s="1071" t="s">
        <v>940</v>
      </c>
      <c r="W37" s="1072" t="e">
        <f t="shared" si="14"/>
        <v>#N/A</v>
      </c>
      <c r="X37" s="1073"/>
      <c r="Y37" s="3188"/>
      <c r="Z37" s="1087" t="str">
        <f t="shared" si="18"/>
        <v>成新度</v>
      </c>
      <c r="AA37" s="1086" t="e">
        <f t="shared" si="15"/>
        <v>#N/A</v>
      </c>
      <c r="AB37" s="1086" t="e">
        <f t="shared" si="16"/>
        <v>#N/A</v>
      </c>
      <c r="AC37" s="1086" t="e">
        <f t="shared" si="17"/>
        <v>#N/A</v>
      </c>
    </row>
    <row r="38" spans="1:29" ht="15">
      <c r="A38" s="969"/>
      <c r="B38" s="913" t="s">
        <v>1449</v>
      </c>
      <c r="C38" s="972"/>
      <c r="D38" s="925">
        <v>100</v>
      </c>
      <c r="E38" s="1439"/>
      <c r="F38" s="1247">
        <f>SUMIF(114:114,E38,115:115)-SUMIF(114:114,C38,115:115)+100</f>
        <v>100</v>
      </c>
      <c r="G38" s="972"/>
      <c r="H38" s="925">
        <f>SUMIF(114:114,G38,115:115)-SUMIF(114:114,C38,115:115)+100</f>
        <v>100</v>
      </c>
      <c r="I38" s="1439"/>
      <c r="J38" s="925">
        <f>SUMIF(114:114,I38,115:115)-SUMIF(114:114,C38,115:115)+100</f>
        <v>100</v>
      </c>
      <c r="K38" s="1453"/>
      <c r="L38" s="1042"/>
      <c r="M38" s="1030"/>
      <c r="N38" s="1030"/>
      <c r="O38" s="1030"/>
      <c r="P38" s="3248" t="s">
        <v>951</v>
      </c>
      <c r="Q38" s="657" t="str">
        <f t="shared" si="11"/>
        <v>物业管理</v>
      </c>
      <c r="R38" s="1076" t="s">
        <v>940</v>
      </c>
      <c r="S38" s="1077">
        <f t="shared" si="12"/>
        <v>100</v>
      </c>
      <c r="T38" s="1076" t="s">
        <v>940</v>
      </c>
      <c r="U38" s="1077">
        <f t="shared" si="13"/>
        <v>100</v>
      </c>
      <c r="V38" s="1076" t="s">
        <v>940</v>
      </c>
      <c r="W38" s="1077">
        <f t="shared" si="14"/>
        <v>100</v>
      </c>
      <c r="X38" s="1070"/>
      <c r="Y38" s="3188" t="s">
        <v>951</v>
      </c>
      <c r="Z38" s="1069" t="str">
        <f t="shared" si="18"/>
        <v>物业管理</v>
      </c>
      <c r="AA38" s="1088">
        <f t="shared" si="15"/>
        <v>1</v>
      </c>
      <c r="AB38" s="1088">
        <f t="shared" si="16"/>
        <v>1</v>
      </c>
      <c r="AC38" s="1088">
        <f t="shared" si="17"/>
        <v>1</v>
      </c>
    </row>
    <row r="39" spans="1:29" ht="15">
      <c r="A39" s="969"/>
      <c r="B39" s="913" t="s">
        <v>1450</v>
      </c>
      <c r="C39" s="972"/>
      <c r="D39" s="925">
        <v>100</v>
      </c>
      <c r="E39" s="1439"/>
      <c r="F39" s="1247">
        <f>SUMIF(116:116,E39,117:117)-SUMIF(116:116,C39,117:117)+100</f>
        <v>100</v>
      </c>
      <c r="G39" s="972"/>
      <c r="H39" s="925">
        <f>SUMIF(116:116,G39,117:117)-SUMIF(116:116,C39,117:117)+100</f>
        <v>100</v>
      </c>
      <c r="I39" s="1439"/>
      <c r="J39" s="925">
        <f>SUMIF(116:116,I39,117:117)-SUMIF(116:116,C39,117:117)+100</f>
        <v>100</v>
      </c>
      <c r="K39" s="1453"/>
      <c r="L39" s="1042"/>
      <c r="M39" s="1030"/>
      <c r="N39" s="1030"/>
      <c r="O39" s="1030"/>
      <c r="P39" s="3248"/>
      <c r="Q39" s="657" t="str">
        <f t="shared" si="11"/>
        <v>市政基础设施</v>
      </c>
      <c r="R39" s="1076" t="s">
        <v>940</v>
      </c>
      <c r="S39" s="1077">
        <f t="shared" si="12"/>
        <v>100</v>
      </c>
      <c r="T39" s="1076" t="s">
        <v>940</v>
      </c>
      <c r="U39" s="1077">
        <f t="shared" si="13"/>
        <v>100</v>
      </c>
      <c r="V39" s="1076" t="s">
        <v>940</v>
      </c>
      <c r="W39" s="1077">
        <f t="shared" si="14"/>
        <v>100</v>
      </c>
      <c r="X39" s="1070"/>
      <c r="Y39" s="3188"/>
      <c r="Z39" s="1069" t="str">
        <f t="shared" si="18"/>
        <v>市政基础设施</v>
      </c>
      <c r="AA39" s="1088">
        <f t="shared" si="15"/>
        <v>1</v>
      </c>
      <c r="AB39" s="1088">
        <f t="shared" si="16"/>
        <v>1</v>
      </c>
      <c r="AC39" s="1088">
        <f t="shared" si="17"/>
        <v>1</v>
      </c>
    </row>
    <row r="40" spans="1:29" ht="15">
      <c r="A40" s="969"/>
      <c r="B40" s="913" t="s">
        <v>1451</v>
      </c>
      <c r="C40" s="972"/>
      <c r="D40" s="925">
        <v>100</v>
      </c>
      <c r="E40" s="1439"/>
      <c r="F40" s="1247">
        <f>SUMIF(118:118,E40,119:119)-SUMIF(118:118,C40,119:119)+100</f>
        <v>100</v>
      </c>
      <c r="G40" s="972"/>
      <c r="H40" s="925">
        <f>SUMIF(118:118,G40,119:119)-SUMIF(118:118,C40,119:119)+100</f>
        <v>100</v>
      </c>
      <c r="I40" s="1439"/>
      <c r="J40" s="925">
        <f>SUMIF(118:118,I40,119:119)-SUMIF(118:118,C40,119:119)+100</f>
        <v>100</v>
      </c>
      <c r="K40" s="1453"/>
      <c r="L40" s="1042"/>
      <c r="M40" s="1030"/>
      <c r="N40" s="1030"/>
      <c r="O40" s="1030"/>
      <c r="P40" s="3248"/>
      <c r="Q40" s="657" t="str">
        <f t="shared" si="11"/>
        <v>房型</v>
      </c>
      <c r="R40" s="1076" t="s">
        <v>940</v>
      </c>
      <c r="S40" s="1077">
        <f t="shared" si="12"/>
        <v>100</v>
      </c>
      <c r="T40" s="1076" t="s">
        <v>940</v>
      </c>
      <c r="U40" s="1077">
        <f t="shared" si="13"/>
        <v>100</v>
      </c>
      <c r="V40" s="1076" t="s">
        <v>940</v>
      </c>
      <c r="W40" s="1077">
        <f t="shared" si="14"/>
        <v>100</v>
      </c>
      <c r="X40" s="1070"/>
      <c r="Y40" s="3188"/>
      <c r="Z40" s="1069" t="str">
        <f t="shared" si="18"/>
        <v>房型</v>
      </c>
      <c r="AA40" s="1088">
        <f t="shared" si="15"/>
        <v>1</v>
      </c>
      <c r="AB40" s="1088">
        <f t="shared" si="16"/>
        <v>1</v>
      </c>
      <c r="AC40" s="1088">
        <f t="shared" si="17"/>
        <v>1</v>
      </c>
    </row>
    <row r="41" spans="1:29" s="876" customFormat="1" ht="28.5">
      <c r="A41" s="975"/>
      <c r="B41" s="913" t="s">
        <v>1452</v>
      </c>
      <c r="C41" s="1240"/>
      <c r="D41" s="915">
        <v>100</v>
      </c>
      <c r="E41" s="920"/>
      <c r="F41" s="1239">
        <f>SUMIF(120:120,E41,121:121)-SUMIF(120:120,C41,121:121)+100</f>
        <v>100</v>
      </c>
      <c r="G41" s="919"/>
      <c r="H41" s="915">
        <f>SUMIF(120:120,G41,121:121)-SUMIF(120:120,C41,121:121)+100</f>
        <v>100</v>
      </c>
      <c r="I41" s="961"/>
      <c r="J41" s="925">
        <f>SUMIF(120:120,I41,121:121)-SUMIF(120:120,C41,121:121)+100</f>
        <v>100</v>
      </c>
      <c r="K41" s="1454"/>
      <c r="L41" s="1040"/>
      <c r="M41" s="1049"/>
      <c r="N41" s="1049"/>
      <c r="O41" s="1049"/>
      <c r="P41" s="3248"/>
      <c r="Q41" s="1290" t="str">
        <f t="shared" si="11"/>
        <v>单套/主力户型建筑面积</v>
      </c>
      <c r="R41" s="1078" t="s">
        <v>940</v>
      </c>
      <c r="S41" s="1079">
        <f t="shared" si="12"/>
        <v>100</v>
      </c>
      <c r="T41" s="1078" t="s">
        <v>940</v>
      </c>
      <c r="U41" s="1079">
        <f t="shared" si="13"/>
        <v>100</v>
      </c>
      <c r="V41" s="1078" t="s">
        <v>940</v>
      </c>
      <c r="W41" s="1079">
        <f t="shared" si="14"/>
        <v>100</v>
      </c>
      <c r="X41" s="1080"/>
      <c r="Y41" s="3188"/>
      <c r="Z41" s="1089" t="str">
        <f t="shared" si="18"/>
        <v>单套/主力户型建筑面积</v>
      </c>
      <c r="AA41" s="1088">
        <f t="shared" si="15"/>
        <v>1</v>
      </c>
      <c r="AB41" s="1088">
        <f t="shared" si="16"/>
        <v>1</v>
      </c>
      <c r="AC41" s="1088">
        <f t="shared" si="17"/>
        <v>1</v>
      </c>
    </row>
    <row r="42" spans="1:29" ht="15">
      <c r="A42" s="969"/>
      <c r="B42" s="913" t="s">
        <v>1453</v>
      </c>
      <c r="C42" s="972"/>
      <c r="D42" s="925">
        <v>100</v>
      </c>
      <c r="E42" s="1439"/>
      <c r="F42" s="1247">
        <f>SUMIF(122:122,E42,123:123)-SUMIF(122:122,C42,123:123)+100</f>
        <v>100</v>
      </c>
      <c r="G42" s="972"/>
      <c r="H42" s="925">
        <f>SUMIF(122:122,G42,123:123)-SUMIF(122:122,C42,123:123)+100</f>
        <v>100</v>
      </c>
      <c r="I42" s="1439"/>
      <c r="J42" s="925">
        <f>SUMIF(122:122,I42,123:123)-SUMIF(122:122,C42,123:123)+100</f>
        <v>100</v>
      </c>
      <c r="K42" s="1453"/>
      <c r="L42" s="1042"/>
      <c r="M42" s="1030"/>
      <c r="N42" s="1030"/>
      <c r="O42" s="1030"/>
      <c r="P42" s="3248"/>
      <c r="Q42" s="657" t="str">
        <f t="shared" si="11"/>
        <v>内部装修</v>
      </c>
      <c r="R42" s="1076" t="s">
        <v>940</v>
      </c>
      <c r="S42" s="1077">
        <f t="shared" si="12"/>
        <v>100</v>
      </c>
      <c r="T42" s="1076" t="s">
        <v>940</v>
      </c>
      <c r="U42" s="1077">
        <f t="shared" si="13"/>
        <v>100</v>
      </c>
      <c r="V42" s="1076" t="s">
        <v>940</v>
      </c>
      <c r="W42" s="1077">
        <f t="shared" si="14"/>
        <v>100</v>
      </c>
      <c r="X42" s="1070"/>
      <c r="Y42" s="3188"/>
      <c r="Z42" s="1069" t="str">
        <f t="shared" si="18"/>
        <v>内部装修</v>
      </c>
      <c r="AA42" s="1088">
        <f t="shared" si="15"/>
        <v>1</v>
      </c>
      <c r="AB42" s="1088">
        <f t="shared" si="16"/>
        <v>1</v>
      </c>
      <c r="AC42" s="1088">
        <f t="shared" si="17"/>
        <v>1</v>
      </c>
    </row>
    <row r="43" spans="1:29" ht="15">
      <c r="A43" s="969"/>
      <c r="B43" s="913" t="s">
        <v>1454</v>
      </c>
      <c r="C43" s="972"/>
      <c r="D43" s="925">
        <v>100</v>
      </c>
      <c r="E43" s="1439"/>
      <c r="F43" s="1247">
        <f>SUMIF(124:124,E43,125:125)-SUMIF(124:124,C43,125:125)+100</f>
        <v>100</v>
      </c>
      <c r="G43" s="972"/>
      <c r="H43" s="925">
        <f>SUMIF(124:124,G43,125:125)-SUMIF(124:124,C43,125:125)+100</f>
        <v>100</v>
      </c>
      <c r="I43" s="1439"/>
      <c r="J43" s="925">
        <f>SUMIF(124:124,I43,125:125)-SUMIF(124:124,C43,125:125)+100</f>
        <v>100</v>
      </c>
      <c r="K43" s="1453"/>
      <c r="L43" s="1042"/>
      <c r="M43" s="1030"/>
      <c r="N43" s="1030"/>
      <c r="O43" s="1030"/>
      <c r="P43" s="3248"/>
      <c r="Q43" s="657" t="str">
        <f t="shared" si="11"/>
        <v>内部装修维护情况</v>
      </c>
      <c r="R43" s="1076" t="s">
        <v>940</v>
      </c>
      <c r="S43" s="1077">
        <f t="shared" si="12"/>
        <v>100</v>
      </c>
      <c r="T43" s="1076" t="s">
        <v>940</v>
      </c>
      <c r="U43" s="1077">
        <f t="shared" si="13"/>
        <v>100</v>
      </c>
      <c r="V43" s="1076" t="s">
        <v>940</v>
      </c>
      <c r="W43" s="1077">
        <f t="shared" si="14"/>
        <v>100</v>
      </c>
      <c r="X43" s="1070"/>
      <c r="Y43" s="3188"/>
      <c r="Z43" s="1069" t="str">
        <f t="shared" si="18"/>
        <v>内部装修维护情况</v>
      </c>
      <c r="AA43" s="1088">
        <f t="shared" si="15"/>
        <v>1</v>
      </c>
      <c r="AB43" s="1088">
        <f t="shared" si="16"/>
        <v>1</v>
      </c>
      <c r="AC43" s="1088">
        <f t="shared" si="17"/>
        <v>1</v>
      </c>
    </row>
    <row r="44" spans="1:29" s="874" customFormat="1" ht="15">
      <c r="A44" s="973"/>
      <c r="B44" s="960">
        <v>111</v>
      </c>
      <c r="C44" s="1240"/>
      <c r="D44" s="915">
        <v>100</v>
      </c>
      <c r="E44" s="1240"/>
      <c r="F44" s="1239">
        <f>SUMIF(126:126,E44,127:127)-SUMIF(126:126,C44,127:127)+100</f>
        <v>100</v>
      </c>
      <c r="G44" s="1240"/>
      <c r="H44" s="915">
        <f>SUMIF(126:126,G44,127:127)-SUMIF(126:126,C44,127:127)+100</f>
        <v>100</v>
      </c>
      <c r="I44" s="1240"/>
      <c r="J44" s="915">
        <f>SUMIF(126:126,I44,127:127)-SUMIF(126:126,C44,127:127)+100</f>
        <v>100</v>
      </c>
      <c r="K44" s="1454"/>
      <c r="L44" s="1032"/>
      <c r="M44" s="1033"/>
      <c r="N44" s="1033"/>
      <c r="O44" s="1033"/>
      <c r="P44" s="3248"/>
      <c r="Q44" s="1075">
        <f t="shared" si="11"/>
        <v>111</v>
      </c>
      <c r="R44" s="1071" t="s">
        <v>940</v>
      </c>
      <c r="S44" s="1072">
        <f t="shared" si="12"/>
        <v>100</v>
      </c>
      <c r="T44" s="1071" t="s">
        <v>940</v>
      </c>
      <c r="U44" s="1072">
        <f t="shared" si="13"/>
        <v>100</v>
      </c>
      <c r="V44" s="1071" t="s">
        <v>940</v>
      </c>
      <c r="W44" s="1072">
        <f t="shared" si="14"/>
        <v>100</v>
      </c>
      <c r="X44" s="1073"/>
      <c r="Y44" s="3188"/>
      <c r="Z44" s="1087">
        <f t="shared" si="18"/>
        <v>111</v>
      </c>
      <c r="AA44" s="1086">
        <f t="shared" si="15"/>
        <v>1</v>
      </c>
      <c r="AB44" s="1086">
        <f t="shared" si="16"/>
        <v>1</v>
      </c>
      <c r="AC44" s="1086">
        <f t="shared" si="17"/>
        <v>1</v>
      </c>
    </row>
    <row r="45" spans="1:29" ht="15">
      <c r="A45" s="969"/>
      <c r="B45" s="960">
        <v>111</v>
      </c>
      <c r="C45" s="924"/>
      <c r="D45" s="925">
        <v>100</v>
      </c>
      <c r="E45" s="924"/>
      <c r="F45" s="1247">
        <f>SUMIF(128:128,E45,129:129)-SUMIF(128:128,C45,129:129)+100</f>
        <v>100</v>
      </c>
      <c r="G45" s="924"/>
      <c r="H45" s="925">
        <f>SUMIF(128:128,G45,129:129)-SUMIF(128:128,C45,129:129)+100</f>
        <v>100</v>
      </c>
      <c r="I45" s="924"/>
      <c r="J45" s="925">
        <f>SUMIF(128:128,I45,129:129)-SUMIF(128:128,C45,129:129)+100</f>
        <v>100</v>
      </c>
      <c r="K45" s="1454"/>
      <c r="L45" s="1042"/>
      <c r="M45" s="1030"/>
      <c r="N45" s="1030"/>
      <c r="O45" s="1030"/>
      <c r="P45" s="3248"/>
      <c r="Q45" s="657">
        <f t="shared" si="11"/>
        <v>111</v>
      </c>
      <c r="R45" s="1076" t="s">
        <v>940</v>
      </c>
      <c r="S45" s="1077">
        <f t="shared" si="12"/>
        <v>100</v>
      </c>
      <c r="T45" s="1076" t="s">
        <v>940</v>
      </c>
      <c r="U45" s="1077">
        <f t="shared" si="13"/>
        <v>100</v>
      </c>
      <c r="V45" s="1076" t="s">
        <v>940</v>
      </c>
      <c r="W45" s="1077">
        <f t="shared" si="14"/>
        <v>100</v>
      </c>
      <c r="X45" s="1070"/>
      <c r="Y45" s="3188"/>
      <c r="Z45" s="1069">
        <f t="shared" si="18"/>
        <v>111</v>
      </c>
      <c r="AA45" s="1088">
        <f t="shared" si="15"/>
        <v>1</v>
      </c>
      <c r="AB45" s="1088">
        <f t="shared" si="16"/>
        <v>1</v>
      </c>
      <c r="AC45" s="1088">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54"/>
      <c r="L46" s="1042"/>
      <c r="M46" s="1030"/>
      <c r="N46" s="1030"/>
      <c r="O46" s="1030"/>
      <c r="P46" s="3249"/>
      <c r="Q46" s="657">
        <f t="shared" si="11"/>
        <v>111</v>
      </c>
      <c r="R46" s="1076" t="s">
        <v>940</v>
      </c>
      <c r="S46" s="1077">
        <f t="shared" si="12"/>
        <v>100</v>
      </c>
      <c r="T46" s="1076" t="s">
        <v>940</v>
      </c>
      <c r="U46" s="1077">
        <f t="shared" si="13"/>
        <v>100</v>
      </c>
      <c r="V46" s="1076" t="s">
        <v>940</v>
      </c>
      <c r="W46" s="1077">
        <f t="shared" si="14"/>
        <v>100</v>
      </c>
      <c r="X46" s="1070"/>
      <c r="Y46" s="3250"/>
      <c r="Z46" s="1069">
        <f t="shared" si="18"/>
        <v>111</v>
      </c>
      <c r="AA46" s="1088">
        <f t="shared" si="15"/>
        <v>1</v>
      </c>
      <c r="AB46" s="1088">
        <f t="shared" si="16"/>
        <v>1</v>
      </c>
      <c r="AC46" s="1088">
        <f t="shared" si="17"/>
        <v>1</v>
      </c>
    </row>
    <row r="47" spans="1:29" ht="15">
      <c r="A47" s="978" t="s">
        <v>1455</v>
      </c>
      <c r="B47" s="1261"/>
      <c r="C47" s="1262" t="s">
        <v>124</v>
      </c>
      <c r="D47" s="1263"/>
      <c r="E47" s="1264"/>
      <c r="F47" s="1265"/>
      <c r="G47" s="1266"/>
      <c r="H47" s="1267"/>
      <c r="I47" s="1264"/>
      <c r="J47" s="1267"/>
      <c r="K47" s="1458"/>
      <c r="L47" s="1054"/>
      <c r="M47" s="995"/>
      <c r="N47" s="1030"/>
      <c r="O47" s="995"/>
      <c r="P47" s="3182" t="str">
        <f>A47</f>
        <v>成交单价（元/平方米）</v>
      </c>
      <c r="Q47" s="3182"/>
      <c r="R47" s="3244">
        <f>E47</f>
        <v>0</v>
      </c>
      <c r="S47" s="3244"/>
      <c r="T47" s="3244">
        <f>G47</f>
        <v>0</v>
      </c>
      <c r="U47" s="3244"/>
      <c r="V47" s="3244">
        <f>I47</f>
        <v>0</v>
      </c>
      <c r="W47" s="3244"/>
      <c r="X47" s="1081"/>
      <c r="Y47" s="1090"/>
      <c r="Z47" s="1081"/>
      <c r="AA47" s="1081"/>
      <c r="AB47" s="1081"/>
      <c r="AC47" s="1081"/>
    </row>
    <row r="48" spans="1:29" ht="15">
      <c r="A48" s="986" t="s">
        <v>960</v>
      </c>
      <c r="B48" s="1268"/>
      <c r="C48" s="1269" t="e">
        <f>R49</f>
        <v>#DIV/0!</v>
      </c>
      <c r="D48" s="1270"/>
      <c r="E48" s="1271" t="e">
        <f>R48</f>
        <v>#DIV/0!</v>
      </c>
      <c r="F48" s="1271"/>
      <c r="G48" s="1269" t="e">
        <f>T48</f>
        <v>#DIV/0!</v>
      </c>
      <c r="H48" s="1270"/>
      <c r="I48" s="1271" t="e">
        <f>V48</f>
        <v>#DIV/0!</v>
      </c>
      <c r="J48" s="1270"/>
      <c r="K48" s="1459"/>
      <c r="L48" s="1054"/>
      <c r="M48" s="995"/>
      <c r="N48" s="995"/>
      <c r="O48" s="995"/>
      <c r="P48" s="3182" t="str">
        <f>A48</f>
        <v>比较价值（元/平方米）</v>
      </c>
      <c r="Q48" s="3182"/>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081"/>
      <c r="Y48" s="1081"/>
      <c r="Z48" s="1081"/>
      <c r="AA48" s="1081"/>
      <c r="AB48" s="1081"/>
      <c r="AC48" s="1081"/>
    </row>
    <row r="49" spans="1:29" ht="15">
      <c r="A49" s="992" t="s">
        <v>961</v>
      </c>
      <c r="B49" s="993"/>
      <c r="C49" s="1442" t="e">
        <f>R49</f>
        <v>#DIV/0!</v>
      </c>
      <c r="D49" s="1272"/>
      <c r="E49" s="1272"/>
      <c r="F49" s="1272"/>
      <c r="G49" s="1272"/>
      <c r="H49" s="1272"/>
      <c r="I49" s="1272"/>
      <c r="J49" s="1272"/>
      <c r="K49" s="1460"/>
      <c r="L49" s="1054"/>
      <c r="M49" s="995"/>
      <c r="N49" s="995"/>
      <c r="O49" s="995"/>
      <c r="P49" s="3192" t="str">
        <f>A49</f>
        <v>估价对象XX用房的比较价值（楼面单价，元/平方米）</v>
      </c>
      <c r="Q49" s="3193"/>
      <c r="R49" s="3251" t="e">
        <f>IF(F1="售价",ROUND(AVERAGE(R48:V48),0),ROUND(AVERAGE(R48:V48),1))</f>
        <v>#DIV/0!</v>
      </c>
      <c r="S49" s="3251"/>
      <c r="T49" s="3251"/>
      <c r="U49" s="3251"/>
      <c r="V49" s="3251"/>
      <c r="W49" s="3251"/>
      <c r="X49" s="1081"/>
      <c r="Y49" s="1081"/>
      <c r="Z49" s="1081"/>
      <c r="AA49" s="1081"/>
      <c r="AB49" s="1081"/>
      <c r="AC49" s="1081"/>
    </row>
    <row r="50" spans="1:29">
      <c r="A50" s="995"/>
      <c r="B50" s="995"/>
      <c r="C50" s="995"/>
      <c r="D50" s="995"/>
      <c r="E50" s="995"/>
      <c r="F50" s="995"/>
      <c r="G50" s="996"/>
      <c r="H50" s="995"/>
      <c r="I50" s="995"/>
      <c r="J50" s="995"/>
      <c r="K50" s="1058"/>
      <c r="L50" s="1059"/>
      <c r="M50" s="995"/>
      <c r="N50" s="995"/>
      <c r="O50" s="995"/>
    </row>
    <row r="51" spans="1:29">
      <c r="A51" s="995"/>
      <c r="B51" s="995"/>
      <c r="C51" s="995"/>
      <c r="D51" s="995"/>
      <c r="E51" s="995"/>
      <c r="F51" s="995"/>
      <c r="G51" s="995"/>
      <c r="H51" s="995"/>
      <c r="I51" s="995"/>
      <c r="J51" s="995"/>
      <c r="K51" s="1058"/>
      <c r="L51" s="1059"/>
      <c r="M51" s="995"/>
      <c r="N51" s="995"/>
      <c r="O51" s="995"/>
    </row>
    <row r="52" spans="1:29" ht="13.5" customHeight="1">
      <c r="A52" s="995"/>
      <c r="B52" s="995"/>
      <c r="C52" s="997" t="s">
        <v>962</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58"/>
      <c r="L52" s="1059"/>
      <c r="M52" s="995"/>
      <c r="N52" s="995"/>
      <c r="O52" s="995"/>
    </row>
    <row r="53" spans="1:29" ht="13.5" customHeight="1">
      <c r="A53" s="995"/>
      <c r="B53" s="995"/>
      <c r="C53" s="997" t="s">
        <v>963</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58"/>
      <c r="L53" s="1059"/>
      <c r="M53" s="995"/>
      <c r="N53" s="995"/>
      <c r="O53" s="995"/>
    </row>
    <row r="54" spans="1:29" s="877" customFormat="1" ht="13.5" customHeight="1">
      <c r="A54" s="1000"/>
      <c r="B54" s="1000"/>
      <c r="C54" s="997" t="s">
        <v>964</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60"/>
      <c r="L54" s="1061"/>
      <c r="M54" s="1000"/>
      <c r="N54" s="1000"/>
      <c r="O54" s="1000"/>
      <c r="P54" s="1461"/>
    </row>
    <row r="55" spans="1:29" s="877" customFormat="1">
      <c r="A55" s="1000"/>
      <c r="B55" s="1001"/>
      <c r="C55" s="1273"/>
      <c r="D55" s="1000"/>
      <c r="E55" s="1000"/>
      <c r="F55" s="1000"/>
      <c r="G55" s="1000"/>
      <c r="H55" s="1000"/>
      <c r="I55" s="1000"/>
      <c r="J55" s="1000"/>
      <c r="K55" s="1060"/>
      <c r="L55" s="1061"/>
      <c r="M55" s="1000"/>
      <c r="N55" s="1000"/>
      <c r="O55" s="1000"/>
      <c r="P55" s="1461"/>
    </row>
    <row r="56" spans="1:29">
      <c r="A56" s="995"/>
      <c r="B56" s="1001"/>
      <c r="C56" s="1273"/>
      <c r="D56" s="995"/>
      <c r="E56" s="995"/>
      <c r="F56" s="995"/>
      <c r="G56" s="995"/>
      <c r="H56" s="995"/>
      <c r="I56" s="995"/>
      <c r="J56" s="995"/>
      <c r="K56" s="1058"/>
      <c r="L56" s="1059"/>
      <c r="M56" s="995"/>
      <c r="N56" s="995"/>
      <c r="O56" s="995"/>
    </row>
    <row r="57" spans="1:29" ht="21">
      <c r="A57" s="1098" t="s">
        <v>990</v>
      </c>
      <c r="B57" s="1081"/>
      <c r="C57" s="1099"/>
      <c r="D57" s="1099"/>
      <c r="E57" s="1099"/>
      <c r="F57" s="1100"/>
      <c r="G57" s="1100"/>
      <c r="H57" s="1099"/>
      <c r="I57" s="1099"/>
      <c r="J57" s="1099"/>
      <c r="K57" s="1158"/>
      <c r="L57" s="1159"/>
      <c r="M57" s="1157"/>
      <c r="N57" s="1157"/>
      <c r="O57" s="1157"/>
      <c r="P57" s="1462"/>
      <c r="Q57" s="1164"/>
    </row>
    <row r="58" spans="1:29" s="879" customFormat="1" ht="15">
      <c r="A58" s="1274" t="s">
        <v>938</v>
      </c>
      <c r="B58" s="1275"/>
      <c r="C58" s="1443" t="str">
        <f>YEAR(C7)&amp;"-"&amp;MONTH(C7)</f>
        <v>2021-7</v>
      </c>
      <c r="D58" s="1277">
        <f>EDATE(C58,-1)</f>
        <v>44348</v>
      </c>
      <c r="E58" s="1277">
        <f>EDATE(D58,-1)</f>
        <v>44317</v>
      </c>
      <c r="F58" s="1277">
        <f t="shared" ref="F58:O58" si="19">EDATE(E58,-1)</f>
        <v>44287</v>
      </c>
      <c r="G58" s="1277">
        <f t="shared" si="19"/>
        <v>44256</v>
      </c>
      <c r="H58" s="1277">
        <f t="shared" si="19"/>
        <v>44228</v>
      </c>
      <c r="I58" s="1277">
        <f t="shared" si="19"/>
        <v>44197</v>
      </c>
      <c r="J58" s="1277">
        <f t="shared" si="19"/>
        <v>44166</v>
      </c>
      <c r="K58" s="1277">
        <f t="shared" si="19"/>
        <v>44136</v>
      </c>
      <c r="L58" s="1277">
        <f t="shared" si="19"/>
        <v>44105</v>
      </c>
      <c r="M58" s="1277">
        <f t="shared" si="19"/>
        <v>44075</v>
      </c>
      <c r="N58" s="1277">
        <f t="shared" si="19"/>
        <v>44044</v>
      </c>
      <c r="O58" s="1277">
        <f t="shared" si="19"/>
        <v>44013</v>
      </c>
      <c r="P58" s="1422"/>
    </row>
    <row r="59" spans="1:29" s="874" customFormat="1" ht="15">
      <c r="A59" s="1278"/>
      <c r="B59" s="1444"/>
      <c r="C59" s="1279">
        <v>100</v>
      </c>
      <c r="D59" s="1391"/>
      <c r="E59" s="1116"/>
      <c r="F59" s="1116"/>
      <c r="G59" s="1116"/>
      <c r="H59" s="1116"/>
      <c r="I59" s="1116"/>
      <c r="J59" s="1116"/>
      <c r="K59" s="1116"/>
      <c r="L59" s="1116"/>
      <c r="M59" s="1288"/>
      <c r="N59" s="1116"/>
      <c r="O59" s="1288"/>
      <c r="P59" s="1423"/>
    </row>
    <row r="60" spans="1:29" s="874" customFormat="1" ht="15">
      <c r="A60" s="1107" t="s">
        <v>992</v>
      </c>
      <c r="B60" s="1108"/>
      <c r="C60" s="1109"/>
      <c r="D60" s="1110"/>
      <c r="E60" s="1110"/>
      <c r="F60" s="1110"/>
      <c r="G60" s="1110"/>
      <c r="H60" s="1110"/>
      <c r="I60" s="1110"/>
      <c r="J60" s="1110"/>
      <c r="K60" s="1110"/>
      <c r="L60" s="1110"/>
      <c r="M60" s="1165"/>
      <c r="N60" s="1110"/>
      <c r="O60" s="1165"/>
      <c r="P60" s="1423"/>
      <c r="Q60" s="1164"/>
    </row>
    <row r="61" spans="1:29" s="874" customFormat="1" ht="15">
      <c r="A61" s="1111" t="s">
        <v>941</v>
      </c>
      <c r="B61" s="1112"/>
      <c r="C61" s="1113" t="s">
        <v>942</v>
      </c>
      <c r="D61" s="1114"/>
      <c r="E61" s="1114"/>
      <c r="F61" s="1114"/>
      <c r="G61" s="1114"/>
      <c r="H61" s="1114"/>
      <c r="I61" s="1114"/>
      <c r="J61" s="1114"/>
      <c r="K61" s="1114"/>
      <c r="L61" s="1167"/>
      <c r="M61" s="1168"/>
      <c r="N61" s="1169"/>
      <c r="O61" s="1169"/>
      <c r="P61" s="1424"/>
      <c r="Q61" s="1164"/>
    </row>
    <row r="62" spans="1:29" s="874" customFormat="1" ht="15">
      <c r="A62" s="1111"/>
      <c r="B62" s="1112"/>
      <c r="C62" s="1391">
        <v>100</v>
      </c>
      <c r="D62" s="1116"/>
      <c r="E62" s="1116"/>
      <c r="F62" s="1116"/>
      <c r="G62" s="1116"/>
      <c r="H62" s="1116"/>
      <c r="I62" s="1116"/>
      <c r="J62" s="1116"/>
      <c r="K62" s="1116"/>
      <c r="L62" s="1116"/>
      <c r="M62" s="1171"/>
      <c r="N62" s="1169"/>
      <c r="O62" s="1169"/>
      <c r="P62" s="1423"/>
      <c r="Q62" s="1164"/>
    </row>
    <row r="63" spans="1:29">
      <c r="A63" s="1117" t="s">
        <v>993</v>
      </c>
      <c r="B63" s="1118" t="s">
        <v>349</v>
      </c>
      <c r="C63" s="1140">
        <f>C9</f>
        <v>0</v>
      </c>
      <c r="D63" s="1051"/>
      <c r="E63" s="1051"/>
      <c r="F63" s="1051"/>
      <c r="G63" s="1051"/>
      <c r="H63" s="1051"/>
      <c r="I63" s="1051"/>
      <c r="J63" s="1051"/>
      <c r="K63" s="1172"/>
      <c r="L63" s="1173"/>
      <c r="M63" s="1174"/>
      <c r="N63" s="1175"/>
      <c r="O63" s="1175"/>
      <c r="P63" s="1425"/>
      <c r="Q63" s="1164"/>
    </row>
    <row r="64" spans="1:29" ht="15">
      <c r="A64" s="1119"/>
      <c r="B64" s="1120"/>
      <c r="C64" s="1121">
        <v>100</v>
      </c>
      <c r="D64" s="1121"/>
      <c r="E64" s="1121"/>
      <c r="F64" s="1121"/>
      <c r="G64" s="1121"/>
      <c r="H64" s="1121"/>
      <c r="I64" s="1121"/>
      <c r="J64" s="1121"/>
      <c r="K64" s="1121"/>
      <c r="L64" s="1121"/>
      <c r="M64" s="1177"/>
      <c r="N64" s="1178"/>
      <c r="O64" s="1178"/>
      <c r="P64" s="1425"/>
      <c r="Q64" s="1164"/>
    </row>
    <row r="65" spans="1:17" ht="27">
      <c r="A65" s="1119"/>
      <c r="B65" s="1122" t="s">
        <v>947</v>
      </c>
      <c r="C65" s="1123" t="s">
        <v>1456</v>
      </c>
      <c r="D65" s="1123" t="s">
        <v>1457</v>
      </c>
      <c r="E65" s="1123" t="s">
        <v>1458</v>
      </c>
      <c r="F65" s="1123" t="s">
        <v>1459</v>
      </c>
      <c r="G65" s="1123" t="s">
        <v>1460</v>
      </c>
      <c r="H65" s="1123" t="s">
        <v>1461</v>
      </c>
      <c r="I65" s="1123" t="s">
        <v>1462</v>
      </c>
      <c r="J65" s="1123"/>
      <c r="K65" s="1179"/>
      <c r="L65" s="1180"/>
      <c r="M65" s="1181"/>
      <c r="N65" s="1175"/>
      <c r="O65" s="1175"/>
      <c r="P65" s="1425"/>
      <c r="Q65" s="1164"/>
    </row>
    <row r="66" spans="1:17" ht="15">
      <c r="A66" s="1119"/>
      <c r="B66" s="1124"/>
      <c r="C66" s="1125">
        <v>100</v>
      </c>
      <c r="D66" s="1125">
        <f t="shared" ref="D66:I66" si="20">C66-$K10</f>
        <v>100</v>
      </c>
      <c r="E66" s="1125">
        <f t="shared" si="20"/>
        <v>100</v>
      </c>
      <c r="F66" s="1125">
        <f t="shared" si="20"/>
        <v>100</v>
      </c>
      <c r="G66" s="1125">
        <f t="shared" si="20"/>
        <v>100</v>
      </c>
      <c r="H66" s="1125">
        <f t="shared" si="20"/>
        <v>100</v>
      </c>
      <c r="I66" s="1125">
        <f t="shared" si="20"/>
        <v>100</v>
      </c>
      <c r="J66" s="1125"/>
      <c r="K66" s="1125"/>
      <c r="L66" s="1125"/>
      <c r="M66" s="1182"/>
      <c r="N66" s="1178"/>
      <c r="O66" s="1178"/>
      <c r="P66" s="1425"/>
      <c r="Q66" s="1164"/>
    </row>
    <row r="67" spans="1:17" ht="15">
      <c r="A67" s="1119"/>
      <c r="B67" s="1126" t="s">
        <v>948</v>
      </c>
      <c r="C67" s="1127" t="str">
        <f>C68&amp;"（含）"&amp;"-"&amp;D68</f>
        <v>（含）-</v>
      </c>
      <c r="D67" s="1127" t="str">
        <f t="shared" ref="D67:L67" si="21">D68&amp;"（含）"&amp;"-"&amp;E68</f>
        <v>（含）-</v>
      </c>
      <c r="E67" s="1127" t="str">
        <f t="shared" si="21"/>
        <v>（含）-</v>
      </c>
      <c r="F67" s="1127" t="str">
        <f t="shared" si="21"/>
        <v>（含）-</v>
      </c>
      <c r="G67" s="1127" t="str">
        <f t="shared" si="21"/>
        <v>（含）-</v>
      </c>
      <c r="H67" s="1127" t="str">
        <f t="shared" si="21"/>
        <v>（含）-</v>
      </c>
      <c r="I67" s="1127" t="str">
        <f t="shared" si="21"/>
        <v>（含）-</v>
      </c>
      <c r="J67" s="1127" t="str">
        <f t="shared" si="21"/>
        <v>（含）-</v>
      </c>
      <c r="K67" s="1127" t="str">
        <f t="shared" si="21"/>
        <v>（含）-</v>
      </c>
      <c r="L67" s="1127" t="str">
        <f t="shared" si="21"/>
        <v>（含）-</v>
      </c>
      <c r="M67" s="939" t="str">
        <f>M68&amp;"（含）"&amp;"-"&amp;P68</f>
        <v>（含）-</v>
      </c>
      <c r="N67" s="1178"/>
      <c r="O67" s="1178"/>
      <c r="P67" s="1425"/>
      <c r="Q67" s="1164"/>
    </row>
    <row r="68" spans="1:17" ht="15">
      <c r="A68" s="1119"/>
      <c r="B68" s="1128"/>
      <c r="C68" s="926"/>
      <c r="D68" s="926"/>
      <c r="E68" s="926"/>
      <c r="F68" s="926"/>
      <c r="G68" s="926"/>
      <c r="H68" s="926"/>
      <c r="I68" s="926"/>
      <c r="J68" s="926"/>
      <c r="K68" s="1183"/>
      <c r="L68" s="1184"/>
      <c r="M68" s="1185"/>
      <c r="N68" s="1175"/>
      <c r="O68" s="1175"/>
      <c r="P68" s="1425"/>
      <c r="Q68" s="1164"/>
    </row>
    <row r="69" spans="1:17" ht="15">
      <c r="A69" s="1119"/>
      <c r="B69" s="1120"/>
      <c r="C69" s="1125">
        <v>100</v>
      </c>
      <c r="D69" s="1125">
        <f t="shared" ref="D69:M69" si="22">C69-$K11</f>
        <v>100</v>
      </c>
      <c r="E69" s="1125">
        <f t="shared" si="22"/>
        <v>100</v>
      </c>
      <c r="F69" s="1125">
        <f t="shared" si="22"/>
        <v>100</v>
      </c>
      <c r="G69" s="1125">
        <f t="shared" si="22"/>
        <v>100</v>
      </c>
      <c r="H69" s="1125">
        <f t="shared" si="22"/>
        <v>100</v>
      </c>
      <c r="I69" s="1125">
        <f t="shared" si="22"/>
        <v>100</v>
      </c>
      <c r="J69" s="1125">
        <f t="shared" si="22"/>
        <v>100</v>
      </c>
      <c r="K69" s="1125">
        <f t="shared" si="22"/>
        <v>100</v>
      </c>
      <c r="L69" s="1125">
        <f t="shared" si="22"/>
        <v>100</v>
      </c>
      <c r="M69" s="1182">
        <f t="shared" si="22"/>
        <v>100</v>
      </c>
      <c r="N69" s="1178"/>
      <c r="O69" s="1178"/>
      <c r="P69" s="1425"/>
      <c r="Q69" s="1164"/>
    </row>
    <row r="70" spans="1:17" s="876" customFormat="1" ht="15">
      <c r="A70" s="1129"/>
      <c r="B70" s="1122">
        <f>B12</f>
        <v>111</v>
      </c>
      <c r="C70" s="1130"/>
      <c r="D70" s="1130"/>
      <c r="E70" s="1130"/>
      <c r="F70" s="1130"/>
      <c r="G70" s="1130"/>
      <c r="H70" s="1131"/>
      <c r="I70" s="1131"/>
      <c r="J70" s="1131"/>
      <c r="K70" s="1131"/>
      <c r="L70" s="1186"/>
      <c r="M70" s="1187"/>
      <c r="N70" s="1188"/>
      <c r="O70" s="1188"/>
      <c r="P70" s="1431"/>
      <c r="Q70" s="1217"/>
    </row>
    <row r="71" spans="1:17" s="876" customFormat="1" ht="15">
      <c r="A71" s="1129"/>
      <c r="B71" s="1124"/>
      <c r="C71" s="1132"/>
      <c r="D71" s="1121"/>
      <c r="E71" s="1121"/>
      <c r="F71" s="1121"/>
      <c r="G71" s="1121"/>
      <c r="H71" s="1121"/>
      <c r="I71" s="1121"/>
      <c r="J71" s="1121"/>
      <c r="K71" s="1121"/>
      <c r="L71" s="1121"/>
      <c r="M71" s="1177"/>
      <c r="N71" s="1178"/>
      <c r="O71" s="1178"/>
      <c r="P71" s="1431"/>
      <c r="Q71" s="1217"/>
    </row>
    <row r="72" spans="1:17" s="876" customFormat="1" ht="15">
      <c r="A72" s="1129"/>
      <c r="B72" s="1122">
        <f>B13</f>
        <v>111</v>
      </c>
      <c r="C72" s="1130"/>
      <c r="D72" s="1130"/>
      <c r="E72" s="1130"/>
      <c r="F72" s="1130"/>
      <c r="G72" s="1130"/>
      <c r="H72" s="1131"/>
      <c r="I72" s="1131"/>
      <c r="J72" s="1131"/>
      <c r="K72" s="1131"/>
      <c r="L72" s="1186"/>
      <c r="M72" s="1187"/>
      <c r="N72" s="1188"/>
      <c r="O72" s="1188"/>
      <c r="P72" s="1432"/>
      <c r="Q72" s="1218"/>
    </row>
    <row r="73" spans="1:17" s="876" customFormat="1" ht="15">
      <c r="A73" s="1129"/>
      <c r="B73" s="1124"/>
      <c r="C73" s="1132"/>
      <c r="D73" s="1132"/>
      <c r="E73" s="1132"/>
      <c r="F73" s="1132"/>
      <c r="G73" s="1132"/>
      <c r="H73" s="1133"/>
      <c r="I73" s="1133"/>
      <c r="J73" s="1133"/>
      <c r="K73" s="1133"/>
      <c r="L73" s="1133"/>
      <c r="M73" s="1191"/>
      <c r="N73" s="1188"/>
      <c r="O73" s="1188"/>
      <c r="P73" s="1431"/>
      <c r="Q73" s="1217"/>
    </row>
    <row r="74" spans="1:17" s="876" customFormat="1" ht="15">
      <c r="A74" s="1129"/>
      <c r="B74" s="1126">
        <f>B14</f>
        <v>111</v>
      </c>
      <c r="C74" s="1130"/>
      <c r="D74" s="1130"/>
      <c r="E74" s="1130"/>
      <c r="F74" s="1130"/>
      <c r="G74" s="1114"/>
      <c r="H74" s="1134"/>
      <c r="I74" s="1134"/>
      <c r="J74" s="1134"/>
      <c r="K74" s="1134"/>
      <c r="L74" s="1192"/>
      <c r="M74" s="1193"/>
      <c r="N74" s="1188"/>
      <c r="O74" s="1188"/>
      <c r="P74" s="1433"/>
      <c r="Q74" s="1217"/>
    </row>
    <row r="75" spans="1:17" s="876" customFormat="1" ht="15">
      <c r="A75" s="1135"/>
      <c r="B75" s="1136"/>
      <c r="C75" s="1137"/>
      <c r="D75" s="1137"/>
      <c r="E75" s="1137"/>
      <c r="F75" s="1137"/>
      <c r="G75" s="1137"/>
      <c r="H75" s="1138"/>
      <c r="I75" s="1138"/>
      <c r="J75" s="1138"/>
      <c r="K75" s="1138"/>
      <c r="L75" s="1138"/>
      <c r="M75" s="1195"/>
      <c r="N75" s="1188"/>
      <c r="O75" s="1188"/>
      <c r="P75" s="1431"/>
      <c r="Q75" s="1217"/>
    </row>
    <row r="76" spans="1:17">
      <c r="A76" s="1117" t="s">
        <v>949</v>
      </c>
      <c r="B76" s="1118" t="s">
        <v>657</v>
      </c>
      <c r="C76" s="1139" t="s">
        <v>994</v>
      </c>
      <c r="D76" s="1139" t="s">
        <v>995</v>
      </c>
      <c r="E76" s="1139" t="s">
        <v>996</v>
      </c>
      <c r="F76" s="1139" t="s">
        <v>997</v>
      </c>
      <c r="G76" s="1139" t="s">
        <v>998</v>
      </c>
      <c r="H76" s="1140"/>
      <c r="I76" s="1140"/>
      <c r="J76" s="1140"/>
      <c r="K76" s="1196"/>
      <c r="L76" s="1197"/>
      <c r="M76" s="1198"/>
      <c r="N76" s="1175"/>
      <c r="O76" s="1175"/>
      <c r="P76" s="1434"/>
      <c r="Q76" s="1164"/>
    </row>
    <row r="77" spans="1:17" ht="15">
      <c r="A77" s="1119"/>
      <c r="B77" s="1124"/>
      <c r="C77" s="1125">
        <v>100</v>
      </c>
      <c r="D77" s="1125">
        <f>C77-$K15</f>
        <v>100</v>
      </c>
      <c r="E77" s="1125">
        <f>D77-$K15</f>
        <v>100</v>
      </c>
      <c r="F77" s="1125">
        <f>E77-$K15</f>
        <v>100</v>
      </c>
      <c r="G77" s="1125">
        <f>F77-$K15</f>
        <v>100</v>
      </c>
      <c r="H77" s="1125"/>
      <c r="I77" s="1125"/>
      <c r="J77" s="1125"/>
      <c r="K77" s="1125"/>
      <c r="L77" s="1125"/>
      <c r="M77" s="1182"/>
      <c r="N77" s="1178"/>
      <c r="O77" s="1178"/>
      <c r="P77" s="1425"/>
      <c r="Q77" s="1164"/>
    </row>
    <row r="78" spans="1:17" ht="15">
      <c r="A78" s="1119"/>
      <c r="B78" s="1122" t="s">
        <v>663</v>
      </c>
      <c r="C78" s="1141" t="s">
        <v>994</v>
      </c>
      <c r="D78" s="1141" t="s">
        <v>995</v>
      </c>
      <c r="E78" s="1141" t="s">
        <v>996</v>
      </c>
      <c r="F78" s="1141" t="s">
        <v>997</v>
      </c>
      <c r="G78" s="1141" t="s">
        <v>998</v>
      </c>
      <c r="H78" s="1123"/>
      <c r="I78" s="1123"/>
      <c r="J78" s="1123"/>
      <c r="K78" s="1179"/>
      <c r="L78" s="1180"/>
      <c r="M78" s="1181"/>
      <c r="N78" s="1175"/>
      <c r="O78" s="1175"/>
      <c r="P78" s="1425"/>
      <c r="Q78" s="1164"/>
    </row>
    <row r="79" spans="1:17" ht="15">
      <c r="A79" s="1119"/>
      <c r="B79" s="1124"/>
      <c r="C79" s="1125">
        <v>100</v>
      </c>
      <c r="D79" s="1125">
        <f>C79-$K17</f>
        <v>100</v>
      </c>
      <c r="E79" s="1125">
        <f>D79-$K17</f>
        <v>100</v>
      </c>
      <c r="F79" s="1125">
        <f>E79-$K17</f>
        <v>100</v>
      </c>
      <c r="G79" s="1125">
        <f>F79-$K17</f>
        <v>100</v>
      </c>
      <c r="H79" s="1125"/>
      <c r="I79" s="1125"/>
      <c r="J79" s="1125"/>
      <c r="K79" s="1125"/>
      <c r="L79" s="1125"/>
      <c r="M79" s="1182"/>
      <c r="N79" s="1178"/>
      <c r="O79" s="1178"/>
      <c r="P79" s="1425"/>
      <c r="Q79" s="1164"/>
    </row>
    <row r="80" spans="1:17" ht="15">
      <c r="A80" s="1119"/>
      <c r="B80" s="1122" t="s">
        <v>667</v>
      </c>
      <c r="C80" s="1141" t="s">
        <v>994</v>
      </c>
      <c r="D80" s="1141" t="s">
        <v>995</v>
      </c>
      <c r="E80" s="1141" t="s">
        <v>996</v>
      </c>
      <c r="F80" s="1141" t="s">
        <v>997</v>
      </c>
      <c r="G80" s="1141" t="s">
        <v>998</v>
      </c>
      <c r="H80" s="1123"/>
      <c r="I80" s="1123"/>
      <c r="J80" s="1123"/>
      <c r="K80" s="1179"/>
      <c r="L80" s="1180"/>
      <c r="M80" s="1181"/>
      <c r="N80" s="1175"/>
      <c r="O80" s="1175"/>
      <c r="P80" s="1425"/>
      <c r="Q80" s="1164"/>
    </row>
    <row r="81" spans="1:17" ht="15">
      <c r="A81" s="1119"/>
      <c r="B81" s="1124"/>
      <c r="C81" s="1125">
        <v>100</v>
      </c>
      <c r="D81" s="1125">
        <f>C81-$K19</f>
        <v>100</v>
      </c>
      <c r="E81" s="1125">
        <f>D81-$K19</f>
        <v>100</v>
      </c>
      <c r="F81" s="1125">
        <f>E81-$K19</f>
        <v>100</v>
      </c>
      <c r="G81" s="1125">
        <f>F81-$K19</f>
        <v>100</v>
      </c>
      <c r="H81" s="1125"/>
      <c r="I81" s="1125"/>
      <c r="J81" s="1125"/>
      <c r="K81" s="1125"/>
      <c r="L81" s="1125"/>
      <c r="M81" s="1182"/>
      <c r="N81" s="1178"/>
      <c r="O81" s="1178"/>
      <c r="P81" s="1425"/>
      <c r="Q81" s="1164"/>
    </row>
    <row r="82" spans="1:17" ht="15">
      <c r="A82" s="1119"/>
      <c r="B82" s="1126" t="s">
        <v>669</v>
      </c>
      <c r="C82" s="1123" t="s">
        <v>999</v>
      </c>
      <c r="D82" s="1123" t="s">
        <v>1000</v>
      </c>
      <c r="E82" s="1123" t="s">
        <v>1001</v>
      </c>
      <c r="F82" s="1123" t="s">
        <v>1002</v>
      </c>
      <c r="G82" s="1123" t="s">
        <v>1003</v>
      </c>
      <c r="H82" s="1123"/>
      <c r="I82" s="1123"/>
      <c r="J82" s="1123"/>
      <c r="K82" s="1123"/>
      <c r="L82" s="1123"/>
      <c r="M82" s="1294"/>
      <c r="N82" s="1178"/>
      <c r="O82" s="1178"/>
      <c r="P82" s="1425"/>
      <c r="Q82" s="1164"/>
    </row>
    <row r="83" spans="1:17" ht="15">
      <c r="A83" s="1119"/>
      <c r="B83" s="1126"/>
      <c r="C83" s="1146">
        <v>100</v>
      </c>
      <c r="D83" s="1146">
        <f>C83-$K21</f>
        <v>100</v>
      </c>
      <c r="E83" s="1146">
        <f t="shared" ref="E83:G83" si="23">D83-$K21</f>
        <v>100</v>
      </c>
      <c r="F83" s="1146">
        <f t="shared" si="23"/>
        <v>100</v>
      </c>
      <c r="G83" s="1146">
        <f t="shared" si="23"/>
        <v>100</v>
      </c>
      <c r="H83" s="1146"/>
      <c r="I83" s="1146"/>
      <c r="J83" s="1146"/>
      <c r="K83" s="1146"/>
      <c r="L83" s="1146"/>
      <c r="M83" s="941"/>
      <c r="N83" s="1178"/>
      <c r="O83" s="1178"/>
      <c r="P83" s="1425"/>
      <c r="Q83" s="1164"/>
    </row>
    <row r="84" spans="1:17" ht="15">
      <c r="A84" s="1119"/>
      <c r="B84" s="1122" t="s">
        <v>673</v>
      </c>
      <c r="C84" s="1141" t="s">
        <v>994</v>
      </c>
      <c r="D84" s="1141" t="s">
        <v>995</v>
      </c>
      <c r="E84" s="1141" t="s">
        <v>996</v>
      </c>
      <c r="F84" s="1141" t="s">
        <v>997</v>
      </c>
      <c r="G84" s="1141" t="s">
        <v>998</v>
      </c>
      <c r="H84" s="1123"/>
      <c r="I84" s="1123"/>
      <c r="J84" s="1123"/>
      <c r="K84" s="1179"/>
      <c r="L84" s="1180"/>
      <c r="M84" s="1181"/>
      <c r="N84" s="1175"/>
      <c r="O84" s="1175"/>
      <c r="P84" s="1425"/>
      <c r="Q84" s="1164"/>
    </row>
    <row r="85" spans="1:17" ht="15">
      <c r="A85" s="1119"/>
      <c r="B85" s="1124"/>
      <c r="C85" s="1125">
        <v>100</v>
      </c>
      <c r="D85" s="1125">
        <f>C85-$K23</f>
        <v>100</v>
      </c>
      <c r="E85" s="1125">
        <f>D85-$K23</f>
        <v>100</v>
      </c>
      <c r="F85" s="1125">
        <f>E85-$K23</f>
        <v>100</v>
      </c>
      <c r="G85" s="1125">
        <f>F85-$K23</f>
        <v>100</v>
      </c>
      <c r="H85" s="1125"/>
      <c r="I85" s="1125"/>
      <c r="J85" s="1125"/>
      <c r="K85" s="1125"/>
      <c r="L85" s="1125"/>
      <c r="M85" s="1182"/>
      <c r="N85" s="1178"/>
      <c r="O85" s="1178"/>
      <c r="P85" s="1425"/>
      <c r="Q85" s="1164"/>
    </row>
    <row r="86" spans="1:17" s="874" customFormat="1" ht="15">
      <c r="A86" s="1142"/>
      <c r="B86" s="1122" t="s">
        <v>1442</v>
      </c>
      <c r="C86" s="1130"/>
      <c r="D86" s="1130"/>
      <c r="E86" s="1130"/>
      <c r="F86" s="1130"/>
      <c r="G86" s="1130"/>
      <c r="H86" s="1130"/>
      <c r="I86" s="1130"/>
      <c r="J86" s="1130"/>
      <c r="K86" s="1130"/>
      <c r="L86" s="1295"/>
      <c r="M86" s="1296"/>
      <c r="N86" s="1169"/>
      <c r="O86" s="1169"/>
      <c r="P86" s="1425"/>
      <c r="Q86" s="1164"/>
    </row>
    <row r="87" spans="1:17" s="874" customFormat="1" ht="15">
      <c r="A87" s="1142"/>
      <c r="B87" s="1124"/>
      <c r="C87" s="1143">
        <v>100</v>
      </c>
      <c r="D87" s="1125">
        <f t="shared" ref="D87:M87" si="24">$C$87-($C$86-D86)*$K$25</f>
        <v>100</v>
      </c>
      <c r="E87" s="1125">
        <f t="shared" si="24"/>
        <v>100</v>
      </c>
      <c r="F87" s="1125">
        <f t="shared" si="24"/>
        <v>100</v>
      </c>
      <c r="G87" s="1125">
        <f t="shared" si="24"/>
        <v>100</v>
      </c>
      <c r="H87" s="1125">
        <f t="shared" si="24"/>
        <v>100</v>
      </c>
      <c r="I87" s="1125">
        <f t="shared" si="24"/>
        <v>100</v>
      </c>
      <c r="J87" s="1125">
        <f t="shared" si="24"/>
        <v>100</v>
      </c>
      <c r="K87" s="1125">
        <f t="shared" si="24"/>
        <v>100</v>
      </c>
      <c r="L87" s="1125">
        <f t="shared" si="24"/>
        <v>100</v>
      </c>
      <c r="M87" s="1125">
        <f t="shared" si="24"/>
        <v>100</v>
      </c>
      <c r="N87" s="1178"/>
      <c r="O87" s="1178"/>
      <c r="P87" s="1425"/>
      <c r="Q87" s="1164"/>
    </row>
    <row r="88" spans="1:17" s="874" customFormat="1" ht="15">
      <c r="A88" s="1142"/>
      <c r="B88" s="1122" t="s">
        <v>1443</v>
      </c>
      <c r="C88" s="1130"/>
      <c r="D88" s="1130"/>
      <c r="E88" s="1130"/>
      <c r="F88" s="1403"/>
      <c r="G88" s="1130"/>
      <c r="H88" s="1130"/>
      <c r="I88" s="1130"/>
      <c r="J88" s="1130"/>
      <c r="K88" s="1130"/>
      <c r="L88" s="1130"/>
      <c r="M88" s="1296"/>
      <c r="N88" s="1169"/>
      <c r="O88" s="1169"/>
      <c r="P88" s="1425"/>
      <c r="Q88" s="1164"/>
    </row>
    <row r="89" spans="1:17" s="874" customFormat="1" ht="15">
      <c r="A89" s="1142"/>
      <c r="B89" s="1124"/>
      <c r="C89" s="1143">
        <v>100</v>
      </c>
      <c r="D89" s="1125">
        <f t="shared" ref="D89:M89" si="25">C89-$K26</f>
        <v>100</v>
      </c>
      <c r="E89" s="1125">
        <f t="shared" si="25"/>
        <v>100</v>
      </c>
      <c r="F89" s="1125">
        <f t="shared" si="25"/>
        <v>100</v>
      </c>
      <c r="G89" s="1125">
        <f t="shared" si="25"/>
        <v>100</v>
      </c>
      <c r="H89" s="1125">
        <f t="shared" si="25"/>
        <v>100</v>
      </c>
      <c r="I89" s="1125">
        <f t="shared" si="25"/>
        <v>100</v>
      </c>
      <c r="J89" s="1125">
        <f t="shared" si="25"/>
        <v>100</v>
      </c>
      <c r="K89" s="1125">
        <f t="shared" si="25"/>
        <v>100</v>
      </c>
      <c r="L89" s="1125">
        <f t="shared" si="25"/>
        <v>100</v>
      </c>
      <c r="M89" s="1125">
        <f t="shared" si="25"/>
        <v>100</v>
      </c>
      <c r="N89" s="1178"/>
      <c r="O89" s="1178"/>
      <c r="P89" s="1425"/>
      <c r="Q89" s="1164"/>
    </row>
    <row r="90" spans="1:17" s="876" customFormat="1" ht="15">
      <c r="A90" s="1129"/>
      <c r="B90" s="1122">
        <f>B27</f>
        <v>111</v>
      </c>
      <c r="C90" s="1130"/>
      <c r="D90" s="1130"/>
      <c r="E90" s="1130"/>
      <c r="F90" s="1130"/>
      <c r="G90" s="1130"/>
      <c r="H90" s="1131"/>
      <c r="I90" s="1131"/>
      <c r="J90" s="1131"/>
      <c r="K90" s="1131"/>
      <c r="L90" s="1186"/>
      <c r="M90" s="1187"/>
      <c r="N90" s="1188"/>
      <c r="O90" s="1188"/>
      <c r="P90" s="1431"/>
      <c r="Q90" s="1217"/>
    </row>
    <row r="91" spans="1:17" s="876" customFormat="1" ht="15">
      <c r="A91" s="1129"/>
      <c r="B91" s="1124"/>
      <c r="C91" s="1132"/>
      <c r="D91" s="1132"/>
      <c r="E91" s="1132"/>
      <c r="F91" s="1132"/>
      <c r="G91" s="1132"/>
      <c r="H91" s="1133"/>
      <c r="I91" s="1133"/>
      <c r="J91" s="1133"/>
      <c r="K91" s="1133"/>
      <c r="L91" s="1133"/>
      <c r="M91" s="1191"/>
      <c r="N91" s="1188"/>
      <c r="O91" s="1188"/>
      <c r="P91" s="1431"/>
      <c r="Q91" s="1217"/>
    </row>
    <row r="92" spans="1:17" ht="15">
      <c r="A92" s="1119"/>
      <c r="B92" s="1122">
        <f>B28</f>
        <v>111</v>
      </c>
      <c r="C92" s="1130"/>
      <c r="D92" s="1130"/>
      <c r="E92" s="1130"/>
      <c r="F92" s="1130"/>
      <c r="G92" s="1147"/>
      <c r="H92" s="1147"/>
      <c r="I92" s="1147"/>
      <c r="J92" s="1147"/>
      <c r="K92" s="1206"/>
      <c r="L92" s="1207"/>
      <c r="M92" s="1208"/>
      <c r="N92" s="1175"/>
      <c r="O92" s="1175"/>
      <c r="P92" s="1425"/>
      <c r="Q92" s="1164"/>
    </row>
    <row r="93" spans="1:17" ht="15">
      <c r="A93" s="1119"/>
      <c r="B93" s="1124"/>
      <c r="C93" s="1132"/>
      <c r="D93" s="1121"/>
      <c r="E93" s="1121"/>
      <c r="F93" s="1121"/>
      <c r="G93" s="1121"/>
      <c r="H93" s="1121"/>
      <c r="I93" s="1121"/>
      <c r="J93" s="1121"/>
      <c r="K93" s="1121"/>
      <c r="L93" s="1121"/>
      <c r="M93" s="1177"/>
      <c r="N93" s="1178"/>
      <c r="O93" s="1178"/>
      <c r="P93" s="1425"/>
      <c r="Q93" s="1164"/>
    </row>
    <row r="94" spans="1:17" ht="15">
      <c r="A94" s="1119"/>
      <c r="B94" s="1122">
        <f>B29</f>
        <v>111</v>
      </c>
      <c r="C94" s="1130"/>
      <c r="D94" s="1130"/>
      <c r="E94" s="1130"/>
      <c r="F94" s="1130"/>
      <c r="G94" s="1147"/>
      <c r="H94" s="1147"/>
      <c r="I94" s="1147"/>
      <c r="J94" s="1147"/>
      <c r="K94" s="1206"/>
      <c r="L94" s="1207"/>
      <c r="M94" s="1208"/>
      <c r="N94" s="1175"/>
      <c r="O94" s="1175"/>
      <c r="P94" s="1425"/>
      <c r="Q94" s="1164"/>
    </row>
    <row r="95" spans="1:17" ht="15">
      <c r="A95" s="1119"/>
      <c r="B95" s="1124"/>
      <c r="C95" s="1132"/>
      <c r="D95" s="1132"/>
      <c r="E95" s="1132"/>
      <c r="F95" s="1132"/>
      <c r="G95" s="1121"/>
      <c r="H95" s="1121"/>
      <c r="I95" s="1121"/>
      <c r="J95" s="1121"/>
      <c r="K95" s="1121"/>
      <c r="L95" s="1121"/>
      <c r="M95" s="1177"/>
      <c r="N95" s="1178"/>
      <c r="O95" s="1178"/>
      <c r="P95" s="1425"/>
      <c r="Q95" s="1164"/>
    </row>
    <row r="96" spans="1:17" ht="15">
      <c r="A96" s="1119"/>
      <c r="B96" s="1122">
        <f>B30</f>
        <v>111</v>
      </c>
      <c r="C96" s="1130"/>
      <c r="D96" s="1130"/>
      <c r="E96" s="1130"/>
      <c r="F96" s="1130"/>
      <c r="G96" s="1147"/>
      <c r="H96" s="1147"/>
      <c r="I96" s="1147"/>
      <c r="J96" s="1147"/>
      <c r="K96" s="1206"/>
      <c r="L96" s="1207"/>
      <c r="M96" s="1208"/>
      <c r="N96" s="1175"/>
      <c r="O96" s="1175"/>
      <c r="P96" s="1425"/>
      <c r="Q96" s="1164"/>
    </row>
    <row r="97" spans="1:17" ht="15">
      <c r="A97" s="1119"/>
      <c r="B97" s="1124"/>
      <c r="C97" s="1137"/>
      <c r="D97" s="1137"/>
      <c r="E97" s="1137"/>
      <c r="F97" s="1137"/>
      <c r="G97" s="1121"/>
      <c r="H97" s="1121"/>
      <c r="I97" s="1121"/>
      <c r="J97" s="1121"/>
      <c r="K97" s="1121"/>
      <c r="L97" s="1121"/>
      <c r="M97" s="1177"/>
      <c r="N97" s="1178"/>
      <c r="O97" s="1178"/>
      <c r="P97" s="1425"/>
      <c r="Q97" s="1164"/>
    </row>
    <row r="98" spans="1:17" ht="15">
      <c r="A98" s="1119"/>
      <c r="B98" s="1126">
        <f>B31</f>
        <v>111</v>
      </c>
      <c r="C98" s="1148"/>
      <c r="D98" s="1148"/>
      <c r="E98" s="1148"/>
      <c r="F98" s="1148"/>
      <c r="G98" s="1148"/>
      <c r="H98" s="1148"/>
      <c r="I98" s="1148"/>
      <c r="J98" s="1148"/>
      <c r="K98" s="1209"/>
      <c r="L98" s="1210"/>
      <c r="M98" s="1211"/>
      <c r="N98" s="1175"/>
      <c r="O98" s="1175"/>
      <c r="P98" s="1425"/>
      <c r="Q98" s="1164"/>
    </row>
    <row r="99" spans="1:17" ht="15">
      <c r="A99" s="1378"/>
      <c r="B99" s="1136"/>
      <c r="C99" s="1149"/>
      <c r="D99" s="1149"/>
      <c r="E99" s="1149"/>
      <c r="F99" s="1149"/>
      <c r="G99" s="1149"/>
      <c r="H99" s="1149"/>
      <c r="I99" s="1149"/>
      <c r="J99" s="1149"/>
      <c r="K99" s="1149"/>
      <c r="L99" s="1149"/>
      <c r="M99" s="1212"/>
      <c r="N99" s="1178"/>
      <c r="O99" s="1178"/>
      <c r="P99" s="1425"/>
      <c r="Q99" s="1164"/>
    </row>
    <row r="100" spans="1:17">
      <c r="A100" s="1117" t="s">
        <v>952</v>
      </c>
      <c r="B100" s="1118" t="s">
        <v>1444</v>
      </c>
      <c r="C100" s="1051"/>
      <c r="D100" s="1051"/>
      <c r="E100" s="1051"/>
      <c r="F100" s="1051"/>
      <c r="G100" s="1051"/>
      <c r="H100" s="1051"/>
      <c r="I100" s="1051"/>
      <c r="J100" s="1051"/>
      <c r="K100" s="1172"/>
      <c r="L100" s="1173"/>
      <c r="M100" s="1174"/>
      <c r="N100" s="1175"/>
      <c r="O100" s="1175"/>
      <c r="P100" s="1425"/>
      <c r="Q100" s="1164"/>
    </row>
    <row r="101" spans="1:17" ht="15">
      <c r="A101" s="1119"/>
      <c r="B101" s="1124"/>
      <c r="C101" s="1125">
        <v>100</v>
      </c>
      <c r="D101" s="1125">
        <f t="shared" ref="D101:M101" si="26">C101-$K32</f>
        <v>100</v>
      </c>
      <c r="E101" s="1125">
        <f t="shared" si="26"/>
        <v>100</v>
      </c>
      <c r="F101" s="1125">
        <f t="shared" si="26"/>
        <v>100</v>
      </c>
      <c r="G101" s="1125">
        <f t="shared" si="26"/>
        <v>100</v>
      </c>
      <c r="H101" s="1125">
        <f t="shared" si="26"/>
        <v>100</v>
      </c>
      <c r="I101" s="1125">
        <f t="shared" si="26"/>
        <v>100</v>
      </c>
      <c r="J101" s="1125">
        <f t="shared" si="26"/>
        <v>100</v>
      </c>
      <c r="K101" s="1125">
        <f t="shared" si="26"/>
        <v>100</v>
      </c>
      <c r="L101" s="1125">
        <f t="shared" si="26"/>
        <v>100</v>
      </c>
      <c r="M101" s="1125">
        <f t="shared" si="26"/>
        <v>100</v>
      </c>
      <c r="N101" s="1178"/>
      <c r="O101" s="1178"/>
      <c r="P101" s="1425"/>
      <c r="Q101" s="1164"/>
    </row>
    <row r="102" spans="1:17" ht="15">
      <c r="A102" s="1119"/>
      <c r="B102" s="1122" t="s">
        <v>1445</v>
      </c>
      <c r="C102" s="1141" t="str">
        <f>C103&amp;"(含)"&amp;"-"&amp;D103</f>
        <v>(含)-</v>
      </c>
      <c r="D102" s="1141" t="str">
        <f t="shared" ref="D102:L102" si="27">D103&amp;"(含)"&amp;"-"&amp;E103</f>
        <v>(含)-</v>
      </c>
      <c r="E102" s="1141" t="str">
        <f t="shared" si="27"/>
        <v>(含)-</v>
      </c>
      <c r="F102" s="1141" t="str">
        <f t="shared" si="27"/>
        <v>(含)-</v>
      </c>
      <c r="G102" s="1141" t="str">
        <f t="shared" si="27"/>
        <v>(含)-</v>
      </c>
      <c r="H102" s="1141" t="str">
        <f t="shared" si="27"/>
        <v>(含)-</v>
      </c>
      <c r="I102" s="1141" t="str">
        <f t="shared" si="27"/>
        <v>(含)-</v>
      </c>
      <c r="J102" s="1141" t="str">
        <f t="shared" si="27"/>
        <v>(含)-</v>
      </c>
      <c r="K102" s="1141" t="str">
        <f t="shared" si="27"/>
        <v>(含)-</v>
      </c>
      <c r="L102" s="1141" t="str">
        <f t="shared" si="27"/>
        <v>(含)-</v>
      </c>
      <c r="M102" s="1141" t="str">
        <f>M103&amp;"(含)"&amp;"-"&amp;P103</f>
        <v>(含)-</v>
      </c>
      <c r="N102" s="1169"/>
      <c r="O102" s="1169"/>
      <c r="P102" s="1425"/>
      <c r="Q102" s="1164"/>
    </row>
    <row r="103" spans="1:17" s="876" customFormat="1">
      <c r="A103" s="1150"/>
      <c r="B103" s="1151"/>
      <c r="C103" s="1106"/>
      <c r="D103" s="1106"/>
      <c r="E103" s="1106"/>
      <c r="F103" s="1106"/>
      <c r="G103" s="1106"/>
      <c r="H103" s="1106"/>
      <c r="I103" s="1106"/>
      <c r="J103" s="1213"/>
      <c r="K103" s="1213"/>
      <c r="L103" s="1214"/>
      <c r="M103" s="1215"/>
      <c r="N103" s="1188"/>
      <c r="O103" s="1188"/>
      <c r="P103" s="1431"/>
      <c r="Q103" s="1217"/>
    </row>
    <row r="104" spans="1:17" s="876" customFormat="1" ht="15">
      <c r="A104" s="1129"/>
      <c r="B104" s="1124"/>
      <c r="C104" s="1132"/>
      <c r="D104" s="1121"/>
      <c r="E104" s="1121"/>
      <c r="F104" s="1121"/>
      <c r="G104" s="1121"/>
      <c r="H104" s="1121"/>
      <c r="I104" s="1121"/>
      <c r="J104" s="1121"/>
      <c r="K104" s="1121"/>
      <c r="L104" s="1121"/>
      <c r="M104" s="1121"/>
      <c r="N104" s="1178"/>
      <c r="O104" s="1178"/>
      <c r="P104" s="1431"/>
      <c r="Q104" s="1217"/>
    </row>
    <row r="105" spans="1:17">
      <c r="A105" s="1153"/>
      <c r="B105" s="1122" t="s">
        <v>1446</v>
      </c>
      <c r="C105" s="1130"/>
      <c r="D105" s="1130"/>
      <c r="E105" s="1147"/>
      <c r="F105" s="1147"/>
      <c r="G105" s="1147"/>
      <c r="H105" s="1147"/>
      <c r="I105" s="1147"/>
      <c r="J105" s="1147"/>
      <c r="K105" s="1206"/>
      <c r="L105" s="1207"/>
      <c r="M105" s="1208"/>
      <c r="N105" s="1175"/>
      <c r="O105" s="1175"/>
      <c r="P105" s="1425"/>
      <c r="Q105" s="1164"/>
    </row>
    <row r="106" spans="1:17" ht="15">
      <c r="A106" s="1119"/>
      <c r="B106" s="1124"/>
      <c r="C106" s="1125">
        <v>100</v>
      </c>
      <c r="D106" s="1125">
        <f t="shared" ref="D106:M106" si="28">C106-$K34</f>
        <v>100</v>
      </c>
      <c r="E106" s="1125">
        <f t="shared" si="28"/>
        <v>100</v>
      </c>
      <c r="F106" s="1125">
        <f t="shared" si="28"/>
        <v>100</v>
      </c>
      <c r="G106" s="1125">
        <f t="shared" si="28"/>
        <v>100</v>
      </c>
      <c r="H106" s="1125">
        <f t="shared" si="28"/>
        <v>100</v>
      </c>
      <c r="I106" s="1125">
        <f t="shared" si="28"/>
        <v>100</v>
      </c>
      <c r="J106" s="1125">
        <f t="shared" si="28"/>
        <v>100</v>
      </c>
      <c r="K106" s="1125">
        <f t="shared" si="28"/>
        <v>100</v>
      </c>
      <c r="L106" s="1125">
        <f t="shared" si="28"/>
        <v>100</v>
      </c>
      <c r="M106" s="1125">
        <f t="shared" si="28"/>
        <v>100</v>
      </c>
      <c r="N106" s="1178"/>
      <c r="O106" s="1178"/>
      <c r="P106" s="1425"/>
      <c r="Q106" s="1164"/>
    </row>
    <row r="107" spans="1:17">
      <c r="A107" s="1153"/>
      <c r="B107" s="1122" t="s">
        <v>1447</v>
      </c>
      <c r="C107" s="1147"/>
      <c r="D107" s="1147"/>
      <c r="E107" s="1147"/>
      <c r="F107" s="1147"/>
      <c r="G107" s="1147"/>
      <c r="H107" s="1147"/>
      <c r="I107" s="1147"/>
      <c r="J107" s="1147"/>
      <c r="K107" s="1206"/>
      <c r="L107" s="1207"/>
      <c r="M107" s="1208"/>
      <c r="N107" s="1175"/>
      <c r="O107" s="1175"/>
      <c r="P107" s="1425"/>
      <c r="Q107" s="1164"/>
    </row>
    <row r="108" spans="1:17" ht="15">
      <c r="A108" s="1119"/>
      <c r="B108" s="1124"/>
      <c r="C108" s="1125">
        <v>100</v>
      </c>
      <c r="D108" s="1125">
        <f t="shared" ref="D108:M108" si="29">C108-$K35</f>
        <v>100</v>
      </c>
      <c r="E108" s="1125">
        <f t="shared" si="29"/>
        <v>100</v>
      </c>
      <c r="F108" s="1125">
        <f t="shared" si="29"/>
        <v>100</v>
      </c>
      <c r="G108" s="1125">
        <f t="shared" si="29"/>
        <v>100</v>
      </c>
      <c r="H108" s="1125">
        <f t="shared" si="29"/>
        <v>100</v>
      </c>
      <c r="I108" s="1125">
        <f t="shared" si="29"/>
        <v>100</v>
      </c>
      <c r="J108" s="1125">
        <f t="shared" si="29"/>
        <v>100</v>
      </c>
      <c r="K108" s="1125">
        <f t="shared" si="29"/>
        <v>100</v>
      </c>
      <c r="L108" s="1125">
        <f t="shared" si="29"/>
        <v>100</v>
      </c>
      <c r="M108" s="1125">
        <f t="shared" si="29"/>
        <v>100</v>
      </c>
      <c r="N108" s="1178"/>
      <c r="O108" s="1178"/>
      <c r="P108" s="1425"/>
      <c r="Q108" s="1164"/>
    </row>
    <row r="109" spans="1:17">
      <c r="A109" s="1153"/>
      <c r="B109" s="1122" t="s">
        <v>1448</v>
      </c>
      <c r="C109" s="1130"/>
      <c r="D109" s="1130"/>
      <c r="E109" s="1130"/>
      <c r="F109" s="1147"/>
      <c r="G109" s="1147"/>
      <c r="H109" s="1147"/>
      <c r="I109" s="1147"/>
      <c r="J109" s="1147"/>
      <c r="K109" s="1206"/>
      <c r="L109" s="1207"/>
      <c r="M109" s="1208"/>
      <c r="N109" s="1175"/>
      <c r="O109" s="1175"/>
      <c r="P109" s="1425"/>
      <c r="Q109" s="1164"/>
    </row>
    <row r="110" spans="1:17" ht="15">
      <c r="A110" s="1119"/>
      <c r="B110" s="1124"/>
      <c r="C110" s="1125">
        <v>100</v>
      </c>
      <c r="D110" s="1125">
        <f t="shared" ref="D110:M110" si="30">C110-$K36</f>
        <v>100</v>
      </c>
      <c r="E110" s="1125">
        <f t="shared" si="30"/>
        <v>100</v>
      </c>
      <c r="F110" s="1125">
        <f t="shared" si="30"/>
        <v>100</v>
      </c>
      <c r="G110" s="1125">
        <f t="shared" si="30"/>
        <v>100</v>
      </c>
      <c r="H110" s="1125">
        <f t="shared" si="30"/>
        <v>100</v>
      </c>
      <c r="I110" s="1125">
        <f t="shared" si="30"/>
        <v>100</v>
      </c>
      <c r="J110" s="1125">
        <f t="shared" si="30"/>
        <v>100</v>
      </c>
      <c r="K110" s="1125">
        <f t="shared" si="30"/>
        <v>100</v>
      </c>
      <c r="L110" s="1125">
        <f t="shared" si="30"/>
        <v>100</v>
      </c>
      <c r="M110" s="1125">
        <f t="shared" si="30"/>
        <v>100</v>
      </c>
      <c r="N110" s="1178"/>
      <c r="O110" s="1178"/>
      <c r="P110" s="1425"/>
      <c r="Q110" s="1164"/>
    </row>
    <row r="111" spans="1:17" s="876" customFormat="1">
      <c r="A111" s="1150"/>
      <c r="B111" s="1122" t="s">
        <v>570</v>
      </c>
      <c r="C111" s="1141" t="str">
        <f>C112&amp;"(含)"&amp;"-"&amp;D112</f>
        <v>0.5(含)-0.6</v>
      </c>
      <c r="D111" s="1141" t="str">
        <f>D112&amp;"(含)"&amp;"-"&amp;E112</f>
        <v>0.6(含)-0.7</v>
      </c>
      <c r="E111" s="1141" t="str">
        <f>E112&amp;"(含)"&amp;"-"&amp;F112</f>
        <v>0.7(含)-0.8</v>
      </c>
      <c r="F111" s="1141" t="str">
        <f>F112&amp;"(含)"&amp;"-"&amp;G112</f>
        <v>0.8(含)-0.9</v>
      </c>
      <c r="G111" s="1141" t="str">
        <f>G112&amp;"(含)"&amp;"-"&amp;ROUND(H112,0)&amp;"(含)"</f>
        <v>0.9(含)-1(含)</v>
      </c>
      <c r="H111" s="1141" t="str">
        <f>ROUND(H112,0)&amp;"(含)"&amp;"-"&amp;I112</f>
        <v>1(含)-</v>
      </c>
      <c r="I111" s="1141"/>
      <c r="J111" s="1144"/>
      <c r="K111" s="1144"/>
      <c r="L111" s="1202"/>
      <c r="M111" s="1203"/>
      <c r="N111" s="1188"/>
      <c r="O111" s="1188"/>
      <c r="P111" s="1431"/>
      <c r="Q111" s="1217"/>
    </row>
    <row r="112" spans="1:17" s="876" customFormat="1">
      <c r="A112" s="1150"/>
      <c r="B112" s="1126"/>
      <c r="C112" s="809">
        <v>0.5</v>
      </c>
      <c r="D112" s="809">
        <v>0.6</v>
      </c>
      <c r="E112" s="809">
        <v>0.7</v>
      </c>
      <c r="F112" s="809">
        <v>0.8</v>
      </c>
      <c r="G112" s="809">
        <v>0.9</v>
      </c>
      <c r="H112" s="809">
        <v>1.0001</v>
      </c>
      <c r="I112" s="809"/>
      <c r="J112" s="1466"/>
      <c r="K112" s="1466"/>
      <c r="L112" s="1467"/>
      <c r="M112" s="1468"/>
      <c r="N112" s="1188"/>
      <c r="O112" s="1188"/>
      <c r="P112" s="1431"/>
      <c r="Q112" s="1217"/>
    </row>
    <row r="113" spans="1:17" s="876" customFormat="1" ht="15">
      <c r="A113" s="1129"/>
      <c r="B113" s="1124"/>
      <c r="C113" s="1143">
        <v>100</v>
      </c>
      <c r="D113" s="1125">
        <f>C113+$K37</f>
        <v>100</v>
      </c>
      <c r="E113" s="1125">
        <f>D113+$K37</f>
        <v>100</v>
      </c>
      <c r="F113" s="1125">
        <f>E113+$K37</f>
        <v>100</v>
      </c>
      <c r="G113" s="1125">
        <f>F113+$K37</f>
        <v>100</v>
      </c>
      <c r="H113" s="1125">
        <f>G113+$K37</f>
        <v>100</v>
      </c>
      <c r="I113" s="1143"/>
      <c r="J113" s="1145"/>
      <c r="K113" s="1145"/>
      <c r="L113" s="1145"/>
      <c r="M113" s="1204"/>
      <c r="N113" s="1188"/>
      <c r="O113" s="1188"/>
      <c r="P113" s="1431"/>
      <c r="Q113" s="1217"/>
    </row>
    <row r="114" spans="1:17">
      <c r="A114" s="1153"/>
      <c r="B114" s="1122" t="s">
        <v>1449</v>
      </c>
      <c r="C114" s="1130"/>
      <c r="D114" s="1130"/>
      <c r="E114" s="1147"/>
      <c r="F114" s="1147"/>
      <c r="G114" s="1147"/>
      <c r="H114" s="1147"/>
      <c r="I114" s="1147"/>
      <c r="J114" s="1147"/>
      <c r="K114" s="1206"/>
      <c r="L114" s="1207"/>
      <c r="M114" s="1208"/>
      <c r="N114" s="1175"/>
      <c r="O114" s="1175"/>
      <c r="P114" s="1425"/>
      <c r="Q114" s="1164"/>
    </row>
    <row r="115" spans="1:17" ht="15">
      <c r="A115" s="1119"/>
      <c r="B115" s="1124"/>
      <c r="C115" s="1125">
        <v>100</v>
      </c>
      <c r="D115" s="1125">
        <f t="shared" ref="D115:M115" si="31">C115-$K38</f>
        <v>100</v>
      </c>
      <c r="E115" s="1125">
        <f t="shared" si="31"/>
        <v>100</v>
      </c>
      <c r="F115" s="1125">
        <f t="shared" si="31"/>
        <v>100</v>
      </c>
      <c r="G115" s="1125">
        <f t="shared" si="31"/>
        <v>100</v>
      </c>
      <c r="H115" s="1125">
        <f t="shared" si="31"/>
        <v>100</v>
      </c>
      <c r="I115" s="1125">
        <f t="shared" si="31"/>
        <v>100</v>
      </c>
      <c r="J115" s="1125">
        <f t="shared" si="31"/>
        <v>100</v>
      </c>
      <c r="K115" s="1125">
        <f t="shared" si="31"/>
        <v>100</v>
      </c>
      <c r="L115" s="1125">
        <f t="shared" si="31"/>
        <v>100</v>
      </c>
      <c r="M115" s="1125">
        <f t="shared" si="31"/>
        <v>100</v>
      </c>
      <c r="N115" s="1178"/>
      <c r="O115" s="1178"/>
      <c r="P115" s="1425"/>
      <c r="Q115" s="1164"/>
    </row>
    <row r="116" spans="1:17">
      <c r="A116" s="1153"/>
      <c r="B116" s="1122" t="s">
        <v>1450</v>
      </c>
      <c r="C116" s="1130"/>
      <c r="D116" s="1130"/>
      <c r="E116" s="1130"/>
      <c r="F116" s="1130"/>
      <c r="G116" s="1130"/>
      <c r="H116" s="1147"/>
      <c r="I116" s="1147"/>
      <c r="J116" s="1147"/>
      <c r="K116" s="1206"/>
      <c r="L116" s="1207"/>
      <c r="M116" s="1208"/>
      <c r="N116" s="1175"/>
      <c r="O116" s="1175"/>
      <c r="P116" s="1425"/>
      <c r="Q116" s="1164"/>
    </row>
    <row r="117" spans="1:17" ht="15">
      <c r="A117" s="1119"/>
      <c r="B117" s="1124"/>
      <c r="C117" s="1125">
        <v>100</v>
      </c>
      <c r="D117" s="1125">
        <f>C117-$K39</f>
        <v>100</v>
      </c>
      <c r="E117" s="1125">
        <f>D117-$K39</f>
        <v>100</v>
      </c>
      <c r="F117" s="1125">
        <f>E117-$K39</f>
        <v>100</v>
      </c>
      <c r="G117" s="1125">
        <f>F117-$K39</f>
        <v>100</v>
      </c>
      <c r="H117" s="1125"/>
      <c r="I117" s="1125"/>
      <c r="J117" s="1125"/>
      <c r="K117" s="1125"/>
      <c r="L117" s="1125"/>
      <c r="M117" s="1182"/>
      <c r="N117" s="1178"/>
      <c r="O117" s="1178"/>
      <c r="P117" s="1425"/>
      <c r="Q117" s="1164"/>
    </row>
    <row r="118" spans="1:17">
      <c r="A118" s="1153"/>
      <c r="B118" s="1122" t="s">
        <v>1451</v>
      </c>
      <c r="C118" s="1147"/>
      <c r="D118" s="1147"/>
      <c r="E118" s="1147"/>
      <c r="F118" s="1147"/>
      <c r="G118" s="1147"/>
      <c r="H118" s="1147"/>
      <c r="I118" s="1147"/>
      <c r="J118" s="1147"/>
      <c r="K118" s="1206"/>
      <c r="L118" s="1207"/>
      <c r="M118" s="1208"/>
      <c r="N118" s="1175"/>
      <c r="O118" s="1175"/>
      <c r="P118" s="1425"/>
      <c r="Q118" s="1164"/>
    </row>
    <row r="119" spans="1:17" ht="15">
      <c r="A119" s="1119"/>
      <c r="B119" s="1124"/>
      <c r="C119" s="1125">
        <v>100</v>
      </c>
      <c r="D119" s="1125">
        <f t="shared" ref="D119:M119" si="32">C119-$K40</f>
        <v>100</v>
      </c>
      <c r="E119" s="1125">
        <f t="shared" si="32"/>
        <v>100</v>
      </c>
      <c r="F119" s="1125">
        <f t="shared" si="32"/>
        <v>100</v>
      </c>
      <c r="G119" s="1125">
        <f t="shared" si="32"/>
        <v>100</v>
      </c>
      <c r="H119" s="1125">
        <f t="shared" si="32"/>
        <v>100</v>
      </c>
      <c r="I119" s="1125">
        <f t="shared" si="32"/>
        <v>100</v>
      </c>
      <c r="J119" s="1125">
        <f t="shared" si="32"/>
        <v>100</v>
      </c>
      <c r="K119" s="1125">
        <f t="shared" si="32"/>
        <v>100</v>
      </c>
      <c r="L119" s="1125">
        <f t="shared" si="32"/>
        <v>100</v>
      </c>
      <c r="M119" s="1125">
        <f t="shared" si="32"/>
        <v>100</v>
      </c>
      <c r="N119" s="1178"/>
      <c r="O119" s="1178"/>
      <c r="P119" s="1425"/>
      <c r="Q119" s="1164"/>
    </row>
    <row r="120" spans="1:17" s="876" customFormat="1" ht="27.75">
      <c r="A120" s="1150"/>
      <c r="B120" s="1122" t="s">
        <v>1452</v>
      </c>
      <c r="C120" s="1130"/>
      <c r="D120" s="1130"/>
      <c r="E120" s="1130"/>
      <c r="F120" s="1130"/>
      <c r="G120" s="1130"/>
      <c r="H120" s="1130"/>
      <c r="I120" s="1130"/>
      <c r="J120" s="1130"/>
      <c r="K120" s="1130"/>
      <c r="L120" s="1295"/>
      <c r="M120" s="1296"/>
      <c r="N120" s="1188"/>
      <c r="O120" s="1188"/>
      <c r="P120" s="1431"/>
      <c r="Q120" s="1217"/>
    </row>
    <row r="121" spans="1:17" s="876" customFormat="1" ht="15">
      <c r="A121" s="1129"/>
      <c r="B121" s="1120"/>
      <c r="C121" s="1132"/>
      <c r="D121" s="1121"/>
      <c r="E121" s="1121"/>
      <c r="F121" s="1121"/>
      <c r="G121" s="1121"/>
      <c r="H121" s="1121"/>
      <c r="I121" s="1121"/>
      <c r="J121" s="1121"/>
      <c r="K121" s="1121"/>
      <c r="L121" s="1121"/>
      <c r="M121" s="1121"/>
      <c r="N121" s="1188"/>
      <c r="O121" s="1188"/>
      <c r="P121" s="1431"/>
      <c r="Q121" s="1217"/>
    </row>
    <row r="122" spans="1:17">
      <c r="A122" s="1153"/>
      <c r="B122" s="1122" t="s">
        <v>1453</v>
      </c>
      <c r="C122" s="1130"/>
      <c r="D122" s="1130"/>
      <c r="E122" s="1130"/>
      <c r="F122" s="1147"/>
      <c r="G122" s="1147"/>
      <c r="H122" s="1147"/>
      <c r="I122" s="1147"/>
      <c r="J122" s="1147"/>
      <c r="K122" s="1206"/>
      <c r="L122" s="1207"/>
      <c r="M122" s="1208"/>
      <c r="N122" s="1175"/>
      <c r="O122" s="1175"/>
      <c r="P122" s="1425"/>
      <c r="Q122" s="1164"/>
    </row>
    <row r="123" spans="1:17" ht="15">
      <c r="A123" s="1119"/>
      <c r="B123" s="1124"/>
      <c r="C123" s="1125">
        <v>100</v>
      </c>
      <c r="D123" s="1125">
        <f t="shared" ref="D123:M123" si="33">C123-$K42</f>
        <v>100</v>
      </c>
      <c r="E123" s="1125">
        <f t="shared" si="33"/>
        <v>100</v>
      </c>
      <c r="F123" s="1125">
        <f t="shared" si="33"/>
        <v>100</v>
      </c>
      <c r="G123" s="1125">
        <f t="shared" si="33"/>
        <v>100</v>
      </c>
      <c r="H123" s="1125">
        <f t="shared" si="33"/>
        <v>100</v>
      </c>
      <c r="I123" s="1125">
        <f t="shared" si="33"/>
        <v>100</v>
      </c>
      <c r="J123" s="1125">
        <f t="shared" si="33"/>
        <v>100</v>
      </c>
      <c r="K123" s="1125">
        <f t="shared" si="33"/>
        <v>100</v>
      </c>
      <c r="L123" s="1125">
        <f t="shared" si="33"/>
        <v>100</v>
      </c>
      <c r="M123" s="1125">
        <f t="shared" si="33"/>
        <v>100</v>
      </c>
      <c r="N123" s="1178"/>
      <c r="O123" s="1178"/>
      <c r="P123" s="1425"/>
      <c r="Q123" s="1164"/>
    </row>
    <row r="124" spans="1:17">
      <c r="A124" s="1153"/>
      <c r="B124" s="1122" t="s">
        <v>1454</v>
      </c>
      <c r="C124" s="1141" t="s">
        <v>994</v>
      </c>
      <c r="D124" s="1141" t="s">
        <v>995</v>
      </c>
      <c r="E124" s="1141" t="s">
        <v>996</v>
      </c>
      <c r="F124" s="1141" t="s">
        <v>997</v>
      </c>
      <c r="G124" s="1141" t="s">
        <v>998</v>
      </c>
      <c r="H124" s="1123"/>
      <c r="I124" s="1123"/>
      <c r="J124" s="1123"/>
      <c r="K124" s="1179"/>
      <c r="L124" s="1180"/>
      <c r="M124" s="1181"/>
      <c r="N124" s="1175"/>
      <c r="O124" s="1175"/>
      <c r="P124" s="1431"/>
      <c r="Q124" s="1164"/>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82"/>
      <c r="N125" s="1178"/>
      <c r="O125" s="1178"/>
      <c r="P125" s="1425"/>
      <c r="Q125" s="1164"/>
    </row>
    <row r="126" spans="1:17" s="876" customFormat="1">
      <c r="A126" s="1150"/>
      <c r="B126" s="1122">
        <f>B44</f>
        <v>111</v>
      </c>
      <c r="C126" s="1130"/>
      <c r="D126" s="1130"/>
      <c r="E126" s="1130"/>
      <c r="F126" s="1130"/>
      <c r="G126" s="1130"/>
      <c r="H126" s="1131"/>
      <c r="I126" s="1131"/>
      <c r="J126" s="1131"/>
      <c r="K126" s="1131"/>
      <c r="L126" s="1186"/>
      <c r="M126" s="1187"/>
      <c r="N126" s="1188"/>
      <c r="O126" s="1188"/>
      <c r="P126" s="1431"/>
      <c r="Q126" s="1217"/>
    </row>
    <row r="127" spans="1:17" s="876" customFormat="1" ht="15">
      <c r="A127" s="1129"/>
      <c r="B127" s="1124"/>
      <c r="C127" s="1132"/>
      <c r="D127" s="1121"/>
      <c r="E127" s="1121"/>
      <c r="F127" s="1121"/>
      <c r="G127" s="1132"/>
      <c r="H127" s="1133"/>
      <c r="I127" s="1133"/>
      <c r="J127" s="1133"/>
      <c r="K127" s="1133"/>
      <c r="L127" s="1133"/>
      <c r="M127" s="1191"/>
      <c r="N127" s="1188"/>
      <c r="O127" s="1188"/>
      <c r="P127" s="1431"/>
      <c r="Q127" s="1217"/>
    </row>
    <row r="128" spans="1:17">
      <c r="A128" s="1153"/>
      <c r="B128" s="1122">
        <f>B45</f>
        <v>111</v>
      </c>
      <c r="C128" s="1130"/>
      <c r="D128" s="1130"/>
      <c r="E128" s="1130"/>
      <c r="F128" s="1130"/>
      <c r="G128" s="1147"/>
      <c r="H128" s="1147"/>
      <c r="I128" s="1147"/>
      <c r="J128" s="1147"/>
      <c r="K128" s="1206"/>
      <c r="L128" s="1207"/>
      <c r="M128" s="1208"/>
      <c r="N128" s="1175"/>
      <c r="O128" s="1175"/>
      <c r="P128" s="1425"/>
      <c r="Q128" s="1164"/>
    </row>
    <row r="129" spans="1:17" ht="15">
      <c r="A129" s="1119"/>
      <c r="B129" s="1124"/>
      <c r="C129" s="1132"/>
      <c r="D129" s="1132"/>
      <c r="E129" s="1132"/>
      <c r="F129" s="1132"/>
      <c r="G129" s="1121"/>
      <c r="H129" s="1121"/>
      <c r="I129" s="1121"/>
      <c r="J129" s="1121"/>
      <c r="K129" s="1121"/>
      <c r="L129" s="1121"/>
      <c r="M129" s="1177"/>
      <c r="N129" s="1178"/>
      <c r="O129" s="1178"/>
      <c r="P129" s="1425"/>
      <c r="Q129" s="1164"/>
    </row>
    <row r="130" spans="1:17">
      <c r="A130" s="1153"/>
      <c r="B130" s="1126">
        <f>B46</f>
        <v>111</v>
      </c>
      <c r="C130" s="1130"/>
      <c r="D130" s="1130"/>
      <c r="E130" s="1130"/>
      <c r="F130" s="1130"/>
      <c r="G130" s="1148"/>
      <c r="H130" s="1148"/>
      <c r="I130" s="1148"/>
      <c r="J130" s="1148"/>
      <c r="K130" s="1114"/>
      <c r="L130" s="1167"/>
      <c r="M130" s="1211"/>
      <c r="N130" s="1175"/>
      <c r="O130" s="1175"/>
      <c r="P130" s="1425"/>
      <c r="Q130" s="1164"/>
    </row>
    <row r="131" spans="1:17" ht="15">
      <c r="A131" s="1378"/>
      <c r="B131" s="1136"/>
      <c r="C131" s="1137"/>
      <c r="D131" s="1137"/>
      <c r="E131" s="1137"/>
      <c r="F131" s="1137"/>
      <c r="G131" s="1149"/>
      <c r="H131" s="1149"/>
      <c r="I131" s="1149"/>
      <c r="J131" s="1149"/>
      <c r="K131" s="1149"/>
      <c r="L131" s="1149"/>
      <c r="M131" s="1212"/>
      <c r="N131" s="1178"/>
      <c r="O131" s="1178"/>
      <c r="P131" s="1425"/>
      <c r="Q131" s="1164"/>
    </row>
    <row r="136" spans="1:17">
      <c r="B136" s="1469" t="s">
        <v>1463</v>
      </c>
    </row>
    <row r="137" spans="1:17" ht="15">
      <c r="B137" s="1470" t="s">
        <v>1464</v>
      </c>
      <c r="C137" s="1471"/>
      <c r="D137" s="1471"/>
      <c r="E137" s="1471"/>
      <c r="F137" s="1471"/>
      <c r="G137" s="1472"/>
      <c r="H137" s="1473"/>
      <c r="I137" s="1496" t="s">
        <v>1465</v>
      </c>
      <c r="J137" s="1471"/>
      <c r="K137" s="1497"/>
    </row>
    <row r="138" spans="1:17" ht="15">
      <c r="B138" s="1474"/>
      <c r="C138" s="1475" t="s">
        <v>1466</v>
      </c>
      <c r="D138" s="1475" t="s">
        <v>1467</v>
      </c>
      <c r="E138" s="1476" t="s">
        <v>1468</v>
      </c>
      <c r="F138" s="1477" t="s">
        <v>1469</v>
      </c>
      <c r="G138" s="1475" t="s">
        <v>1467</v>
      </c>
      <c r="H138" s="1478" t="s">
        <v>1468</v>
      </c>
      <c r="I138" s="1498"/>
      <c r="J138" s="1475" t="s">
        <v>1470</v>
      </c>
      <c r="K138" s="1478" t="s">
        <v>1471</v>
      </c>
    </row>
    <row r="139" spans="1:17" ht="15">
      <c r="B139" s="1479">
        <v>6</v>
      </c>
      <c r="C139" s="1480">
        <v>96</v>
      </c>
      <c r="D139" s="1481" t="s">
        <v>1472</v>
      </c>
      <c r="E139" s="1482">
        <v>100</v>
      </c>
      <c r="F139" s="1483">
        <v>102.5</v>
      </c>
      <c r="G139" s="1481" t="s">
        <v>1472</v>
      </c>
      <c r="H139" s="1484">
        <v>105</v>
      </c>
      <c r="I139" s="1499" t="s">
        <v>1473</v>
      </c>
      <c r="J139" s="1480">
        <v>20</v>
      </c>
      <c r="K139" s="1500">
        <f>C145/(J139-2)</f>
        <v>4.0555555555555596E-3</v>
      </c>
    </row>
    <row r="140" spans="1:17" ht="15">
      <c r="B140" s="1485">
        <v>5</v>
      </c>
      <c r="C140" s="1486">
        <v>100</v>
      </c>
      <c r="D140" s="1486"/>
      <c r="E140" s="1487"/>
      <c r="F140" s="1488">
        <v>102</v>
      </c>
      <c r="G140" s="1486"/>
      <c r="H140" s="1489"/>
      <c r="I140" s="1501" t="s">
        <v>1474</v>
      </c>
      <c r="J140" s="221">
        <f>ROUNDUP((J139-1)/2,0)</f>
        <v>10</v>
      </c>
      <c r="K140" s="1502">
        <v>100</v>
      </c>
    </row>
    <row r="141" spans="1:17" ht="15">
      <c r="B141" s="1485">
        <v>4</v>
      </c>
      <c r="C141" s="1486">
        <v>102</v>
      </c>
      <c r="D141" s="1486"/>
      <c r="E141" s="1487"/>
      <c r="F141" s="1488">
        <v>101.5</v>
      </c>
      <c r="G141" s="1486"/>
      <c r="H141" s="1489"/>
      <c r="I141" s="1501" t="s">
        <v>1475</v>
      </c>
      <c r="J141" s="221">
        <v>1</v>
      </c>
      <c r="K141" s="1503">
        <f>ROUND(100+(J141-J140)*K139*100,1)</f>
        <v>96.4</v>
      </c>
    </row>
    <row r="142" spans="1:17" ht="15">
      <c r="B142" s="1485">
        <v>3</v>
      </c>
      <c r="C142" s="1486">
        <v>103</v>
      </c>
      <c r="D142" s="1486"/>
      <c r="E142" s="1487"/>
      <c r="F142" s="1488">
        <v>101</v>
      </c>
      <c r="G142" s="1486"/>
      <c r="H142" s="1489"/>
      <c r="I142" s="1501" t="s">
        <v>1476</v>
      </c>
      <c r="J142" s="221">
        <f>J139</f>
        <v>20</v>
      </c>
      <c r="K142" s="1504">
        <v>95</v>
      </c>
    </row>
    <row r="143" spans="1:17" ht="15">
      <c r="B143" s="1485">
        <v>2</v>
      </c>
      <c r="C143" s="1486">
        <v>100</v>
      </c>
      <c r="D143" s="1486"/>
      <c r="E143" s="1487"/>
      <c r="F143" s="1488">
        <v>100.5</v>
      </c>
      <c r="G143" s="1486"/>
      <c r="H143" s="1489"/>
      <c r="I143" s="1501" t="s">
        <v>1477</v>
      </c>
      <c r="J143" s="1486">
        <v>15</v>
      </c>
      <c r="K143" s="1503">
        <f>ROUND(100+(J143-J140)*K139*100,1)</f>
        <v>102</v>
      </c>
    </row>
    <row r="144" spans="1:17" ht="15">
      <c r="B144" s="1485">
        <v>1</v>
      </c>
      <c r="C144" s="1486">
        <v>98</v>
      </c>
      <c r="D144" s="1490" t="s">
        <v>1478</v>
      </c>
      <c r="E144" s="1487">
        <v>102</v>
      </c>
      <c r="F144" s="1491">
        <v>100</v>
      </c>
      <c r="G144" s="1490" t="s">
        <v>1478</v>
      </c>
      <c r="H144" s="1489">
        <v>105</v>
      </c>
      <c r="I144" s="1501" t="s">
        <v>1477</v>
      </c>
      <c r="J144" s="1486">
        <v>18</v>
      </c>
      <c r="K144" s="1503">
        <f>ROUND(100+(J144-J140)*K139*100,1)</f>
        <v>103.2</v>
      </c>
    </row>
    <row r="145" spans="2:11" ht="15">
      <c r="B145" s="1492" t="s">
        <v>1479</v>
      </c>
      <c r="C145" s="1493">
        <f>ROUND(MAX(C139:C144)/MIN(C139:C144)-1,3)</f>
        <v>7.2999999999999995E-2</v>
      </c>
      <c r="D145" s="1494"/>
      <c r="E145" s="1494"/>
      <c r="F145" s="1495" t="s">
        <v>1480</v>
      </c>
      <c r="G145" s="1399"/>
      <c r="H145" s="1402"/>
      <c r="I145" s="1505" t="s">
        <v>1477</v>
      </c>
      <c r="J145" s="1506">
        <v>8</v>
      </c>
      <c r="K145" s="1507">
        <f>ROUND(100+(J145-J140)*K139*100,1)</f>
        <v>99.2</v>
      </c>
    </row>
    <row r="147" spans="2:11">
      <c r="B147" s="1469" t="s">
        <v>1481</v>
      </c>
    </row>
    <row r="148" spans="2:11">
      <c r="B148" s="1469" t="s">
        <v>1482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1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1434</v>
      </c>
      <c r="B1" s="1412" t="s">
        <v>1483</v>
      </c>
      <c r="C1" s="1282" t="s">
        <v>1436</v>
      </c>
      <c r="D1" s="1224"/>
      <c r="E1" s="1413"/>
      <c r="F1" s="1226"/>
      <c r="G1" s="1227" t="s">
        <v>924</v>
      </c>
      <c r="H1" s="1225"/>
      <c r="I1" s="1225"/>
      <c r="J1" s="1225"/>
      <c r="K1" s="1280"/>
      <c r="L1" s="1281"/>
      <c r="M1" s="1282"/>
      <c r="N1" s="1282"/>
      <c r="O1" s="1282"/>
      <c r="P1" s="1418"/>
      <c r="Q1" s="1426"/>
      <c r="R1" s="1426"/>
      <c r="S1" s="1426"/>
      <c r="T1" s="1426"/>
      <c r="U1" s="1426"/>
      <c r="V1" s="1426"/>
      <c r="W1" s="1426"/>
      <c r="X1" s="1426"/>
      <c r="Y1" s="1426"/>
      <c r="Z1" s="1426"/>
      <c r="AA1" s="1426"/>
      <c r="AB1" s="1426"/>
      <c r="AC1" s="1428"/>
    </row>
    <row r="2" spans="1:29" s="873" customFormat="1" ht="28.5" customHeight="1">
      <c r="A2" s="1228" t="s">
        <v>925</v>
      </c>
      <c r="B2" s="1229" t="e">
        <f ca="1">IF(C2="——",ROUND(C49*D3/10000,0),ROUND(C49*D3/10000,0)-D2)</f>
        <v>#DIV/0!</v>
      </c>
      <c r="C2" s="1230"/>
      <c r="D2" s="1379" t="e">
        <f ca="1">SUMIF(INDIRECT("'"&amp;F2&amp;"'"&amp;"!A:A"),"承租人权益价值",INDIRECT("'"&amp;F2&amp;"'"&amp;"!c:c"))</f>
        <v>#REF!</v>
      </c>
      <c r="E2" s="1231" t="s">
        <v>1011</v>
      </c>
      <c r="F2" s="1232"/>
      <c r="G2" s="890"/>
      <c r="H2" s="890"/>
      <c r="I2" s="890"/>
      <c r="J2" s="890"/>
      <c r="K2" s="890"/>
      <c r="L2" s="1026"/>
      <c r="M2" s="1027"/>
      <c r="N2" s="1027"/>
      <c r="O2" s="1027"/>
      <c r="P2" s="1419"/>
      <c r="Q2" s="1027"/>
      <c r="R2" s="1027"/>
      <c r="S2" s="1027"/>
      <c r="T2" s="1027"/>
      <c r="U2" s="1027"/>
      <c r="V2" s="1027"/>
      <c r="W2" s="1027"/>
      <c r="X2" s="1027"/>
      <c r="Y2" s="1027"/>
      <c r="Z2" s="1027"/>
      <c r="AA2" s="1027"/>
      <c r="AB2" s="1027"/>
      <c r="AC2" s="1429"/>
    </row>
    <row r="3" spans="1:29" s="873" customFormat="1" ht="28.5" customHeight="1">
      <c r="A3" s="147" t="s">
        <v>926</v>
      </c>
      <c r="B3" s="892" t="e">
        <f ca="1">IF(C2="——",C49,ROUND(B2*10000/D3,0))</f>
        <v>#DIV/0!</v>
      </c>
      <c r="C3" s="1233" t="s">
        <v>927</v>
      </c>
      <c r="D3" s="1234">
        <f>IF(D1="",'数据-汇总表'!E3,SUMIF('数据-汇总表'!$C19:$C33,D1,'数据-汇总表'!$E19:$E33))</f>
        <v>34364.589999999997</v>
      </c>
      <c r="E3" s="1380"/>
      <c r="F3" s="891"/>
      <c r="G3" s="890"/>
      <c r="H3" s="890"/>
      <c r="I3" s="890"/>
      <c r="J3" s="890"/>
      <c r="K3" s="1025"/>
      <c r="L3" s="1026"/>
      <c r="M3" s="1027"/>
      <c r="N3" s="1027"/>
      <c r="O3" s="1027"/>
      <c r="P3" s="1419"/>
      <c r="Q3" s="1027"/>
      <c r="R3" s="1027"/>
      <c r="S3" s="1027"/>
      <c r="T3" s="1027"/>
      <c r="U3" s="1027"/>
      <c r="V3" s="1027"/>
      <c r="W3" s="1027"/>
      <c r="X3" s="1027"/>
      <c r="Y3" s="1027"/>
      <c r="Z3" s="1027"/>
      <c r="AA3" s="1027"/>
      <c r="AB3" s="1027"/>
      <c r="AC3" s="1380"/>
    </row>
    <row r="4" spans="1:29"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83" t="s">
        <v>931</v>
      </c>
      <c r="AC4" s="3195" t="s">
        <v>932</v>
      </c>
    </row>
    <row r="5" spans="1:29" ht="15">
      <c r="A5" s="896"/>
      <c r="B5" s="897"/>
      <c r="C5" s="3171" t="s">
        <v>935</v>
      </c>
      <c r="D5" s="3172"/>
      <c r="E5" s="3173" t="s">
        <v>1438</v>
      </c>
      <c r="F5" s="3174"/>
      <c r="G5" s="3171" t="s">
        <v>1439</v>
      </c>
      <c r="H5" s="3172"/>
      <c r="I5" s="3171" t="s">
        <v>1440</v>
      </c>
      <c r="J5" s="3172"/>
      <c r="K5" s="1028"/>
      <c r="L5" s="1029"/>
      <c r="M5" s="1030"/>
      <c r="N5" s="1030"/>
      <c r="O5" s="1030"/>
      <c r="P5" s="3200"/>
      <c r="Q5" s="3201"/>
      <c r="R5" s="3206"/>
      <c r="S5" s="3207"/>
      <c r="T5" s="3206"/>
      <c r="U5" s="3207"/>
      <c r="V5" s="3183"/>
      <c r="W5" s="3183"/>
      <c r="X5" s="1070"/>
      <c r="Y5" s="3206"/>
      <c r="Z5" s="3207"/>
      <c r="AA5" s="3196"/>
      <c r="AB5" s="3183"/>
      <c r="AC5" s="3196"/>
    </row>
    <row r="6" spans="1:29" ht="15">
      <c r="A6" s="898"/>
      <c r="B6" s="899"/>
      <c r="C6" s="3240" t="s">
        <v>1441</v>
      </c>
      <c r="D6" s="3241"/>
      <c r="E6" s="3242" t="s">
        <v>1441</v>
      </c>
      <c r="F6" s="3243"/>
      <c r="G6" s="3240" t="s">
        <v>1441</v>
      </c>
      <c r="H6" s="3241"/>
      <c r="I6" s="3240" t="s">
        <v>1441</v>
      </c>
      <c r="J6" s="3241"/>
      <c r="K6" s="1028" t="s">
        <v>937</v>
      </c>
      <c r="L6" s="1029"/>
      <c r="M6" s="1030"/>
      <c r="N6" s="1030"/>
      <c r="O6" s="1030"/>
      <c r="P6" s="3202"/>
      <c r="Q6" s="3203"/>
      <c r="R6" s="3206"/>
      <c r="S6" s="3207"/>
      <c r="T6" s="3208"/>
      <c r="U6" s="3209"/>
      <c r="V6" s="3183"/>
      <c r="W6" s="3183"/>
      <c r="X6" s="1070"/>
      <c r="Y6" s="3208"/>
      <c r="Z6" s="3209"/>
      <c r="AA6" s="3197"/>
      <c r="AB6" s="3183"/>
      <c r="AC6" s="3197"/>
    </row>
    <row r="7" spans="1:29" s="874" customFormat="1" ht="15">
      <c r="A7" s="900" t="s">
        <v>938</v>
      </c>
      <c r="B7" s="901"/>
      <c r="C7" s="902">
        <f>'数据-取费表'!B2</f>
        <v>44393</v>
      </c>
      <c r="D7" s="903">
        <v>100</v>
      </c>
      <c r="E7" s="904"/>
      <c r="F7" s="905">
        <f>SUMIF(58:58,YEAR(E7)&amp;"-"&amp;MONTH(E7),59:59)</f>
        <v>0</v>
      </c>
      <c r="G7" s="904"/>
      <c r="H7" s="903">
        <f>SUMIF(58:58,YEAR(G7)&amp;"-"&amp;MONTH(G7),59:59)</f>
        <v>0</v>
      </c>
      <c r="I7" s="904"/>
      <c r="J7" s="903">
        <f>SUMIF(58:58,YEAR(I7)&amp;"-"&amp;MONTH(I7),59:59)</f>
        <v>0</v>
      </c>
      <c r="K7" s="1031"/>
      <c r="L7" s="1032"/>
      <c r="M7" s="1033"/>
      <c r="N7" s="1033"/>
      <c r="O7" s="1033"/>
      <c r="P7" s="3179" t="s">
        <v>939</v>
      </c>
      <c r="Q7" s="3180"/>
      <c r="R7" s="1071" t="s">
        <v>940</v>
      </c>
      <c r="S7" s="1072">
        <f t="shared" ref="S7:S15" si="0">F7</f>
        <v>0</v>
      </c>
      <c r="T7" s="1071" t="s">
        <v>940</v>
      </c>
      <c r="U7" s="1072">
        <f t="shared" ref="U7:U15" si="1">H7</f>
        <v>0</v>
      </c>
      <c r="V7" s="1071" t="s">
        <v>940</v>
      </c>
      <c r="W7" s="1072">
        <f t="shared" ref="W7:W15" si="2">J7</f>
        <v>0</v>
      </c>
      <c r="X7" s="1073"/>
      <c r="Y7" s="3179" t="s">
        <v>939</v>
      </c>
      <c r="Z7" s="3181"/>
      <c r="AA7" s="1086" t="e">
        <f>D7/F7</f>
        <v>#DIV/0!</v>
      </c>
      <c r="AB7" s="1086" t="e">
        <f>D7/H7</f>
        <v>#DIV/0!</v>
      </c>
      <c r="AC7" s="1086" t="e">
        <f>D7/J7</f>
        <v>#DIV/0!</v>
      </c>
    </row>
    <row r="8" spans="1:29" s="874" customFormat="1" ht="15">
      <c r="A8" s="900" t="s">
        <v>941</v>
      </c>
      <c r="B8" s="901"/>
      <c r="C8" s="907" t="s">
        <v>942</v>
      </c>
      <c r="D8" s="903">
        <v>100</v>
      </c>
      <c r="E8" s="907"/>
      <c r="F8" s="905">
        <f>SUMIF(61:61,E8,62:62)-SUMIF(61:61,C8,62:62)+100</f>
        <v>0</v>
      </c>
      <c r="G8" s="907"/>
      <c r="H8" s="903">
        <f>SUMIF(61:61,G8,62:62)-SUMIF(61:61,C8,62:62)+100</f>
        <v>0</v>
      </c>
      <c r="I8" s="907"/>
      <c r="J8" s="903">
        <f>SUMIF(61:61,I8,62:62)-SUMIF(61:61,C8,62:62)+100</f>
        <v>0</v>
      </c>
      <c r="K8" s="1031"/>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46" si="3">D8/F8</f>
        <v>#DIV/0!</v>
      </c>
      <c r="AB8" s="1086" t="e">
        <f t="shared" ref="AB8:AB46" si="4">D8/H8</f>
        <v>#DIV/0!</v>
      </c>
      <c r="AC8" s="1086" t="e">
        <f t="shared" ref="AC8:AC46" si="5">D8/J8</f>
        <v>#DIV/0!</v>
      </c>
    </row>
    <row r="9" spans="1:29" s="874" customFormat="1">
      <c r="A9" s="908" t="s">
        <v>944</v>
      </c>
      <c r="B9" s="909" t="s">
        <v>349</v>
      </c>
      <c r="C9" s="1235"/>
      <c r="D9" s="911">
        <v>100</v>
      </c>
      <c r="E9" s="1309"/>
      <c r="F9" s="1237">
        <f>SUMIF(63:63,E9,64:64)-SUMIF(63:63,C9,64:64)+100</f>
        <v>100</v>
      </c>
      <c r="G9" s="1309"/>
      <c r="H9" s="911">
        <f>SUMIF(63:63,G9,64:64)-SUMIF(63:63,C9,64:64)+100</f>
        <v>100</v>
      </c>
      <c r="I9" s="1309"/>
      <c r="J9" s="911">
        <f>SUMIF(63:63,I9,64:64)-SUMIF(63:63,C9,64:64)+100</f>
        <v>100</v>
      </c>
      <c r="K9" s="1031"/>
      <c r="L9" s="1032"/>
      <c r="M9" s="1033"/>
      <c r="N9" s="1033"/>
      <c r="O9" s="1033"/>
      <c r="P9" s="3190"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086">
        <f t="shared" si="5"/>
        <v>1</v>
      </c>
    </row>
    <row r="10" spans="1:29" s="875" customFormat="1" ht="27">
      <c r="A10" s="912"/>
      <c r="B10" s="913" t="s">
        <v>947</v>
      </c>
      <c r="C10" s="1238"/>
      <c r="D10" s="915">
        <v>100</v>
      </c>
      <c r="E10" s="1312"/>
      <c r="F10" s="1239">
        <f>SUMIF(65:65,E10,66:66)-SUMIF(65:65,C10,66:66)+100</f>
        <v>100</v>
      </c>
      <c r="G10" s="1238"/>
      <c r="H10" s="915">
        <f>SUMIF(65:65,G10,66:66)-SUMIF(65:65,C10,66:66)+100</f>
        <v>100</v>
      </c>
      <c r="I10" s="1238"/>
      <c r="J10" s="915">
        <f>SUMIF(65:65,I10,66:66)-SUMIF(65:65,C10,66:66)+100</f>
        <v>100</v>
      </c>
      <c r="K10" s="1048"/>
      <c r="L10" s="1036"/>
      <c r="M10" s="1037"/>
      <c r="N10" s="1037"/>
      <c r="O10" s="1037"/>
      <c r="P10" s="3190"/>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086">
        <f t="shared" si="5"/>
        <v>1</v>
      </c>
    </row>
    <row r="11" spans="1:29" ht="15">
      <c r="A11" s="918"/>
      <c r="B11" s="913" t="s">
        <v>948</v>
      </c>
      <c r="C11" s="919"/>
      <c r="D11" s="915">
        <v>100</v>
      </c>
      <c r="E11" s="920"/>
      <c r="F11" s="1239" t="e">
        <f>LOOKUP(E11,68:68,69:69)-LOOKUP(C11,68:68,69:69)+100</f>
        <v>#N/A</v>
      </c>
      <c r="G11" s="919"/>
      <c r="H11" s="915" t="e">
        <f>LOOKUP(G11,68:68,69:69)-LOOKUP(C11,68:68,69:69)+100</f>
        <v>#N/A</v>
      </c>
      <c r="I11" s="919"/>
      <c r="J11" s="915" t="e">
        <f>LOOKUP(I11,68:68,69:69)-LOOKUP(C11,68:68,69:69)+100</f>
        <v>#N/A</v>
      </c>
      <c r="K11" s="1048"/>
      <c r="L11" s="1040"/>
      <c r="M11" s="1030"/>
      <c r="N11" s="1030"/>
      <c r="O11" s="1030"/>
      <c r="P11" s="3190"/>
      <c r="Q11" s="1075" t="str">
        <f t="shared" si="6"/>
        <v>容积率</v>
      </c>
      <c r="R11" s="1071" t="s">
        <v>940</v>
      </c>
      <c r="S11" s="1072" t="e">
        <f t="shared" si="0"/>
        <v>#N/A</v>
      </c>
      <c r="T11" s="1071" t="s">
        <v>940</v>
      </c>
      <c r="U11" s="1072" t="e">
        <f t="shared" si="1"/>
        <v>#N/A</v>
      </c>
      <c r="V11" s="1071" t="s">
        <v>940</v>
      </c>
      <c r="W11" s="1072" t="e">
        <f t="shared" si="2"/>
        <v>#N/A</v>
      </c>
      <c r="X11" s="1073"/>
      <c r="Y11" s="3047"/>
      <c r="Z11" s="1087" t="str">
        <f t="shared" si="7"/>
        <v>容积率</v>
      </c>
      <c r="AA11" s="1086" t="e">
        <f t="shared" si="3"/>
        <v>#N/A</v>
      </c>
      <c r="AB11" s="1086" t="e">
        <f t="shared" si="4"/>
        <v>#N/A</v>
      </c>
      <c r="AC11" s="1086" t="e">
        <f t="shared" si="5"/>
        <v>#N/A</v>
      </c>
    </row>
    <row r="12" spans="1:29" s="874" customFormat="1" ht="15">
      <c r="A12" s="921"/>
      <c r="B12" s="922">
        <v>111</v>
      </c>
      <c r="C12" s="914"/>
      <c r="D12" s="923">
        <v>100</v>
      </c>
      <c r="E12" s="924"/>
      <c r="F12" s="1239">
        <f>SUMIF(70:70,E12,71:71)-SUMIF(70:70,C12,71:71)+100</f>
        <v>100</v>
      </c>
      <c r="G12" s="924"/>
      <c r="H12" s="915">
        <f>SUMIF(70:70,G12,71:71)-SUMIF(70:70,C12,71:71)+100</f>
        <v>100</v>
      </c>
      <c r="I12" s="924"/>
      <c r="J12" s="915">
        <f>SUMIF(70:70,I12,71:71)-SUMIF(70:70,C12,71:71)+100</f>
        <v>100</v>
      </c>
      <c r="K12" s="1047"/>
      <c r="L12" s="1032"/>
      <c r="M12" s="1033"/>
      <c r="N12" s="1033"/>
      <c r="O12" s="1033"/>
      <c r="P12" s="3190"/>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c r="A13" s="918"/>
      <c r="B13" s="922">
        <v>111</v>
      </c>
      <c r="C13" s="924"/>
      <c r="D13" s="925">
        <v>100</v>
      </c>
      <c r="E13" s="924"/>
      <c r="F13" s="1239">
        <f>SUMIF(72:72,E13,73:73)-SUMIF(72:72,C13,73:73)+100</f>
        <v>100</v>
      </c>
      <c r="G13" s="924"/>
      <c r="H13" s="925">
        <f>SUMIF(72:72,G13,73:73)-SUMIF(72:72,C13,73:73)+100</f>
        <v>100</v>
      </c>
      <c r="I13" s="924"/>
      <c r="J13" s="925">
        <f>SUMIF(72:72,I13,73:73)-SUMIF(72:72,C13,73:73)+100</f>
        <v>100</v>
      </c>
      <c r="K13" s="1047"/>
      <c r="L13" s="1042"/>
      <c r="M13" s="1030"/>
      <c r="N13" s="1030"/>
      <c r="O13" s="1030"/>
      <c r="P13" s="3190"/>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15">
      <c r="A14" s="928"/>
      <c r="B14" s="929">
        <v>111</v>
      </c>
      <c r="C14" s="930"/>
      <c r="D14" s="931">
        <v>100</v>
      </c>
      <c r="E14" s="924"/>
      <c r="F14" s="1260">
        <f>SUMIF(74:74,E14,75:75)-SUMIF(74:74,C14,75:75)+100</f>
        <v>100</v>
      </c>
      <c r="G14" s="924"/>
      <c r="H14" s="931">
        <f>SUMIF(74:74,G14,75:75)-SUMIF(74:74,C14,75:75)+100</f>
        <v>100</v>
      </c>
      <c r="I14" s="924"/>
      <c r="J14" s="931">
        <f>SUMIF(74:74,I14,75:75)-SUMIF(74:74,C14,75:75)+100</f>
        <v>100</v>
      </c>
      <c r="K14" s="1047"/>
      <c r="L14" s="1042"/>
      <c r="M14" s="1030"/>
      <c r="N14" s="1030"/>
      <c r="O14" s="1030"/>
      <c r="P14" s="3190"/>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086">
        <f t="shared" si="5"/>
        <v>1</v>
      </c>
    </row>
    <row r="15" spans="1:29" ht="71.25">
      <c r="A15" s="932" t="s">
        <v>949</v>
      </c>
      <c r="B15" s="933" t="s">
        <v>661</v>
      </c>
      <c r="C15" s="934" t="str">
        <f>估价对象房地状况!C4</f>
        <v>估价对象位于XX商圈，周边商业氛围成熟，人流量大，商业繁华度好</v>
      </c>
      <c r="D15" s="935">
        <v>100</v>
      </c>
      <c r="E15" s="936"/>
      <c r="F15" s="1243">
        <f>SUMIF(76:76,E16,77:77)-SUMIF(76:76,C16,77:77)+100</f>
        <v>100</v>
      </c>
      <c r="G15" s="1043"/>
      <c r="H15" s="935">
        <f>SUMIF(76:76,G16,77:77)-SUMIF(76:76,C16,77:77)+100</f>
        <v>100</v>
      </c>
      <c r="I15" s="936"/>
      <c r="J15" s="935">
        <f>SUMIF(76:76,I16,77:77)-SUMIF(76:76,C16,77:77)+100</f>
        <v>100</v>
      </c>
      <c r="K15" s="1283"/>
      <c r="L15" s="1042"/>
      <c r="M15" s="1030"/>
      <c r="N15" s="1030"/>
      <c r="O15" s="1030"/>
      <c r="P15" s="3245" t="s">
        <v>950</v>
      </c>
      <c r="Q15" s="657" t="str">
        <f t="shared" si="6"/>
        <v>商业繁华度</v>
      </c>
      <c r="R15" s="1076" t="s">
        <v>940</v>
      </c>
      <c r="S15" s="1077">
        <f t="shared" si="0"/>
        <v>100</v>
      </c>
      <c r="T15" s="1076" t="s">
        <v>940</v>
      </c>
      <c r="U15" s="1077">
        <f t="shared" si="1"/>
        <v>100</v>
      </c>
      <c r="V15" s="1076" t="s">
        <v>940</v>
      </c>
      <c r="W15" s="1077">
        <f t="shared" si="2"/>
        <v>100</v>
      </c>
      <c r="X15" s="1070"/>
      <c r="Y15" s="3185" t="s">
        <v>950</v>
      </c>
      <c r="Z15" s="1069" t="str">
        <f t="shared" si="7"/>
        <v>商业繁华度</v>
      </c>
      <c r="AA15" s="1088">
        <f t="shared" si="3"/>
        <v>1</v>
      </c>
      <c r="AB15" s="1088">
        <f t="shared" si="4"/>
        <v>1</v>
      </c>
      <c r="AC15" s="1088">
        <f t="shared" si="5"/>
        <v>1</v>
      </c>
    </row>
    <row r="16" spans="1:29" ht="15">
      <c r="A16" s="918"/>
      <c r="B16" s="937"/>
      <c r="C16" s="938"/>
      <c r="D16" s="939"/>
      <c r="E16" s="938"/>
      <c r="F16" s="1244"/>
      <c r="G16" s="938"/>
      <c r="H16" s="941"/>
      <c r="I16" s="938"/>
      <c r="J16" s="939"/>
      <c r="K16" s="1284"/>
      <c r="L16" s="1042"/>
      <c r="M16" s="1030"/>
      <c r="N16" s="1030"/>
      <c r="O16" s="1030"/>
      <c r="P16" s="3246"/>
      <c r="Q16" s="657"/>
      <c r="R16" s="1076"/>
      <c r="S16" s="1077"/>
      <c r="T16" s="1076"/>
      <c r="U16" s="1077"/>
      <c r="V16" s="1076"/>
      <c r="W16" s="1077"/>
      <c r="X16" s="1070"/>
      <c r="Y16" s="3186"/>
      <c r="Z16" s="1069"/>
      <c r="AA16" s="1088">
        <v>1</v>
      </c>
      <c r="AB16" s="1088">
        <v>1</v>
      </c>
      <c r="AC16" s="1088">
        <v>1</v>
      </c>
    </row>
    <row r="17" spans="1:29" ht="85.5">
      <c r="A17" s="918"/>
      <c r="B17" s="942" t="s">
        <v>663</v>
      </c>
      <c r="C17" s="949" t="str">
        <f>估价对象房地状况!C6</f>
        <v>估价对象周边道路状况、公共交通通达情况、停车便捷程度，综合评价交通便捷度较好</v>
      </c>
      <c r="D17" s="941">
        <v>100</v>
      </c>
      <c r="E17" s="943"/>
      <c r="F17" s="1246">
        <f>SUMIF(78:78,E18,79:79)-SUMIF(78:78,C18,79:79)+100</f>
        <v>100</v>
      </c>
      <c r="G17" s="952"/>
      <c r="H17" s="944">
        <f>SUMIF(78:78,G18,79:79)-SUMIF(78:78,C18,79:79)+100</f>
        <v>100</v>
      </c>
      <c r="I17" s="943"/>
      <c r="J17" s="944">
        <f>SUMIF(78:78,I18,79:79)-SUMIF(78:78,C18,79:79)+100</f>
        <v>100</v>
      </c>
      <c r="K17" s="1283"/>
      <c r="L17" s="1042"/>
      <c r="M17" s="1030"/>
      <c r="N17" s="1030"/>
      <c r="O17" s="1030"/>
      <c r="P17" s="3246"/>
      <c r="Q17" s="657" t="str">
        <f>B17</f>
        <v>交通便捷度</v>
      </c>
      <c r="R17" s="1076" t="s">
        <v>940</v>
      </c>
      <c r="S17" s="1077">
        <f>F17</f>
        <v>100</v>
      </c>
      <c r="T17" s="1076" t="s">
        <v>940</v>
      </c>
      <c r="U17" s="1077">
        <f>H17</f>
        <v>100</v>
      </c>
      <c r="V17" s="1076" t="s">
        <v>940</v>
      </c>
      <c r="W17" s="1077">
        <f>J17</f>
        <v>100</v>
      </c>
      <c r="X17" s="1070"/>
      <c r="Y17" s="3186"/>
      <c r="Z17" s="1069" t="str">
        <f>Q17</f>
        <v>交通便捷度</v>
      </c>
      <c r="AA17" s="1088">
        <f t="shared" si="3"/>
        <v>1</v>
      </c>
      <c r="AB17" s="1088">
        <f t="shared" si="4"/>
        <v>1</v>
      </c>
      <c r="AC17" s="1088">
        <f t="shared" si="5"/>
        <v>1</v>
      </c>
    </row>
    <row r="18" spans="1:29" ht="15">
      <c r="A18" s="918"/>
      <c r="B18" s="945"/>
      <c r="C18" s="946"/>
      <c r="D18" s="941"/>
      <c r="E18" s="947"/>
      <c r="F18" s="1246"/>
      <c r="G18" s="1044"/>
      <c r="H18" s="939"/>
      <c r="I18" s="947"/>
      <c r="J18" s="939"/>
      <c r="K18" s="1284"/>
      <c r="L18" s="1042"/>
      <c r="M18" s="1030"/>
      <c r="N18" s="1030"/>
      <c r="O18" s="1030"/>
      <c r="P18" s="3246"/>
      <c r="Q18" s="657"/>
      <c r="R18" s="1076"/>
      <c r="S18" s="1077"/>
      <c r="T18" s="1076"/>
      <c r="U18" s="1077"/>
      <c r="V18" s="1076"/>
      <c r="W18" s="1077"/>
      <c r="X18" s="1070"/>
      <c r="Y18" s="3186"/>
      <c r="Z18" s="1069"/>
      <c r="AA18" s="1088">
        <v>1</v>
      </c>
      <c r="AB18" s="1088">
        <v>1</v>
      </c>
      <c r="AC18" s="1088">
        <v>1</v>
      </c>
    </row>
    <row r="19" spans="1:29" ht="42.75">
      <c r="A19" s="918"/>
      <c r="B19" s="942" t="s">
        <v>667</v>
      </c>
      <c r="C19" s="949" t="str">
        <f>估价对象房地状况!C7</f>
        <v>估价对象所在区域公共配套设施齐备情况</v>
      </c>
      <c r="D19" s="944">
        <v>100</v>
      </c>
      <c r="E19" s="948"/>
      <c r="F19" s="1245">
        <f>SUMIF(80:80,E20,81:81)-SUMIF(80:80,C20,81:81)+100</f>
        <v>100</v>
      </c>
      <c r="G19" s="1045"/>
      <c r="H19" s="941">
        <f>SUMIF(80:80,G20,81:81)-SUMIF(80:80,C20,81:81)+100</f>
        <v>100</v>
      </c>
      <c r="I19" s="948"/>
      <c r="J19" s="941">
        <f>SUMIF(80:80,I20,81:81)-SUMIF(80:80,C20,81:81)+100</f>
        <v>100</v>
      </c>
      <c r="K19" s="1283"/>
      <c r="L19" s="1042"/>
      <c r="M19" s="1030"/>
      <c r="N19" s="1030"/>
      <c r="O19" s="1030"/>
      <c r="P19" s="3246"/>
      <c r="Q19" s="657" t="str">
        <f>B19</f>
        <v>公共配套设施</v>
      </c>
      <c r="R19" s="1076" t="s">
        <v>940</v>
      </c>
      <c r="S19" s="1077">
        <f>F19</f>
        <v>100</v>
      </c>
      <c r="T19" s="1076" t="s">
        <v>940</v>
      </c>
      <c r="U19" s="1077">
        <f>H19</f>
        <v>100</v>
      </c>
      <c r="V19" s="1076" t="s">
        <v>940</v>
      </c>
      <c r="W19" s="1077">
        <f>J19</f>
        <v>100</v>
      </c>
      <c r="X19" s="1070"/>
      <c r="Y19" s="3186"/>
      <c r="Z19" s="1069" t="str">
        <f>Q19</f>
        <v>公共配套设施</v>
      </c>
      <c r="AA19" s="1088">
        <f t="shared" si="3"/>
        <v>1</v>
      </c>
      <c r="AB19" s="1088">
        <f t="shared" si="4"/>
        <v>1</v>
      </c>
      <c r="AC19" s="1088">
        <f t="shared" si="5"/>
        <v>1</v>
      </c>
    </row>
    <row r="20" spans="1:29" ht="15">
      <c r="A20" s="918"/>
      <c r="B20" s="945"/>
      <c r="C20" s="938"/>
      <c r="D20" s="939"/>
      <c r="E20" s="940"/>
      <c r="F20" s="1244"/>
      <c r="G20" s="954"/>
      <c r="H20" s="939"/>
      <c r="I20" s="940"/>
      <c r="J20" s="939"/>
      <c r="K20" s="1284"/>
      <c r="L20" s="1042"/>
      <c r="M20" s="1030"/>
      <c r="N20" s="1030"/>
      <c r="O20" s="1030"/>
      <c r="P20" s="3246"/>
      <c r="Q20" s="657"/>
      <c r="R20" s="1076"/>
      <c r="S20" s="1077"/>
      <c r="T20" s="1076"/>
      <c r="U20" s="1077"/>
      <c r="V20" s="1076"/>
      <c r="W20" s="1077"/>
      <c r="X20" s="1070"/>
      <c r="Y20" s="3186"/>
      <c r="Z20" s="1069"/>
      <c r="AA20" s="1088">
        <v>1</v>
      </c>
      <c r="AB20" s="1088">
        <v>1</v>
      </c>
      <c r="AC20" s="1088">
        <v>1</v>
      </c>
    </row>
    <row r="21" spans="1:29" ht="28.5">
      <c r="A21" s="918"/>
      <c r="B21" s="950" t="s">
        <v>669</v>
      </c>
      <c r="C21" s="949" t="str">
        <f>估价对象房地状况!C8</f>
        <v>估价对象所在区域基础设施水平</v>
      </c>
      <c r="D21" s="944">
        <v>100</v>
      </c>
      <c r="E21" s="948"/>
      <c r="F21" s="1245">
        <f>SUMIF(82:82,E22,83:83)-SUMIF(82:82,C22,83:83)+100</f>
        <v>100</v>
      </c>
      <c r="G21" s="1045"/>
      <c r="H21" s="941">
        <f>SUMIF(82:82,G22,83:83)-SUMIF(82:82,C22,83:83)+100</f>
        <v>100</v>
      </c>
      <c r="I21" s="948"/>
      <c r="J21" s="941">
        <f>SUMIF(82:82,I22,83:83)-SUMIF(82:82,C22,83:83)+100</f>
        <v>100</v>
      </c>
      <c r="K21" s="1283"/>
      <c r="L21" s="1042"/>
      <c r="M21" s="1030"/>
      <c r="N21" s="1030"/>
      <c r="O21" s="1030"/>
      <c r="P21" s="3246"/>
      <c r="Q21" s="657" t="str">
        <f>B21</f>
        <v>基础设施水平</v>
      </c>
      <c r="R21" s="1076" t="s">
        <v>940</v>
      </c>
      <c r="S21" s="1077">
        <f>F21</f>
        <v>100</v>
      </c>
      <c r="T21" s="1076" t="s">
        <v>940</v>
      </c>
      <c r="U21" s="1077">
        <f>H21</f>
        <v>100</v>
      </c>
      <c r="V21" s="1076" t="s">
        <v>940</v>
      </c>
      <c r="W21" s="1077">
        <f>J21</f>
        <v>100</v>
      </c>
      <c r="X21" s="1070"/>
      <c r="Y21" s="3186"/>
      <c r="Z21" s="1069" t="str">
        <f>Q21</f>
        <v>基础设施水平</v>
      </c>
      <c r="AA21" s="1088">
        <f t="shared" ref="AA21" si="8">D21/F21</f>
        <v>1</v>
      </c>
      <c r="AB21" s="1088">
        <f t="shared" ref="AB21" si="9">D21/H21</f>
        <v>1</v>
      </c>
      <c r="AC21" s="1088">
        <f t="shared" ref="AC21" si="10">D21/J21</f>
        <v>1</v>
      </c>
    </row>
    <row r="22" spans="1:29" ht="15">
      <c r="A22" s="918"/>
      <c r="B22" s="950"/>
      <c r="C22" s="946"/>
      <c r="D22" s="939"/>
      <c r="E22" s="938"/>
      <c r="F22" s="1244"/>
      <c r="G22" s="938"/>
      <c r="H22" s="939"/>
      <c r="I22" s="938"/>
      <c r="J22" s="939"/>
      <c r="K22" s="1285"/>
      <c r="L22" s="1042"/>
      <c r="M22" s="1030"/>
      <c r="N22" s="1030"/>
      <c r="O22" s="1030"/>
      <c r="P22" s="3246"/>
      <c r="Q22" s="657"/>
      <c r="R22" s="1076"/>
      <c r="S22" s="1077"/>
      <c r="T22" s="1076"/>
      <c r="U22" s="1077"/>
      <c r="V22" s="1076"/>
      <c r="W22" s="1077"/>
      <c r="X22" s="1070"/>
      <c r="Y22" s="3186"/>
      <c r="Z22" s="1069"/>
      <c r="AA22" s="1088">
        <v>1</v>
      </c>
      <c r="AB22" s="1088">
        <v>1</v>
      </c>
      <c r="AC22" s="1088">
        <v>1</v>
      </c>
    </row>
    <row r="23" spans="1:29" ht="57">
      <c r="A23" s="918"/>
      <c r="B23" s="942" t="s">
        <v>673</v>
      </c>
      <c r="C23" s="655" t="str">
        <f>估价对象房地状况!C9</f>
        <v>区域自然环境：；人文环境；综合评价环境状况一般</v>
      </c>
      <c r="D23" s="941">
        <v>100</v>
      </c>
      <c r="E23" s="943"/>
      <c r="F23" s="1246">
        <f>SUMIF(84:84,E24,85:85)-SUMIF(84:84,C24,85:85)+100</f>
        <v>100</v>
      </c>
      <c r="G23" s="952"/>
      <c r="H23" s="941">
        <f>SUMIF(84:84,G24,85:85)-SUMIF(84:84,C24,85:85)+100</f>
        <v>100</v>
      </c>
      <c r="I23" s="943"/>
      <c r="J23" s="941">
        <f>SUMIF(84:84,I24,85:85)-SUMIF(84:84,C24,85:85)+100</f>
        <v>100</v>
      </c>
      <c r="K23" s="1283"/>
      <c r="L23" s="1042"/>
      <c r="M23" s="1030"/>
      <c r="N23" s="1030"/>
      <c r="O23" s="1030"/>
      <c r="P23" s="3246"/>
      <c r="Q23" s="657" t="str">
        <f>B23</f>
        <v>自然及人文环境</v>
      </c>
      <c r="R23" s="1076" t="s">
        <v>940</v>
      </c>
      <c r="S23" s="1077">
        <f>F23</f>
        <v>100</v>
      </c>
      <c r="T23" s="1076" t="s">
        <v>940</v>
      </c>
      <c r="U23" s="1077">
        <f>H23</f>
        <v>100</v>
      </c>
      <c r="V23" s="1076" t="s">
        <v>940</v>
      </c>
      <c r="W23" s="1077">
        <f>J23</f>
        <v>100</v>
      </c>
      <c r="X23" s="1070"/>
      <c r="Y23" s="3186"/>
      <c r="Z23" s="1069" t="str">
        <f>Q23</f>
        <v>自然及人文环境</v>
      </c>
      <c r="AA23" s="1088">
        <f t="shared" si="3"/>
        <v>1</v>
      </c>
      <c r="AB23" s="1088">
        <f t="shared" si="4"/>
        <v>1</v>
      </c>
      <c r="AC23" s="1088">
        <f t="shared" si="5"/>
        <v>1</v>
      </c>
    </row>
    <row r="24" spans="1:29" ht="15">
      <c r="A24" s="918"/>
      <c r="B24" s="945"/>
      <c r="C24" s="938"/>
      <c r="D24" s="939"/>
      <c r="E24" s="940"/>
      <c r="F24" s="1244"/>
      <c r="G24" s="954"/>
      <c r="H24" s="939"/>
      <c r="I24" s="940"/>
      <c r="J24" s="939"/>
      <c r="K24" s="1284"/>
      <c r="L24" s="1042"/>
      <c r="M24" s="1030"/>
      <c r="N24" s="1030"/>
      <c r="O24" s="1030"/>
      <c r="P24" s="3246"/>
      <c r="Q24" s="657"/>
      <c r="R24" s="1076"/>
      <c r="S24" s="1077"/>
      <c r="T24" s="1076"/>
      <c r="U24" s="1077"/>
      <c r="V24" s="1076"/>
      <c r="W24" s="1077"/>
      <c r="X24" s="1070"/>
      <c r="Y24" s="3186"/>
      <c r="Z24" s="1069"/>
      <c r="AA24" s="1088">
        <v>1</v>
      </c>
      <c r="AB24" s="1088">
        <v>1</v>
      </c>
      <c r="AC24" s="1088">
        <v>1</v>
      </c>
    </row>
    <row r="25" spans="1:29" ht="15">
      <c r="A25" s="918"/>
      <c r="B25" s="913" t="s">
        <v>679</v>
      </c>
      <c r="C25" s="953"/>
      <c r="D25" s="925">
        <v>100</v>
      </c>
      <c r="E25" s="953"/>
      <c r="F25" s="1247">
        <f>SUMIF(86:86,E25,87:87)-SUMIF(86:86,C25,87:87)+100</f>
        <v>100</v>
      </c>
      <c r="G25" s="953"/>
      <c r="H25" s="925">
        <f>SUMIF(86:86,G25,87:87)-SUMIF(86:86,C25,87:87)+100</f>
        <v>100</v>
      </c>
      <c r="I25" s="953"/>
      <c r="J25" s="925">
        <f>SUMIF(86:86,I25,87:87)-SUMIF(86:86,C25,87:87)+100</f>
        <v>100</v>
      </c>
      <c r="K25" s="1048"/>
      <c r="L25" s="1042"/>
      <c r="M25" s="1030"/>
      <c r="N25" s="1030"/>
      <c r="O25" s="1030"/>
      <c r="P25" s="3246"/>
      <c r="Q25" s="657" t="str">
        <f t="shared" ref="Q25:Q46" si="11">B25</f>
        <v>临街状况</v>
      </c>
      <c r="R25" s="1076" t="s">
        <v>940</v>
      </c>
      <c r="S25" s="1077">
        <f>F25</f>
        <v>100</v>
      </c>
      <c r="T25" s="1076" t="s">
        <v>940</v>
      </c>
      <c r="U25" s="1077">
        <f>H25</f>
        <v>100</v>
      </c>
      <c r="V25" s="1076" t="s">
        <v>940</v>
      </c>
      <c r="W25" s="1077">
        <f>J25</f>
        <v>100</v>
      </c>
      <c r="X25" s="1070"/>
      <c r="Y25" s="3186"/>
      <c r="Z25" s="1069" t="str">
        <f>Q25</f>
        <v>临街状况</v>
      </c>
      <c r="AA25" s="1088">
        <f t="shared" si="3"/>
        <v>1</v>
      </c>
      <c r="AB25" s="1088">
        <f t="shared" si="4"/>
        <v>1</v>
      </c>
      <c r="AC25" s="1088">
        <f t="shared" si="5"/>
        <v>1</v>
      </c>
    </row>
    <row r="26" spans="1:29" ht="15">
      <c r="A26" s="918"/>
      <c r="B26" s="960" t="s">
        <v>1484</v>
      </c>
      <c r="C26" s="924"/>
      <c r="D26" s="925">
        <v>100</v>
      </c>
      <c r="E26" s="924"/>
      <c r="F26" s="1247">
        <f>SUMIF(88:88,E26,89:89)-SUMIF(88:88,C26,89:89)+100</f>
        <v>100</v>
      </c>
      <c r="G26" s="924"/>
      <c r="H26" s="925">
        <f>SUMIF(88:88,G26,89:89)-SUMIF(88:88,C26,89:89)+100</f>
        <v>100</v>
      </c>
      <c r="I26" s="924"/>
      <c r="J26" s="925">
        <f>SUMIF(88:88,I26,89:89)-SUMIF(88:88,C26,89:89)+100</f>
        <v>100</v>
      </c>
      <c r="K26" s="1047"/>
      <c r="L26" s="1042"/>
      <c r="M26" s="1030"/>
      <c r="N26" s="1030"/>
      <c r="O26" s="1030"/>
      <c r="P26" s="3246"/>
      <c r="Q26" s="657" t="str">
        <f t="shared" si="11"/>
        <v>平面位置/可视性</v>
      </c>
      <c r="R26" s="1076" t="s">
        <v>940</v>
      </c>
      <c r="S26" s="1077">
        <f>F26</f>
        <v>100</v>
      </c>
      <c r="T26" s="1076" t="s">
        <v>940</v>
      </c>
      <c r="U26" s="1077">
        <f>H26</f>
        <v>100</v>
      </c>
      <c r="V26" s="1076" t="s">
        <v>940</v>
      </c>
      <c r="W26" s="1077">
        <f>J26</f>
        <v>100</v>
      </c>
      <c r="X26" s="1070"/>
      <c r="Y26" s="3186"/>
      <c r="Z26" s="1069" t="str">
        <f>Q26</f>
        <v>平面位置/可视性</v>
      </c>
      <c r="AA26" s="1088">
        <f t="shared" si="3"/>
        <v>1</v>
      </c>
      <c r="AB26" s="1088">
        <f t="shared" si="4"/>
        <v>1</v>
      </c>
      <c r="AC26" s="1088">
        <f t="shared" si="5"/>
        <v>1</v>
      </c>
    </row>
    <row r="27" spans="1:29" s="874" customFormat="1" ht="15">
      <c r="A27" s="921"/>
      <c r="B27" s="942" t="s">
        <v>1485</v>
      </c>
      <c r="C27" s="1388"/>
      <c r="D27" s="1376">
        <v>100</v>
      </c>
      <c r="E27" s="1388"/>
      <c r="F27" s="1377">
        <f>SUMIF(90:90,E27,91:91)-SUMIF(90:90,C27,91:91)+100</f>
        <v>100</v>
      </c>
      <c r="G27" s="1388"/>
      <c r="H27" s="1376">
        <f>SUMIF(90:90,G27,91:91)-SUMIF(90:90,C27,91:91)+100</f>
        <v>100</v>
      </c>
      <c r="I27" s="1388"/>
      <c r="J27" s="1376">
        <f>SUMIF(90:90,I27,91:91)-SUMIF(90:90,C27,91:91)+100</f>
        <v>100</v>
      </c>
      <c r="K27" s="1048"/>
      <c r="L27" s="1032"/>
      <c r="M27" s="1033"/>
      <c r="N27" s="1033"/>
      <c r="O27" s="1033"/>
      <c r="P27" s="3246"/>
      <c r="Q27" s="1075" t="str">
        <f t="shared" si="11"/>
        <v>人流量</v>
      </c>
      <c r="R27" s="1071" t="s">
        <v>940</v>
      </c>
      <c r="S27" s="1072">
        <f>F27</f>
        <v>100</v>
      </c>
      <c r="T27" s="1071" t="s">
        <v>940</v>
      </c>
      <c r="U27" s="1072">
        <f>H27</f>
        <v>100</v>
      </c>
      <c r="V27" s="1071" t="s">
        <v>940</v>
      </c>
      <c r="W27" s="1072">
        <f>J27</f>
        <v>100</v>
      </c>
      <c r="X27" s="1073"/>
      <c r="Y27" s="3186"/>
      <c r="Z27" s="1087" t="str">
        <f>Q27</f>
        <v>人流量</v>
      </c>
      <c r="AA27" s="1088">
        <f t="shared" si="3"/>
        <v>1</v>
      </c>
      <c r="AB27" s="1088">
        <f t="shared" si="4"/>
        <v>1</v>
      </c>
      <c r="AC27" s="1088">
        <f t="shared" si="5"/>
        <v>1</v>
      </c>
    </row>
    <row r="28" spans="1:29" ht="15">
      <c r="A28" s="918"/>
      <c r="B28" s="913" t="s">
        <v>1486</v>
      </c>
      <c r="C28" s="953"/>
      <c r="D28" s="925">
        <v>100</v>
      </c>
      <c r="E28" s="953"/>
      <c r="F28" s="1247">
        <f>SUMIF(92:92,E28,93:93)-SUMIF(92:92,C28,93:93)+100</f>
        <v>100</v>
      </c>
      <c r="G28" s="953"/>
      <c r="H28" s="925">
        <f>SUMIF(92:92,G28,93:93)-SUMIF(92:92,C28,93:93)+100</f>
        <v>100</v>
      </c>
      <c r="I28" s="953"/>
      <c r="J28" s="925">
        <f>SUMIF(92:92,I28,93:93)-SUMIF(92:92,C28,93:93)+100</f>
        <v>100</v>
      </c>
      <c r="K28" s="1047"/>
      <c r="L28" s="1042"/>
      <c r="M28" s="1030"/>
      <c r="N28" s="1030"/>
      <c r="O28" s="1030"/>
      <c r="P28" s="3246"/>
      <c r="Q28" s="657" t="str">
        <f t="shared" si="11"/>
        <v>楼层</v>
      </c>
      <c r="R28" s="1076" t="s">
        <v>940</v>
      </c>
      <c r="S28" s="1077">
        <f t="shared" ref="S28:S46" si="12">F28</f>
        <v>100</v>
      </c>
      <c r="T28" s="1076" t="s">
        <v>940</v>
      </c>
      <c r="U28" s="1077">
        <f t="shared" ref="U28:U46" si="13">H28</f>
        <v>100</v>
      </c>
      <c r="V28" s="1076" t="s">
        <v>940</v>
      </c>
      <c r="W28" s="1077">
        <f t="shared" ref="W28:W46" si="14">J28</f>
        <v>100</v>
      </c>
      <c r="X28" s="1070"/>
      <c r="Y28" s="3186"/>
      <c r="Z28" s="1069" t="str">
        <f t="shared" ref="Z28:Z46" si="15">Q28</f>
        <v>楼层</v>
      </c>
      <c r="AA28" s="1088">
        <f t="shared" si="3"/>
        <v>1</v>
      </c>
      <c r="AB28" s="1088">
        <f t="shared" si="4"/>
        <v>1</v>
      </c>
      <c r="AC28" s="1088">
        <f t="shared" si="5"/>
        <v>1</v>
      </c>
    </row>
    <row r="29" spans="1:29" ht="15">
      <c r="A29" s="918"/>
      <c r="B29" s="960">
        <v>111</v>
      </c>
      <c r="C29" s="924"/>
      <c r="D29" s="925">
        <v>100</v>
      </c>
      <c r="E29" s="924"/>
      <c r="F29" s="1247">
        <f>SUMIF(94:94,E29,95:95)-SUMIF(94:94,C29,95:95)+100</f>
        <v>100</v>
      </c>
      <c r="G29" s="924"/>
      <c r="H29" s="925">
        <f>SUMIF(94:94,G29,95:95)-SUMIF(94:94,C29,95:95)+100</f>
        <v>100</v>
      </c>
      <c r="I29" s="924"/>
      <c r="J29" s="925">
        <f>SUMIF(94:94,I29,95:95)-SUMIF(94:94,C29,95:95)+100</f>
        <v>100</v>
      </c>
      <c r="K29" s="1047"/>
      <c r="L29" s="1042"/>
      <c r="M29" s="1030"/>
      <c r="N29" s="1030"/>
      <c r="O29" s="1030"/>
      <c r="P29" s="3246"/>
      <c r="Q29" s="657">
        <f t="shared" si="11"/>
        <v>111</v>
      </c>
      <c r="R29" s="1076" t="s">
        <v>940</v>
      </c>
      <c r="S29" s="1077">
        <f t="shared" si="12"/>
        <v>100</v>
      </c>
      <c r="T29" s="1076" t="s">
        <v>940</v>
      </c>
      <c r="U29" s="1077">
        <f t="shared" si="13"/>
        <v>100</v>
      </c>
      <c r="V29" s="1076" t="s">
        <v>940</v>
      </c>
      <c r="W29" s="1077">
        <f t="shared" si="14"/>
        <v>100</v>
      </c>
      <c r="X29" s="1070"/>
      <c r="Y29" s="3186"/>
      <c r="Z29" s="1069">
        <f t="shared" si="15"/>
        <v>111</v>
      </c>
      <c r="AA29" s="1088">
        <f t="shared" si="3"/>
        <v>1</v>
      </c>
      <c r="AB29" s="1088">
        <f t="shared" si="4"/>
        <v>1</v>
      </c>
      <c r="AC29" s="1088">
        <f t="shared" si="5"/>
        <v>1</v>
      </c>
    </row>
    <row r="30" spans="1:29" ht="15">
      <c r="A30" s="918"/>
      <c r="B30" s="960">
        <v>111</v>
      </c>
      <c r="C30" s="924"/>
      <c r="D30" s="925">
        <v>100</v>
      </c>
      <c r="E30" s="924"/>
      <c r="F30" s="1247">
        <f>SUMIF(96:96,E30,97:97)-SUMIF(96:96,C30,97:97)+100</f>
        <v>100</v>
      </c>
      <c r="G30" s="924"/>
      <c r="H30" s="925">
        <f>SUMIF(96:96,G30,97:97)-SUMIF(96:96,C30,97:97)+100</f>
        <v>100</v>
      </c>
      <c r="I30" s="924"/>
      <c r="J30" s="925">
        <f>SUMIF(96:96,I30,97:97)-SUMIF(96:96,C30,97:97)+100</f>
        <v>100</v>
      </c>
      <c r="K30" s="1047"/>
      <c r="L30" s="1042"/>
      <c r="M30" s="1030"/>
      <c r="N30" s="1030"/>
      <c r="O30" s="1030"/>
      <c r="P30" s="3246"/>
      <c r="Q30" s="657">
        <f t="shared" si="11"/>
        <v>111</v>
      </c>
      <c r="R30" s="1076" t="s">
        <v>940</v>
      </c>
      <c r="S30" s="1077">
        <f t="shared" si="12"/>
        <v>100</v>
      </c>
      <c r="T30" s="1076" t="s">
        <v>940</v>
      </c>
      <c r="U30" s="1077">
        <f t="shared" si="13"/>
        <v>100</v>
      </c>
      <c r="V30" s="1076" t="s">
        <v>940</v>
      </c>
      <c r="W30" s="1077">
        <f t="shared" si="14"/>
        <v>100</v>
      </c>
      <c r="X30" s="1070"/>
      <c r="Y30" s="3186"/>
      <c r="Z30" s="1069">
        <f t="shared" si="15"/>
        <v>111</v>
      </c>
      <c r="AA30" s="1088">
        <f t="shared" si="3"/>
        <v>1</v>
      </c>
      <c r="AB30" s="1088">
        <f t="shared" si="4"/>
        <v>1</v>
      </c>
      <c r="AC30" s="1088">
        <f t="shared" si="5"/>
        <v>1</v>
      </c>
    </row>
    <row r="31" spans="1:29" ht="15">
      <c r="A31" s="928"/>
      <c r="B31" s="960">
        <v>111</v>
      </c>
      <c r="C31" s="930"/>
      <c r="D31" s="931">
        <v>100</v>
      </c>
      <c r="E31" s="924"/>
      <c r="F31" s="1260">
        <f>SUMIF(98:98,E31,99:99)-SUMIF(98:98,C31,99:99)+100</f>
        <v>100</v>
      </c>
      <c r="G31" s="924"/>
      <c r="H31" s="931">
        <f>SUMIF(98:98,G31,99:99)-SUMIF(98:98,C31,99:99)+100</f>
        <v>100</v>
      </c>
      <c r="I31" s="924"/>
      <c r="J31" s="931">
        <f>SUMIF(98:98,I31,99:99)-SUMIF(98:98,C31,99:99)+100</f>
        <v>100</v>
      </c>
      <c r="K31" s="1047"/>
      <c r="L31" s="1042"/>
      <c r="M31" s="1030"/>
      <c r="N31" s="1030"/>
      <c r="O31" s="1030"/>
      <c r="P31" s="3246"/>
      <c r="Q31" s="657">
        <f t="shared" si="11"/>
        <v>111</v>
      </c>
      <c r="R31" s="1076" t="s">
        <v>940</v>
      </c>
      <c r="S31" s="1077">
        <f t="shared" si="12"/>
        <v>100</v>
      </c>
      <c r="T31" s="1076" t="s">
        <v>940</v>
      </c>
      <c r="U31" s="1077">
        <f t="shared" si="13"/>
        <v>100</v>
      </c>
      <c r="V31" s="1076" t="s">
        <v>940</v>
      </c>
      <c r="W31" s="1077">
        <f t="shared" si="14"/>
        <v>100</v>
      </c>
      <c r="X31" s="1070"/>
      <c r="Y31" s="3186"/>
      <c r="Z31" s="1069">
        <f t="shared" si="15"/>
        <v>111</v>
      </c>
      <c r="AA31" s="1088">
        <f t="shared" si="3"/>
        <v>1</v>
      </c>
      <c r="AB31" s="1088">
        <f t="shared" si="4"/>
        <v>1</v>
      </c>
      <c r="AC31" s="1088">
        <f t="shared" si="5"/>
        <v>1</v>
      </c>
    </row>
    <row r="32" spans="1:29" ht="15">
      <c r="A32" s="932" t="s">
        <v>952</v>
      </c>
      <c r="B32" s="909" t="s">
        <v>1487</v>
      </c>
      <c r="C32" s="1414"/>
      <c r="D32" s="971">
        <v>100</v>
      </c>
      <c r="E32" s="1414"/>
      <c r="F32" s="1247">
        <f>SUMIF(100:100,E32,101:101)-SUMIF(100:100,C32,101:101)+100</f>
        <v>100</v>
      </c>
      <c r="G32" s="1414"/>
      <c r="H32" s="925">
        <f>SUMIF(100:100,G32,101:101)-SUMIF(100:100,C32,101:101)+100</f>
        <v>100</v>
      </c>
      <c r="I32" s="1414"/>
      <c r="J32" s="971">
        <f>SUMIF(100:100,I32,101:101)-SUMIF(100:100,C32,101:101)+100</f>
        <v>100</v>
      </c>
      <c r="K32" s="1048"/>
      <c r="L32" s="1042"/>
      <c r="M32" s="1030"/>
      <c r="N32" s="1030"/>
      <c r="O32" s="1030"/>
      <c r="P32" s="3247" t="s">
        <v>951</v>
      </c>
      <c r="Q32" s="657" t="str">
        <f t="shared" si="11"/>
        <v>商业类型</v>
      </c>
      <c r="R32" s="1076" t="s">
        <v>940</v>
      </c>
      <c r="S32" s="1077">
        <f t="shared" si="12"/>
        <v>100</v>
      </c>
      <c r="T32" s="1076" t="s">
        <v>940</v>
      </c>
      <c r="U32" s="1077">
        <f t="shared" si="13"/>
        <v>100</v>
      </c>
      <c r="V32" s="1076" t="s">
        <v>940</v>
      </c>
      <c r="W32" s="1077">
        <f t="shared" si="14"/>
        <v>100</v>
      </c>
      <c r="X32" s="1070"/>
      <c r="Y32" s="3188" t="s">
        <v>951</v>
      </c>
      <c r="Z32" s="1069" t="str">
        <f t="shared" si="15"/>
        <v>商业类型</v>
      </c>
      <c r="AA32" s="1088">
        <f t="shared" si="3"/>
        <v>1</v>
      </c>
      <c r="AB32" s="1088">
        <f t="shared" si="4"/>
        <v>1</v>
      </c>
      <c r="AC32" s="1088">
        <f t="shared" si="5"/>
        <v>1</v>
      </c>
    </row>
    <row r="33" spans="1:29" s="876" customFormat="1" ht="15">
      <c r="A33" s="975"/>
      <c r="B33" s="913" t="s">
        <v>1445</v>
      </c>
      <c r="C33" s="1240"/>
      <c r="D33" s="915">
        <v>100</v>
      </c>
      <c r="E33" s="920"/>
      <c r="F33" s="1239" t="e">
        <f>LOOKUP(E33,103:103,104:104)-LOOKUP(C33,103:103,104:104)+100</f>
        <v>#N/A</v>
      </c>
      <c r="G33" s="919"/>
      <c r="H33" s="915" t="e">
        <f>LOOKUP(G33,103:103,104:104)-LOOKUP(C33,103:103,104:104)+100</f>
        <v>#N/A</v>
      </c>
      <c r="I33" s="919"/>
      <c r="J33" s="915" t="e">
        <f>LOOKUP(I33,103:103,104:104)-LOOKUP(C33,103:103,104:104)+100</f>
        <v>#N/A</v>
      </c>
      <c r="K33" s="1047"/>
      <c r="L33" s="1040"/>
      <c r="M33" s="1049"/>
      <c r="N33" s="1049"/>
      <c r="O33" s="1049"/>
      <c r="P33" s="3248"/>
      <c r="Q33" s="1290" t="str">
        <f t="shared" si="11"/>
        <v>项目建筑规模</v>
      </c>
      <c r="R33" s="1078" t="s">
        <v>940</v>
      </c>
      <c r="S33" s="1079" t="e">
        <f t="shared" si="12"/>
        <v>#N/A</v>
      </c>
      <c r="T33" s="1078" t="s">
        <v>940</v>
      </c>
      <c r="U33" s="1079" t="e">
        <f t="shared" si="13"/>
        <v>#N/A</v>
      </c>
      <c r="V33" s="1078" t="s">
        <v>940</v>
      </c>
      <c r="W33" s="1079" t="e">
        <f t="shared" si="14"/>
        <v>#N/A</v>
      </c>
      <c r="X33" s="1080"/>
      <c r="Y33" s="3188"/>
      <c r="Z33" s="1089" t="str">
        <f t="shared" si="15"/>
        <v>项目建筑规模</v>
      </c>
      <c r="AA33" s="1088" t="e">
        <f t="shared" si="3"/>
        <v>#N/A</v>
      </c>
      <c r="AB33" s="1088" t="e">
        <f t="shared" si="4"/>
        <v>#N/A</v>
      </c>
      <c r="AC33" s="1088" t="e">
        <f t="shared" si="5"/>
        <v>#N/A</v>
      </c>
    </row>
    <row r="34" spans="1:29" ht="15">
      <c r="A34" s="969"/>
      <c r="B34" s="913" t="s">
        <v>1446</v>
      </c>
      <c r="C34" s="1415"/>
      <c r="D34" s="925">
        <v>100</v>
      </c>
      <c r="E34" s="1415"/>
      <c r="F34" s="1247">
        <f>SUMIF(105:105,E34,106:106)-SUMIF(105:105,C34,106:106)+100</f>
        <v>100</v>
      </c>
      <c r="G34" s="1415"/>
      <c r="H34" s="925">
        <f>SUMIF(105:105,G34,106:106)-SUMIF(105:105,C34,106:106)+100</f>
        <v>100</v>
      </c>
      <c r="I34" s="1415"/>
      <c r="J34" s="925">
        <f>SUMIF(105:105,I34,106:106)-SUMIF(105:105,C34,106:106)+100</f>
        <v>100</v>
      </c>
      <c r="K34" s="1048"/>
      <c r="L34" s="1042"/>
      <c r="M34" s="1030"/>
      <c r="N34" s="1030"/>
      <c r="O34" s="1030"/>
      <c r="P34" s="3248"/>
      <c r="Q34" s="657" t="str">
        <f t="shared" si="11"/>
        <v>建筑结构</v>
      </c>
      <c r="R34" s="1076" t="s">
        <v>940</v>
      </c>
      <c r="S34" s="1077">
        <f t="shared" si="12"/>
        <v>100</v>
      </c>
      <c r="T34" s="1076" t="s">
        <v>940</v>
      </c>
      <c r="U34" s="1077">
        <f t="shared" si="13"/>
        <v>100</v>
      </c>
      <c r="V34" s="1076" t="s">
        <v>940</v>
      </c>
      <c r="W34" s="1077">
        <f t="shared" si="14"/>
        <v>100</v>
      </c>
      <c r="X34" s="1070"/>
      <c r="Y34" s="3188"/>
      <c r="Z34" s="1069" t="str">
        <f t="shared" si="15"/>
        <v>建筑结构</v>
      </c>
      <c r="AA34" s="1088">
        <f t="shared" si="3"/>
        <v>1</v>
      </c>
      <c r="AB34" s="1088">
        <f t="shared" si="4"/>
        <v>1</v>
      </c>
      <c r="AC34" s="1088">
        <f t="shared" si="5"/>
        <v>1</v>
      </c>
    </row>
    <row r="35" spans="1:29" ht="15">
      <c r="A35" s="969"/>
      <c r="B35" s="913" t="s">
        <v>1448</v>
      </c>
      <c r="C35" s="972"/>
      <c r="D35" s="925">
        <v>100</v>
      </c>
      <c r="E35" s="972"/>
      <c r="F35" s="1247">
        <f>SUMIF(107:107,E35,108:108)-SUMIF(107:107,C35,108:108)+100</f>
        <v>100</v>
      </c>
      <c r="G35" s="972"/>
      <c r="H35" s="925">
        <f>SUMIF(107:107,G35,108:108)-SUMIF(107:107,C35,108:108)+100</f>
        <v>100</v>
      </c>
      <c r="I35" s="972"/>
      <c r="J35" s="925">
        <f>SUMIF(107:107,I35,108:108)-SUMIF(107:107,C35,108:108)+100</f>
        <v>100</v>
      </c>
      <c r="K35" s="1048"/>
      <c r="L35" s="1042"/>
      <c r="M35" s="1030"/>
      <c r="N35" s="1030"/>
      <c r="O35" s="1030"/>
      <c r="P35" s="3248"/>
      <c r="Q35" s="657" t="str">
        <f t="shared" si="11"/>
        <v>公共部分装修</v>
      </c>
      <c r="R35" s="1076" t="s">
        <v>940</v>
      </c>
      <c r="S35" s="1077">
        <f t="shared" si="12"/>
        <v>100</v>
      </c>
      <c r="T35" s="1076" t="s">
        <v>940</v>
      </c>
      <c r="U35" s="1077">
        <f t="shared" si="13"/>
        <v>100</v>
      </c>
      <c r="V35" s="1076" t="s">
        <v>940</v>
      </c>
      <c r="W35" s="1077">
        <f t="shared" si="14"/>
        <v>100</v>
      </c>
      <c r="X35" s="1070"/>
      <c r="Y35" s="3188"/>
      <c r="Z35" s="1069" t="str">
        <f t="shared" si="15"/>
        <v>公共部分装修</v>
      </c>
      <c r="AA35" s="1088">
        <f t="shared" si="3"/>
        <v>1</v>
      </c>
      <c r="AB35" s="1088">
        <f t="shared" si="4"/>
        <v>1</v>
      </c>
      <c r="AC35" s="1088">
        <f t="shared" si="5"/>
        <v>1</v>
      </c>
    </row>
    <row r="36" spans="1:29" ht="15">
      <c r="A36" s="969"/>
      <c r="B36" s="913" t="s">
        <v>570</v>
      </c>
      <c r="C36" s="1254"/>
      <c r="D36" s="925">
        <v>100</v>
      </c>
      <c r="E36" s="1254"/>
      <c r="F36" s="1247" t="e">
        <f>LOOKUP(E36,110:110,111:111)-LOOKUP(C36,110:110,111:111)+100</f>
        <v>#N/A</v>
      </c>
      <c r="G36" s="1254"/>
      <c r="H36" s="1247" t="e">
        <f>LOOKUP(G36,110:110,111:111)-LOOKUP(C36,110:110,111:111)+100</f>
        <v>#N/A</v>
      </c>
      <c r="I36" s="1254"/>
      <c r="J36" s="925" t="e">
        <f>LOOKUP(I36,110:110,111:111)-LOOKUP(C36,110:110,111:111)+100</f>
        <v>#N/A</v>
      </c>
      <c r="K36" s="1048"/>
      <c r="L36" s="1042"/>
      <c r="M36" s="1030"/>
      <c r="N36" s="1030"/>
      <c r="O36" s="1030"/>
      <c r="P36" s="3248"/>
      <c r="Q36" s="657" t="str">
        <f t="shared" si="11"/>
        <v>成新度</v>
      </c>
      <c r="R36" s="1076" t="s">
        <v>940</v>
      </c>
      <c r="S36" s="1077" t="e">
        <f t="shared" si="12"/>
        <v>#N/A</v>
      </c>
      <c r="T36" s="1076" t="s">
        <v>940</v>
      </c>
      <c r="U36" s="1077" t="e">
        <f t="shared" si="13"/>
        <v>#N/A</v>
      </c>
      <c r="V36" s="1076" t="s">
        <v>940</v>
      </c>
      <c r="W36" s="1077" t="e">
        <f t="shared" si="14"/>
        <v>#N/A</v>
      </c>
      <c r="X36" s="1070"/>
      <c r="Y36" s="3188"/>
      <c r="Z36" s="1069" t="str">
        <f t="shared" si="15"/>
        <v>成新度</v>
      </c>
      <c r="AA36" s="1088" t="e">
        <f t="shared" si="3"/>
        <v>#N/A</v>
      </c>
      <c r="AB36" s="1088" t="e">
        <f t="shared" si="4"/>
        <v>#N/A</v>
      </c>
      <c r="AC36" s="1088" t="e">
        <f t="shared" si="5"/>
        <v>#N/A</v>
      </c>
    </row>
    <row r="37" spans="1:29" s="874" customFormat="1" ht="15">
      <c r="A37" s="973"/>
      <c r="B37" s="913" t="s">
        <v>1450</v>
      </c>
      <c r="C37" s="972"/>
      <c r="D37" s="915">
        <v>100</v>
      </c>
      <c r="E37" s="972"/>
      <c r="F37" s="1247">
        <f>SUMIF(112:112,E37,113:113)-SUMIF(112:112,C37,113:113)+100</f>
        <v>100</v>
      </c>
      <c r="G37" s="972"/>
      <c r="H37" s="925">
        <f>SUMIF(112:112,G37,113:113)-SUMIF(112:112,C37,113:113)+100</f>
        <v>100</v>
      </c>
      <c r="I37" s="972"/>
      <c r="J37" s="925">
        <f>SUMIF(112:112,I37,113:113)-SUMIF(112:112,C37,113:113)+100</f>
        <v>100</v>
      </c>
      <c r="K37" s="1048"/>
      <c r="L37" s="1032"/>
      <c r="M37" s="1033"/>
      <c r="N37" s="1033"/>
      <c r="O37" s="1033"/>
      <c r="P37" s="3248"/>
      <c r="Q37" s="1075" t="str">
        <f t="shared" si="11"/>
        <v>市政基础设施</v>
      </c>
      <c r="R37" s="1071" t="s">
        <v>940</v>
      </c>
      <c r="S37" s="1072">
        <f t="shared" si="12"/>
        <v>100</v>
      </c>
      <c r="T37" s="1071" t="s">
        <v>940</v>
      </c>
      <c r="U37" s="1072">
        <f t="shared" si="13"/>
        <v>100</v>
      </c>
      <c r="V37" s="1071" t="s">
        <v>940</v>
      </c>
      <c r="W37" s="1072">
        <f t="shared" si="14"/>
        <v>100</v>
      </c>
      <c r="X37" s="1073"/>
      <c r="Y37" s="3188"/>
      <c r="Z37" s="1087" t="str">
        <f t="shared" si="15"/>
        <v>市政基础设施</v>
      </c>
      <c r="AA37" s="1086">
        <f t="shared" si="3"/>
        <v>1</v>
      </c>
      <c r="AB37" s="1086">
        <f t="shared" si="4"/>
        <v>1</v>
      </c>
      <c r="AC37" s="1086">
        <f t="shared" si="5"/>
        <v>1</v>
      </c>
    </row>
    <row r="38" spans="1:29" ht="15">
      <c r="A38" s="969"/>
      <c r="B38" s="913" t="s">
        <v>1488</v>
      </c>
      <c r="C38" s="972"/>
      <c r="D38" s="925">
        <v>100</v>
      </c>
      <c r="E38" s="972"/>
      <c r="F38" s="1247">
        <f>SUMIF(114:114,E38,115:115)-SUMIF(114:114,C38,115:115)+100</f>
        <v>100</v>
      </c>
      <c r="G38" s="972"/>
      <c r="H38" s="925">
        <f>SUMIF(114:114,G38,115:115)-SUMIF(114:114,C38,115:115)+100</f>
        <v>100</v>
      </c>
      <c r="I38" s="972"/>
      <c r="J38" s="925">
        <f>SUMIF(114:114,I38,115:115)-SUMIF(114:114,C38,115:115)+100</f>
        <v>100</v>
      </c>
      <c r="K38" s="1048"/>
      <c r="L38" s="1042"/>
      <c r="M38" s="1030"/>
      <c r="N38" s="1030"/>
      <c r="O38" s="1030"/>
      <c r="P38" s="3248" t="s">
        <v>951</v>
      </c>
      <c r="Q38" s="657" t="str">
        <f t="shared" si="11"/>
        <v>业态</v>
      </c>
      <c r="R38" s="1076" t="s">
        <v>940</v>
      </c>
      <c r="S38" s="1077">
        <f t="shared" si="12"/>
        <v>100</v>
      </c>
      <c r="T38" s="1076" t="s">
        <v>940</v>
      </c>
      <c r="U38" s="1077">
        <f t="shared" si="13"/>
        <v>100</v>
      </c>
      <c r="V38" s="1076" t="s">
        <v>940</v>
      </c>
      <c r="W38" s="1077">
        <f t="shared" si="14"/>
        <v>100</v>
      </c>
      <c r="X38" s="1070"/>
      <c r="Y38" s="3188" t="s">
        <v>951</v>
      </c>
      <c r="Z38" s="1069" t="str">
        <f t="shared" si="15"/>
        <v>业态</v>
      </c>
      <c r="AA38" s="1088">
        <f t="shared" si="3"/>
        <v>1</v>
      </c>
      <c r="AB38" s="1088">
        <f t="shared" si="4"/>
        <v>1</v>
      </c>
      <c r="AC38" s="1088">
        <f t="shared" si="5"/>
        <v>1</v>
      </c>
    </row>
    <row r="39" spans="1:29" ht="15">
      <c r="A39" s="969"/>
      <c r="B39" s="913" t="s">
        <v>1489</v>
      </c>
      <c r="C39" s="972"/>
      <c r="D39" s="925">
        <v>100</v>
      </c>
      <c r="E39" s="972"/>
      <c r="F39" s="1247">
        <f>SUMIF(116:116,E39,117:117)-SUMIF(116:116,C39,117:117)+100</f>
        <v>100</v>
      </c>
      <c r="G39" s="972"/>
      <c r="H39" s="925">
        <f>SUMIF(116:116,G39,117:117)-SUMIF(116:116,C39,117:117)+100</f>
        <v>100</v>
      </c>
      <c r="I39" s="972"/>
      <c r="J39" s="925">
        <f>SUMIF(116:116,I39,117:117)-SUMIF(116:116,C39,117:117)+100</f>
        <v>100</v>
      </c>
      <c r="K39" s="1048"/>
      <c r="L39" s="1042"/>
      <c r="M39" s="1030"/>
      <c r="N39" s="1030"/>
      <c r="O39" s="1030"/>
      <c r="P39" s="3248"/>
      <c r="Q39" s="657" t="str">
        <f t="shared" si="11"/>
        <v>层高</v>
      </c>
      <c r="R39" s="1076" t="s">
        <v>940</v>
      </c>
      <c r="S39" s="1077">
        <f t="shared" si="12"/>
        <v>100</v>
      </c>
      <c r="T39" s="1076" t="s">
        <v>940</v>
      </c>
      <c r="U39" s="1077">
        <f t="shared" si="13"/>
        <v>100</v>
      </c>
      <c r="V39" s="1076" t="s">
        <v>940</v>
      </c>
      <c r="W39" s="1077">
        <f t="shared" si="14"/>
        <v>100</v>
      </c>
      <c r="X39" s="1070"/>
      <c r="Y39" s="3188"/>
      <c r="Z39" s="1069" t="str">
        <f t="shared" si="15"/>
        <v>层高</v>
      </c>
      <c r="AA39" s="1088">
        <f t="shared" si="3"/>
        <v>1</v>
      </c>
      <c r="AB39" s="1088">
        <f t="shared" si="4"/>
        <v>1</v>
      </c>
      <c r="AC39" s="1088">
        <f t="shared" si="5"/>
        <v>1</v>
      </c>
    </row>
    <row r="40" spans="1:29" ht="15">
      <c r="A40" s="969"/>
      <c r="B40" s="913" t="s">
        <v>1490</v>
      </c>
      <c r="C40" s="1416"/>
      <c r="D40" s="925">
        <v>100</v>
      </c>
      <c r="E40" s="1417"/>
      <c r="F40" s="1247">
        <f>SUMIF(118:118,E40,119:119)-SUMIF(118:118,C40,119:119)+100</f>
        <v>100</v>
      </c>
      <c r="G40" s="1417"/>
      <c r="H40" s="925">
        <f>SUMIF(118:118,G40,119:119)-SUMIF(118:118,C40,119:119)+100</f>
        <v>100</v>
      </c>
      <c r="I40" s="1417"/>
      <c r="J40" s="925">
        <f>SUMIF(118:118,I40,119:119)-SUMIF(118:118,C40,119:119)+100</f>
        <v>100</v>
      </c>
      <c r="K40" s="1047"/>
      <c r="L40" s="1042"/>
      <c r="M40" s="1030"/>
      <c r="N40" s="1030"/>
      <c r="O40" s="1030"/>
      <c r="P40" s="3248"/>
      <c r="Q40" s="657" t="str">
        <f t="shared" si="11"/>
        <v>单套建筑面积</v>
      </c>
      <c r="R40" s="1076" t="s">
        <v>940</v>
      </c>
      <c r="S40" s="1077">
        <f t="shared" si="12"/>
        <v>100</v>
      </c>
      <c r="T40" s="1076" t="s">
        <v>940</v>
      </c>
      <c r="U40" s="1077">
        <f t="shared" si="13"/>
        <v>100</v>
      </c>
      <c r="V40" s="1076" t="s">
        <v>940</v>
      </c>
      <c r="W40" s="1077">
        <f t="shared" si="14"/>
        <v>100</v>
      </c>
      <c r="X40" s="1070"/>
      <c r="Y40" s="3188"/>
      <c r="Z40" s="1069" t="str">
        <f t="shared" si="15"/>
        <v>单套建筑面积</v>
      </c>
      <c r="AA40" s="1088">
        <f t="shared" si="3"/>
        <v>1</v>
      </c>
      <c r="AB40" s="1088">
        <f t="shared" si="4"/>
        <v>1</v>
      </c>
      <c r="AC40" s="1088">
        <f t="shared" si="5"/>
        <v>1</v>
      </c>
    </row>
    <row r="41" spans="1:29" s="876" customFormat="1" ht="15">
      <c r="A41" s="975"/>
      <c r="B41" s="1057" t="s">
        <v>1491</v>
      </c>
      <c r="C41" s="953"/>
      <c r="D41" s="925">
        <v>100</v>
      </c>
      <c r="E41" s="953"/>
      <c r="F41" s="1247">
        <f>SUMIF(120:120,E41,121:121)-SUMIF(120:120,C41,121:121)+100</f>
        <v>100</v>
      </c>
      <c r="G41" s="953"/>
      <c r="H41" s="925">
        <f>SUMIF(120:120,G41,121:121)-SUMIF(120:120,C41,121:121)+100</f>
        <v>100</v>
      </c>
      <c r="I41" s="953"/>
      <c r="J41" s="925">
        <f>SUMIF(120:120,I41,121:121)-SUMIF(120:120,C41,121:121)+100</f>
        <v>100</v>
      </c>
      <c r="K41" s="1048"/>
      <c r="L41" s="1040"/>
      <c r="M41" s="1049"/>
      <c r="N41" s="1049"/>
      <c r="O41" s="1049"/>
      <c r="P41" s="3248"/>
      <c r="Q41" s="1290" t="str">
        <f t="shared" si="11"/>
        <v>进深比</v>
      </c>
      <c r="R41" s="1078" t="s">
        <v>940</v>
      </c>
      <c r="S41" s="1079">
        <f t="shared" si="12"/>
        <v>100</v>
      </c>
      <c r="T41" s="1078" t="s">
        <v>940</v>
      </c>
      <c r="U41" s="1079">
        <f t="shared" si="13"/>
        <v>100</v>
      </c>
      <c r="V41" s="1078" t="s">
        <v>940</v>
      </c>
      <c r="W41" s="1079">
        <f t="shared" si="14"/>
        <v>100</v>
      </c>
      <c r="X41" s="1080"/>
      <c r="Y41" s="3188"/>
      <c r="Z41" s="1089" t="str">
        <f t="shared" si="15"/>
        <v>进深比</v>
      </c>
      <c r="AA41" s="1088">
        <f t="shared" si="3"/>
        <v>1</v>
      </c>
      <c r="AB41" s="1088">
        <f t="shared" si="4"/>
        <v>1</v>
      </c>
      <c r="AC41" s="1088">
        <f t="shared" si="5"/>
        <v>1</v>
      </c>
    </row>
    <row r="42" spans="1:29" ht="15">
      <c r="A42" s="969"/>
      <c r="B42" s="913" t="s">
        <v>1453</v>
      </c>
      <c r="C42" s="972"/>
      <c r="D42" s="925">
        <v>100</v>
      </c>
      <c r="E42" s="972"/>
      <c r="F42" s="1247">
        <f>SUMIF(122:122,E42,123:123)-SUMIF(122:122,C42,123:123)+100</f>
        <v>100</v>
      </c>
      <c r="G42" s="972"/>
      <c r="H42" s="925">
        <f>SUMIF(122:122,G42,123:123)-SUMIF(122:122,C42,123:123)+100</f>
        <v>100</v>
      </c>
      <c r="I42" s="972"/>
      <c r="J42" s="925">
        <f>SUMIF(122:122,I42,123:123)-SUMIF(122:122,C42,123:123)+100</f>
        <v>100</v>
      </c>
      <c r="K42" s="1048"/>
      <c r="L42" s="1042"/>
      <c r="M42" s="1030"/>
      <c r="N42" s="1030"/>
      <c r="O42" s="1030"/>
      <c r="P42" s="3248"/>
      <c r="Q42" s="657" t="str">
        <f t="shared" si="11"/>
        <v>内部装修</v>
      </c>
      <c r="R42" s="1076" t="s">
        <v>940</v>
      </c>
      <c r="S42" s="1077">
        <f t="shared" si="12"/>
        <v>100</v>
      </c>
      <c r="T42" s="1076" t="s">
        <v>940</v>
      </c>
      <c r="U42" s="1077">
        <f t="shared" si="13"/>
        <v>100</v>
      </c>
      <c r="V42" s="1076" t="s">
        <v>940</v>
      </c>
      <c r="W42" s="1077">
        <f t="shared" si="14"/>
        <v>100</v>
      </c>
      <c r="X42" s="1070"/>
      <c r="Y42" s="3188"/>
      <c r="Z42" s="1069" t="str">
        <f t="shared" si="15"/>
        <v>内部装修</v>
      </c>
      <c r="AA42" s="1088">
        <f t="shared" si="3"/>
        <v>1</v>
      </c>
      <c r="AB42" s="1088">
        <f t="shared" si="4"/>
        <v>1</v>
      </c>
      <c r="AC42" s="1088">
        <f t="shared" si="5"/>
        <v>1</v>
      </c>
    </row>
    <row r="43" spans="1:29" ht="15">
      <c r="A43" s="969"/>
      <c r="B43" s="913" t="s">
        <v>1454</v>
      </c>
      <c r="C43" s="972"/>
      <c r="D43" s="925">
        <v>100</v>
      </c>
      <c r="E43" s="972"/>
      <c r="F43" s="1247">
        <f>SUMIF(124:124,E43,125:125)-SUMIF(124:124,C43,125:125)+100</f>
        <v>100</v>
      </c>
      <c r="G43" s="972"/>
      <c r="H43" s="925">
        <f>SUMIF(124:124,G43,125:125)-SUMIF(124:124,C43,125:125)+100</f>
        <v>100</v>
      </c>
      <c r="I43" s="972"/>
      <c r="J43" s="925">
        <f>SUMIF(124:124,I43,125:125)-SUMIF(124:124,C43,125:125)+100</f>
        <v>100</v>
      </c>
      <c r="K43" s="1048"/>
      <c r="L43" s="1042"/>
      <c r="M43" s="1030"/>
      <c r="N43" s="1030"/>
      <c r="O43" s="1030"/>
      <c r="P43" s="3248"/>
      <c r="Q43" s="657" t="str">
        <f t="shared" si="11"/>
        <v>内部装修维护情况</v>
      </c>
      <c r="R43" s="1076" t="s">
        <v>940</v>
      </c>
      <c r="S43" s="1077">
        <f t="shared" si="12"/>
        <v>100</v>
      </c>
      <c r="T43" s="1076" t="s">
        <v>940</v>
      </c>
      <c r="U43" s="1077">
        <f t="shared" si="13"/>
        <v>100</v>
      </c>
      <c r="V43" s="1076" t="s">
        <v>940</v>
      </c>
      <c r="W43" s="1077">
        <f t="shared" si="14"/>
        <v>100</v>
      </c>
      <c r="X43" s="1070"/>
      <c r="Y43" s="3188"/>
      <c r="Z43" s="1069" t="str">
        <f t="shared" si="15"/>
        <v>内部装修维护情况</v>
      </c>
      <c r="AA43" s="1088">
        <f t="shared" si="3"/>
        <v>1</v>
      </c>
      <c r="AB43" s="1088">
        <f t="shared" si="4"/>
        <v>1</v>
      </c>
      <c r="AC43" s="1088">
        <f t="shared" si="5"/>
        <v>1</v>
      </c>
    </row>
    <row r="44" spans="1:29" s="874" customFormat="1" ht="15">
      <c r="A44" s="973"/>
      <c r="B44" s="960">
        <v>111</v>
      </c>
      <c r="C44" s="1240"/>
      <c r="D44" s="915">
        <v>100</v>
      </c>
      <c r="E44" s="924"/>
      <c r="F44" s="1239">
        <f>SUMIF(126:126,E44,127:127)-SUMIF(126:126,C44,127:127)+100</f>
        <v>100</v>
      </c>
      <c r="G44" s="924"/>
      <c r="H44" s="915">
        <f>SUMIF(126:126,G44,127:127)-SUMIF(126:126,C44,127:127)+100</f>
        <v>100</v>
      </c>
      <c r="I44" s="924"/>
      <c r="J44" s="915">
        <f>SUMIF(126:126,I44,127:127)-SUMIF(126:126,C44,127:127)+100</f>
        <v>100</v>
      </c>
      <c r="K44" s="1047"/>
      <c r="L44" s="1032"/>
      <c r="M44" s="1033"/>
      <c r="N44" s="1033"/>
      <c r="O44" s="1033"/>
      <c r="P44" s="3248"/>
      <c r="Q44" s="1075">
        <f t="shared" si="11"/>
        <v>111</v>
      </c>
      <c r="R44" s="1071" t="s">
        <v>940</v>
      </c>
      <c r="S44" s="1072">
        <f t="shared" si="12"/>
        <v>100</v>
      </c>
      <c r="T44" s="1071" t="s">
        <v>940</v>
      </c>
      <c r="U44" s="1072">
        <f t="shared" si="13"/>
        <v>100</v>
      </c>
      <c r="V44" s="1071" t="s">
        <v>940</v>
      </c>
      <c r="W44" s="1072">
        <f t="shared" si="14"/>
        <v>100</v>
      </c>
      <c r="X44" s="1073"/>
      <c r="Y44" s="3188"/>
      <c r="Z44" s="1087">
        <f t="shared" si="15"/>
        <v>111</v>
      </c>
      <c r="AA44" s="1086">
        <f t="shared" si="3"/>
        <v>1</v>
      </c>
      <c r="AB44" s="1086">
        <f t="shared" si="4"/>
        <v>1</v>
      </c>
      <c r="AC44" s="1086">
        <f t="shared" si="5"/>
        <v>1</v>
      </c>
    </row>
    <row r="45" spans="1:29" ht="15">
      <c r="A45" s="969"/>
      <c r="B45" s="960">
        <v>111</v>
      </c>
      <c r="C45" s="924"/>
      <c r="D45" s="925">
        <v>100</v>
      </c>
      <c r="E45" s="924"/>
      <c r="F45" s="1247">
        <f>SUMIF(128:128,E45,129:129)-SUMIF(128:128,C45,129:129)+100</f>
        <v>100</v>
      </c>
      <c r="G45" s="924"/>
      <c r="H45" s="925">
        <f>SUMIF(128:128,G45,129:129)-SUMIF(128:128,C45,129:129)+100</f>
        <v>100</v>
      </c>
      <c r="I45" s="924"/>
      <c r="J45" s="925">
        <f>SUMIF(128:128,I45,129:129)-SUMIF(128:128,C45,129:129)+100</f>
        <v>100</v>
      </c>
      <c r="K45" s="1047"/>
      <c r="L45" s="1042"/>
      <c r="M45" s="1030"/>
      <c r="N45" s="1030"/>
      <c r="O45" s="1030"/>
      <c r="P45" s="3248"/>
      <c r="Q45" s="657">
        <f t="shared" si="11"/>
        <v>111</v>
      </c>
      <c r="R45" s="1076" t="s">
        <v>940</v>
      </c>
      <c r="S45" s="1077">
        <f t="shared" si="12"/>
        <v>100</v>
      </c>
      <c r="T45" s="1076" t="s">
        <v>940</v>
      </c>
      <c r="U45" s="1077">
        <f t="shared" si="13"/>
        <v>100</v>
      </c>
      <c r="V45" s="1076" t="s">
        <v>940</v>
      </c>
      <c r="W45" s="1077">
        <f t="shared" si="14"/>
        <v>100</v>
      </c>
      <c r="X45" s="1070"/>
      <c r="Y45" s="3188"/>
      <c r="Z45" s="1069">
        <f t="shared" si="15"/>
        <v>111</v>
      </c>
      <c r="AA45" s="1088">
        <f t="shared" si="3"/>
        <v>1</v>
      </c>
      <c r="AB45" s="1088">
        <f t="shared" si="4"/>
        <v>1</v>
      </c>
      <c r="AC45" s="1088">
        <f t="shared" si="5"/>
        <v>1</v>
      </c>
    </row>
    <row r="46" spans="1:29" ht="15">
      <c r="A46" s="1259"/>
      <c r="B46" s="929">
        <v>111</v>
      </c>
      <c r="C46" s="930"/>
      <c r="D46" s="931">
        <v>100</v>
      </c>
      <c r="E46" s="924"/>
      <c r="F46" s="1260">
        <f>SUMIF(130:130,E46,131:131)-SUMIF(130:130,C46,131:131)+100</f>
        <v>100</v>
      </c>
      <c r="G46" s="924"/>
      <c r="H46" s="931">
        <f>SUMIF(130:130,G46,131:131)-SUMIF(130:130,C46,131:131)+100</f>
        <v>100</v>
      </c>
      <c r="I46" s="924"/>
      <c r="J46" s="931">
        <f>SUMIF(130:130,I46,131:131)-SUMIF(130:130,C46,131:131)+100</f>
        <v>100</v>
      </c>
      <c r="K46" s="1047"/>
      <c r="L46" s="1042"/>
      <c r="M46" s="1030"/>
      <c r="N46" s="1030"/>
      <c r="O46" s="1030"/>
      <c r="P46" s="3249"/>
      <c r="Q46" s="657">
        <f t="shared" si="11"/>
        <v>111</v>
      </c>
      <c r="R46" s="1076" t="s">
        <v>940</v>
      </c>
      <c r="S46" s="1077">
        <f t="shared" si="12"/>
        <v>100</v>
      </c>
      <c r="T46" s="1076" t="s">
        <v>940</v>
      </c>
      <c r="U46" s="1077">
        <f t="shared" si="13"/>
        <v>100</v>
      </c>
      <c r="V46" s="1076" t="s">
        <v>940</v>
      </c>
      <c r="W46" s="1077">
        <f t="shared" si="14"/>
        <v>100</v>
      </c>
      <c r="X46" s="1070"/>
      <c r="Y46" s="3250"/>
      <c r="Z46" s="1069">
        <f t="shared" si="15"/>
        <v>111</v>
      </c>
      <c r="AA46" s="1088">
        <f t="shared" si="3"/>
        <v>1</v>
      </c>
      <c r="AB46" s="1088">
        <f t="shared" si="4"/>
        <v>1</v>
      </c>
      <c r="AC46" s="1088">
        <f t="shared" si="5"/>
        <v>1</v>
      </c>
    </row>
    <row r="47" spans="1:29" ht="15">
      <c r="A47" s="978" t="s">
        <v>1455</v>
      </c>
      <c r="B47" s="1261"/>
      <c r="C47" s="1262" t="s">
        <v>124</v>
      </c>
      <c r="D47" s="1263"/>
      <c r="E47" s="1264"/>
      <c r="F47" s="1265"/>
      <c r="G47" s="1266"/>
      <c r="H47" s="1267"/>
      <c r="I47" s="1264"/>
      <c r="J47" s="1267"/>
      <c r="K47" s="1053"/>
      <c r="L47" s="1054"/>
      <c r="M47" s="995"/>
      <c r="N47" s="1030"/>
      <c r="O47" s="995"/>
      <c r="P47" s="3182" t="str">
        <f>A47</f>
        <v>成交单价（元/平方米）</v>
      </c>
      <c r="Q47" s="3182"/>
      <c r="R47" s="3183">
        <f>E47</f>
        <v>0</v>
      </c>
      <c r="S47" s="3183"/>
      <c r="T47" s="3183">
        <f>G47</f>
        <v>0</v>
      </c>
      <c r="U47" s="3183"/>
      <c r="V47" s="3183">
        <f>I47</f>
        <v>0</v>
      </c>
      <c r="W47" s="3183"/>
      <c r="X47" s="1081"/>
      <c r="Y47" s="1090"/>
      <c r="Z47" s="1081"/>
      <c r="AA47" s="1081"/>
      <c r="AB47" s="1081"/>
      <c r="AC47" s="1081"/>
    </row>
    <row r="48" spans="1:29" ht="15">
      <c r="A48" s="986" t="s">
        <v>960</v>
      </c>
      <c r="B48" s="1268"/>
      <c r="C48" s="1269" t="e">
        <f>R49</f>
        <v>#DIV/0!</v>
      </c>
      <c r="D48" s="1270"/>
      <c r="E48" s="1271" t="e">
        <f>R48</f>
        <v>#DIV/0!</v>
      </c>
      <c r="F48" s="1271"/>
      <c r="G48" s="1269" t="e">
        <f>T48</f>
        <v>#DIV/0!</v>
      </c>
      <c r="H48" s="1270"/>
      <c r="I48" s="1271" t="e">
        <f>V48</f>
        <v>#DIV/0!</v>
      </c>
      <c r="J48" s="1270"/>
      <c r="K48" s="1055"/>
      <c r="L48" s="1054"/>
      <c r="M48" s="995"/>
      <c r="N48" s="1030"/>
      <c r="O48" s="995"/>
      <c r="P48" s="3182" t="str">
        <f>A48</f>
        <v>比较价值（元/平方米）</v>
      </c>
      <c r="Q48" s="3182"/>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081"/>
      <c r="Y48" s="1081"/>
      <c r="Z48" s="1081"/>
      <c r="AA48" s="1081"/>
      <c r="AB48" s="1081"/>
      <c r="AC48" s="1081"/>
    </row>
    <row r="49" spans="1:29" ht="15">
      <c r="A49" s="992" t="s">
        <v>961</v>
      </c>
      <c r="B49" s="993"/>
      <c r="C49" s="1272" t="e">
        <f>R49</f>
        <v>#DIV/0!</v>
      </c>
      <c r="D49" s="1272"/>
      <c r="E49" s="1272"/>
      <c r="F49" s="1272"/>
      <c r="G49" s="1272"/>
      <c r="H49" s="1272"/>
      <c r="I49" s="1272"/>
      <c r="J49" s="1272"/>
      <c r="K49" s="1056"/>
      <c r="L49" s="1054"/>
      <c r="M49" s="995"/>
      <c r="N49" s="1030"/>
      <c r="O49" s="995"/>
      <c r="P49" s="3192" t="str">
        <f>A49</f>
        <v>估价对象XX用房的比较价值（楼面单价，元/平方米）</v>
      </c>
      <c r="Q49" s="3193"/>
      <c r="R49" s="3251" t="e">
        <f>IF(F1="售价",ROUND(AVERAGE(R48:V48),0),ROUND(AVERAGE(R48:V48),1))</f>
        <v>#DIV/0!</v>
      </c>
      <c r="S49" s="3251"/>
      <c r="T49" s="3251"/>
      <c r="U49" s="3251"/>
      <c r="V49" s="3251"/>
      <c r="W49" s="3251"/>
      <c r="X49" s="1081"/>
      <c r="Y49" s="1081"/>
      <c r="Z49" s="1081"/>
      <c r="AA49" s="1081"/>
      <c r="AB49" s="1081"/>
      <c r="AC49" s="1081"/>
    </row>
    <row r="50" spans="1:29">
      <c r="A50" s="995"/>
      <c r="B50" s="995"/>
      <c r="C50" s="995"/>
      <c r="D50" s="995"/>
      <c r="E50" s="995"/>
      <c r="F50" s="995"/>
      <c r="G50" s="996"/>
      <c r="H50" s="995"/>
      <c r="I50" s="995"/>
      <c r="J50" s="995"/>
      <c r="K50" s="1058"/>
      <c r="L50" s="1059"/>
      <c r="M50" s="995"/>
      <c r="N50" s="995"/>
      <c r="O50" s="995"/>
      <c r="P50" s="962"/>
      <c r="Q50" s="1081"/>
      <c r="R50" s="1081"/>
      <c r="S50" s="1081"/>
      <c r="T50" s="1081"/>
      <c r="U50" s="1081"/>
      <c r="V50" s="1081"/>
      <c r="W50" s="1081"/>
      <c r="X50" s="1081"/>
      <c r="Y50" s="1081"/>
      <c r="Z50" s="1081"/>
      <c r="AA50" s="1081"/>
      <c r="AB50" s="1081"/>
      <c r="AC50" s="1081"/>
    </row>
    <row r="51" spans="1:29">
      <c r="A51" s="995"/>
      <c r="B51" s="995"/>
      <c r="C51" s="995"/>
      <c r="D51" s="995"/>
      <c r="E51" s="995"/>
      <c r="F51" s="995"/>
      <c r="G51" s="995"/>
      <c r="H51" s="995"/>
      <c r="I51" s="995"/>
      <c r="J51" s="995"/>
      <c r="K51" s="1058"/>
      <c r="L51" s="1059"/>
      <c r="M51" s="995"/>
      <c r="N51" s="995"/>
      <c r="O51" s="995"/>
      <c r="P51" s="962"/>
      <c r="Q51" s="1081"/>
      <c r="R51" s="1081"/>
      <c r="S51" s="1081"/>
      <c r="T51" s="1081"/>
      <c r="U51" s="1081"/>
      <c r="V51" s="1081"/>
      <c r="W51" s="1081"/>
      <c r="X51" s="1081"/>
      <c r="Y51" s="1081"/>
      <c r="Z51" s="1081"/>
      <c r="AA51" s="1081"/>
      <c r="AB51" s="1081"/>
      <c r="AC51" s="1081"/>
    </row>
    <row r="52" spans="1:29" ht="13.5" customHeight="1">
      <c r="A52" s="995"/>
      <c r="B52" s="995"/>
      <c r="C52" s="997" t="s">
        <v>962</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58"/>
      <c r="L52" s="1059"/>
      <c r="M52" s="995"/>
      <c r="N52" s="995"/>
      <c r="O52" s="995"/>
      <c r="P52" s="962"/>
      <c r="Q52" s="1081"/>
      <c r="R52" s="1081"/>
      <c r="S52" s="1081"/>
      <c r="T52" s="1081"/>
      <c r="U52" s="1081"/>
      <c r="V52" s="1081"/>
      <c r="W52" s="1081"/>
      <c r="X52" s="1081"/>
      <c r="Y52" s="1081"/>
      <c r="Z52" s="1081"/>
      <c r="AA52" s="1081"/>
      <c r="AB52" s="1081"/>
      <c r="AC52" s="1081"/>
    </row>
    <row r="53" spans="1:29" ht="13.5" customHeight="1">
      <c r="A53" s="995"/>
      <c r="B53" s="995"/>
      <c r="C53" s="997" t="s">
        <v>963</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58"/>
      <c r="L53" s="1059"/>
      <c r="M53" s="995"/>
      <c r="N53" s="995"/>
      <c r="O53" s="995"/>
      <c r="P53" s="962"/>
      <c r="Q53" s="1081"/>
      <c r="R53" s="1081"/>
      <c r="S53" s="1081"/>
      <c r="T53" s="1081"/>
      <c r="U53" s="1081"/>
      <c r="V53" s="1081"/>
      <c r="W53" s="1081"/>
      <c r="X53" s="1081"/>
      <c r="Y53" s="1081"/>
      <c r="Z53" s="1081"/>
      <c r="AA53" s="1081"/>
      <c r="AB53" s="1081"/>
      <c r="AC53" s="1081"/>
    </row>
    <row r="54" spans="1:29" s="877" customFormat="1" ht="13.5" customHeight="1">
      <c r="A54" s="1000"/>
      <c r="B54" s="1000"/>
      <c r="C54" s="997" t="s">
        <v>964</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60"/>
      <c r="L54" s="1061"/>
      <c r="M54" s="1000"/>
      <c r="N54" s="1000"/>
      <c r="O54" s="1000"/>
      <c r="P54" s="1420"/>
      <c r="Q54" s="1003"/>
      <c r="R54" s="1003"/>
      <c r="S54" s="1003"/>
      <c r="T54" s="1003"/>
      <c r="U54" s="1003"/>
      <c r="V54" s="1003"/>
      <c r="W54" s="1003"/>
      <c r="X54" s="1003"/>
      <c r="Y54" s="1003"/>
      <c r="Z54" s="1003"/>
      <c r="AA54" s="1003"/>
      <c r="AB54" s="1003"/>
      <c r="AC54" s="1003"/>
    </row>
    <row r="55" spans="1:29" s="877" customFormat="1">
      <c r="A55" s="1000"/>
      <c r="B55" s="1001"/>
      <c r="C55" s="1273"/>
      <c r="D55" s="1000"/>
      <c r="E55" s="1000"/>
      <c r="F55" s="1000"/>
      <c r="G55" s="1000"/>
      <c r="H55" s="1000"/>
      <c r="I55" s="1000"/>
      <c r="J55" s="1000"/>
      <c r="K55" s="1060"/>
      <c r="L55" s="1061"/>
      <c r="M55" s="1000"/>
      <c r="N55" s="1000"/>
      <c r="O55" s="1000"/>
      <c r="P55" s="1420"/>
      <c r="Q55" s="1003"/>
      <c r="R55" s="1003"/>
      <c r="S55" s="1003"/>
      <c r="T55" s="1003"/>
      <c r="U55" s="1003"/>
      <c r="V55" s="1003"/>
      <c r="W55" s="1003"/>
      <c r="X55" s="1003"/>
      <c r="Y55" s="1003"/>
      <c r="Z55" s="1003"/>
      <c r="AA55" s="1003"/>
      <c r="AB55" s="1003"/>
      <c r="AC55" s="1003"/>
    </row>
    <row r="56" spans="1:29">
      <c r="A56" s="995"/>
      <c r="B56" s="1001"/>
      <c r="C56" s="1273"/>
      <c r="D56" s="995"/>
      <c r="E56" s="995"/>
      <c r="F56" s="995"/>
      <c r="G56" s="995"/>
      <c r="H56" s="995"/>
      <c r="I56" s="995"/>
      <c r="J56" s="995"/>
      <c r="K56" s="1058"/>
      <c r="L56" s="1059"/>
      <c r="M56" s="995"/>
      <c r="N56" s="995"/>
      <c r="O56" s="995"/>
      <c r="P56" s="962"/>
      <c r="Q56" s="1081"/>
      <c r="R56" s="1081"/>
      <c r="S56" s="1081"/>
      <c r="T56" s="1081"/>
      <c r="U56" s="1081"/>
      <c r="V56" s="1081"/>
      <c r="W56" s="1081"/>
      <c r="X56" s="1081"/>
      <c r="Y56" s="1081"/>
      <c r="Z56" s="1081"/>
      <c r="AA56" s="1081"/>
      <c r="AB56" s="1081"/>
      <c r="AC56" s="1081"/>
    </row>
    <row r="57" spans="1:29" ht="21">
      <c r="A57" s="1098" t="s">
        <v>990</v>
      </c>
      <c r="B57" s="1081"/>
      <c r="C57" s="1099"/>
      <c r="D57" s="1099"/>
      <c r="E57" s="1099"/>
      <c r="F57" s="1100"/>
      <c r="G57" s="1100"/>
      <c r="H57" s="1099"/>
      <c r="I57" s="1099"/>
      <c r="J57" s="1099"/>
      <c r="K57" s="1286"/>
      <c r="L57" s="1159"/>
      <c r="M57" s="1157"/>
      <c r="N57" s="1157"/>
      <c r="O57" s="1157"/>
      <c r="P57" s="1421"/>
      <c r="Q57" s="1427"/>
      <c r="R57" s="1081"/>
      <c r="S57" s="1081"/>
      <c r="T57" s="1081"/>
      <c r="U57" s="1081"/>
      <c r="V57" s="1081"/>
      <c r="W57" s="1081"/>
      <c r="X57" s="1081"/>
      <c r="Y57" s="1081"/>
      <c r="Z57" s="1081"/>
      <c r="AA57" s="1081"/>
      <c r="AB57" s="1081"/>
      <c r="AC57" s="1081"/>
    </row>
    <row r="58" spans="1:29" s="879" customFormat="1" ht="15">
      <c r="A58" s="1274" t="s">
        <v>938</v>
      </c>
      <c r="B58" s="1275"/>
      <c r="C58" s="1276" t="str">
        <f>YEAR(C7)&amp;"-"&amp;MONTH(C7)</f>
        <v>2021-7</v>
      </c>
      <c r="D58" s="1277">
        <f>EDATE(C58,-1)</f>
        <v>44348</v>
      </c>
      <c r="E58" s="1277">
        <f t="shared" ref="E58:O58" si="16">EDATE(D58,-1)</f>
        <v>44317</v>
      </c>
      <c r="F58" s="1277">
        <f t="shared" si="16"/>
        <v>44287</v>
      </c>
      <c r="G58" s="1277">
        <f t="shared" si="16"/>
        <v>44256</v>
      </c>
      <c r="H58" s="1277">
        <f t="shared" si="16"/>
        <v>44228</v>
      </c>
      <c r="I58" s="1277">
        <f t="shared" si="16"/>
        <v>44197</v>
      </c>
      <c r="J58" s="1277">
        <f t="shared" si="16"/>
        <v>44166</v>
      </c>
      <c r="K58" s="1277">
        <f t="shared" si="16"/>
        <v>44136</v>
      </c>
      <c r="L58" s="1277">
        <f t="shared" si="16"/>
        <v>44105</v>
      </c>
      <c r="M58" s="1277">
        <f t="shared" si="16"/>
        <v>44075</v>
      </c>
      <c r="N58" s="1277">
        <f t="shared" si="16"/>
        <v>44044</v>
      </c>
      <c r="O58" s="1277">
        <f t="shared" si="16"/>
        <v>44013</v>
      </c>
      <c r="P58" s="1422"/>
    </row>
    <row r="59" spans="1:29" s="874" customFormat="1" ht="15">
      <c r="A59" s="1278"/>
      <c r="B59" s="1112"/>
      <c r="C59" s="1279">
        <v>100</v>
      </c>
      <c r="D59" s="1116"/>
      <c r="E59" s="1116"/>
      <c r="F59" s="1116"/>
      <c r="G59" s="1116"/>
      <c r="H59" s="1116"/>
      <c r="I59" s="1116"/>
      <c r="J59" s="1116"/>
      <c r="K59" s="1116"/>
      <c r="L59" s="1116"/>
      <c r="M59" s="1288"/>
      <c r="N59" s="1116"/>
      <c r="O59" s="1288"/>
      <c r="P59" s="1423"/>
    </row>
    <row r="60" spans="1:29" s="874" customFormat="1" ht="15">
      <c r="A60" s="1107" t="s">
        <v>992</v>
      </c>
      <c r="B60" s="1108"/>
      <c r="C60" s="1109"/>
      <c r="D60" s="1110"/>
      <c r="E60" s="1110"/>
      <c r="F60" s="1110"/>
      <c r="G60" s="1110"/>
      <c r="H60" s="1110"/>
      <c r="I60" s="1110"/>
      <c r="J60" s="1110"/>
      <c r="K60" s="1110"/>
      <c r="L60" s="1110"/>
      <c r="M60" s="1165"/>
      <c r="N60" s="1110"/>
      <c r="O60" s="1165"/>
      <c r="P60" s="1423"/>
      <c r="Q60" s="1164"/>
    </row>
    <row r="61" spans="1:29" s="874" customFormat="1" ht="15">
      <c r="A61" s="1111" t="s">
        <v>941</v>
      </c>
      <c r="B61" s="1112"/>
      <c r="C61" s="1113" t="s">
        <v>942</v>
      </c>
      <c r="D61" s="1114"/>
      <c r="E61" s="1114"/>
      <c r="F61" s="1114"/>
      <c r="G61" s="1114"/>
      <c r="H61" s="1114"/>
      <c r="I61" s="1114"/>
      <c r="J61" s="1114"/>
      <c r="K61" s="1114"/>
      <c r="L61" s="1167"/>
      <c r="M61" s="1168"/>
      <c r="N61" s="1169"/>
      <c r="O61" s="1169"/>
      <c r="P61" s="1424"/>
      <c r="Q61" s="1164"/>
    </row>
    <row r="62" spans="1:29" s="874" customFormat="1" ht="15">
      <c r="A62" s="1111"/>
      <c r="B62" s="1112"/>
      <c r="C62" s="1391">
        <v>100</v>
      </c>
      <c r="D62" s="1116"/>
      <c r="E62" s="1116"/>
      <c r="F62" s="1116"/>
      <c r="G62" s="1116"/>
      <c r="H62" s="1116"/>
      <c r="I62" s="1116"/>
      <c r="J62" s="1116"/>
      <c r="K62" s="1116"/>
      <c r="L62" s="1116"/>
      <c r="M62" s="1171"/>
      <c r="N62" s="1169"/>
      <c r="O62" s="1169"/>
      <c r="P62" s="1423"/>
      <c r="Q62" s="1164"/>
    </row>
    <row r="63" spans="1:29">
      <c r="A63" s="1117" t="s">
        <v>993</v>
      </c>
      <c r="B63" s="1118" t="s">
        <v>349</v>
      </c>
      <c r="C63" s="1140">
        <f>C9</f>
        <v>0</v>
      </c>
      <c r="D63" s="1051"/>
      <c r="E63" s="1051"/>
      <c r="F63" s="1051"/>
      <c r="G63" s="1051"/>
      <c r="H63" s="1051"/>
      <c r="I63" s="1051"/>
      <c r="J63" s="1051"/>
      <c r="K63" s="1172"/>
      <c r="L63" s="1173"/>
      <c r="M63" s="1174"/>
      <c r="N63" s="1175"/>
      <c r="O63" s="1175"/>
      <c r="P63" s="1425"/>
      <c r="Q63" s="1164"/>
    </row>
    <row r="64" spans="1:29" ht="15">
      <c r="A64" s="1119"/>
      <c r="B64" s="1120"/>
      <c r="C64" s="1121">
        <v>100</v>
      </c>
      <c r="D64" s="1121"/>
      <c r="E64" s="1121"/>
      <c r="F64" s="1121"/>
      <c r="G64" s="1121"/>
      <c r="H64" s="1121"/>
      <c r="I64" s="1121"/>
      <c r="J64" s="1121"/>
      <c r="K64" s="1121"/>
      <c r="L64" s="1121"/>
      <c r="M64" s="1177"/>
      <c r="N64" s="1178"/>
      <c r="O64" s="1178"/>
      <c r="P64" s="1425"/>
      <c r="Q64" s="1164"/>
    </row>
    <row r="65" spans="1:17" ht="27">
      <c r="A65" s="1119"/>
      <c r="B65" s="1122" t="s">
        <v>947</v>
      </c>
      <c r="C65" s="1123" t="s">
        <v>1456</v>
      </c>
      <c r="D65" s="1123" t="s">
        <v>1457</v>
      </c>
      <c r="E65" s="1123" t="s">
        <v>1458</v>
      </c>
      <c r="F65" s="1123" t="s">
        <v>1459</v>
      </c>
      <c r="G65" s="1123" t="s">
        <v>1460</v>
      </c>
      <c r="H65" s="1123" t="s">
        <v>1461</v>
      </c>
      <c r="I65" s="1123" t="s">
        <v>1462</v>
      </c>
      <c r="J65" s="1123"/>
      <c r="K65" s="1179"/>
      <c r="L65" s="1180"/>
      <c r="M65" s="1181"/>
      <c r="N65" s="1175"/>
      <c r="O65" s="1175"/>
      <c r="P65" s="1425"/>
      <c r="Q65" s="1164"/>
    </row>
    <row r="66" spans="1:17" ht="15">
      <c r="A66" s="1119"/>
      <c r="B66" s="1124"/>
      <c r="C66" s="1125" t="s">
        <v>989</v>
      </c>
      <c r="D66" s="1125" t="s">
        <v>989</v>
      </c>
      <c r="E66" s="1125" t="s">
        <v>989</v>
      </c>
      <c r="F66" s="1125">
        <v>100</v>
      </c>
      <c r="G66" s="1125">
        <f>F66-$K10</f>
        <v>100</v>
      </c>
      <c r="H66" s="1125">
        <f>G66-$K10</f>
        <v>100</v>
      </c>
      <c r="I66" s="1125">
        <f>H66-$K10</f>
        <v>100</v>
      </c>
      <c r="J66" s="1125"/>
      <c r="K66" s="1125"/>
      <c r="L66" s="1125"/>
      <c r="M66" s="1182"/>
      <c r="N66" s="1178"/>
      <c r="O66" s="1178"/>
      <c r="P66" s="1425"/>
      <c r="Q66" s="1164"/>
    </row>
    <row r="67" spans="1:17" ht="15">
      <c r="A67" s="1119"/>
      <c r="B67" s="1126" t="s">
        <v>948</v>
      </c>
      <c r="C67" s="1127" t="str">
        <f>C68&amp;"（含）"&amp;"-"&amp;D68</f>
        <v>（含）-</v>
      </c>
      <c r="D67" s="1127" t="str">
        <f t="shared" ref="D67:L67" si="17">D68&amp;"（含）"&amp;"-"&amp;E68</f>
        <v>（含）-</v>
      </c>
      <c r="E67" s="1127" t="str">
        <f t="shared" si="17"/>
        <v>（含）-</v>
      </c>
      <c r="F67" s="1127" t="str">
        <f t="shared" si="17"/>
        <v>（含）-</v>
      </c>
      <c r="G67" s="1127" t="str">
        <f t="shared" si="17"/>
        <v>（含）-</v>
      </c>
      <c r="H67" s="1127" t="str">
        <f t="shared" si="17"/>
        <v>（含）-</v>
      </c>
      <c r="I67" s="1127" t="str">
        <f t="shared" si="17"/>
        <v>（含）-</v>
      </c>
      <c r="J67" s="1127" t="str">
        <f t="shared" si="17"/>
        <v>（含）-</v>
      </c>
      <c r="K67" s="1127" t="str">
        <f t="shared" si="17"/>
        <v>（含）-</v>
      </c>
      <c r="L67" s="1127" t="str">
        <f t="shared" si="17"/>
        <v>（含）-</v>
      </c>
      <c r="M67" s="939" t="str">
        <f>M68&amp;"（含）"&amp;"-"&amp;P68</f>
        <v>（含）-</v>
      </c>
      <c r="N67" s="1178"/>
      <c r="O67" s="1178"/>
      <c r="P67" s="1425"/>
      <c r="Q67" s="1164"/>
    </row>
    <row r="68" spans="1:17" ht="15">
      <c r="A68" s="1119"/>
      <c r="B68" s="1128"/>
      <c r="C68" s="926"/>
      <c r="D68" s="926"/>
      <c r="E68" s="926"/>
      <c r="F68" s="926"/>
      <c r="G68" s="926"/>
      <c r="H68" s="926"/>
      <c r="I68" s="926"/>
      <c r="J68" s="926"/>
      <c r="K68" s="1183"/>
      <c r="L68" s="1184"/>
      <c r="M68" s="1185"/>
      <c r="N68" s="1175"/>
      <c r="O68" s="1175"/>
      <c r="P68" s="1425"/>
      <c r="Q68" s="1164"/>
    </row>
    <row r="69" spans="1:17" ht="15">
      <c r="A69" s="1119"/>
      <c r="B69" s="1120"/>
      <c r="C69" s="1125">
        <v>100</v>
      </c>
      <c r="D69" s="1125">
        <f t="shared" ref="D69:M69" si="18">C69-$K11</f>
        <v>100</v>
      </c>
      <c r="E69" s="1125">
        <f t="shared" si="18"/>
        <v>100</v>
      </c>
      <c r="F69" s="1125">
        <f t="shared" si="18"/>
        <v>100</v>
      </c>
      <c r="G69" s="1125">
        <f t="shared" si="18"/>
        <v>100</v>
      </c>
      <c r="H69" s="1125">
        <f t="shared" si="18"/>
        <v>100</v>
      </c>
      <c r="I69" s="1125">
        <f t="shared" si="18"/>
        <v>100</v>
      </c>
      <c r="J69" s="1125">
        <f t="shared" si="18"/>
        <v>100</v>
      </c>
      <c r="K69" s="1125">
        <f t="shared" si="18"/>
        <v>100</v>
      </c>
      <c r="L69" s="1125">
        <f t="shared" si="18"/>
        <v>100</v>
      </c>
      <c r="M69" s="1182">
        <f t="shared" si="18"/>
        <v>100</v>
      </c>
      <c r="N69" s="1178"/>
      <c r="O69" s="1178"/>
      <c r="P69" s="1425"/>
      <c r="Q69" s="1164"/>
    </row>
    <row r="70" spans="1:17" s="876" customFormat="1" ht="15">
      <c r="A70" s="1129"/>
      <c r="B70" s="1122">
        <f>B12</f>
        <v>111</v>
      </c>
      <c r="C70" s="1130"/>
      <c r="D70" s="1130"/>
      <c r="E70" s="1130"/>
      <c r="F70" s="1130"/>
      <c r="G70" s="1130"/>
      <c r="H70" s="1131"/>
      <c r="I70" s="1131"/>
      <c r="J70" s="1131"/>
      <c r="K70" s="1131"/>
      <c r="L70" s="1186"/>
      <c r="M70" s="1187"/>
      <c r="N70" s="1188"/>
      <c r="O70" s="1188"/>
      <c r="P70" s="1431"/>
      <c r="Q70" s="1217"/>
    </row>
    <row r="71" spans="1:17" s="876" customFormat="1" ht="15">
      <c r="A71" s="1129"/>
      <c r="B71" s="1124"/>
      <c r="C71" s="1132"/>
      <c r="D71" s="1121"/>
      <c r="E71" s="1121"/>
      <c r="F71" s="1121"/>
      <c r="G71" s="1121"/>
      <c r="H71" s="1121"/>
      <c r="I71" s="1121"/>
      <c r="J71" s="1121"/>
      <c r="K71" s="1121"/>
      <c r="L71" s="1121"/>
      <c r="M71" s="1177"/>
      <c r="N71" s="1178"/>
      <c r="O71" s="1178"/>
      <c r="P71" s="1431"/>
      <c r="Q71" s="1217"/>
    </row>
    <row r="72" spans="1:17" s="876" customFormat="1" ht="15">
      <c r="A72" s="1129"/>
      <c r="B72" s="1122">
        <f>B13</f>
        <v>111</v>
      </c>
      <c r="C72" s="1130"/>
      <c r="D72" s="1130"/>
      <c r="E72" s="1130"/>
      <c r="F72" s="1130"/>
      <c r="G72" s="1130"/>
      <c r="H72" s="1131"/>
      <c r="I72" s="1131"/>
      <c r="J72" s="1131"/>
      <c r="K72" s="1131"/>
      <c r="L72" s="1186"/>
      <c r="M72" s="1187"/>
      <c r="N72" s="1188"/>
      <c r="O72" s="1188"/>
      <c r="P72" s="1432"/>
      <c r="Q72" s="1218"/>
    </row>
    <row r="73" spans="1:17" s="876" customFormat="1" ht="15">
      <c r="A73" s="1129"/>
      <c r="B73" s="1124"/>
      <c r="C73" s="1132"/>
      <c r="D73" s="1121"/>
      <c r="E73" s="1121"/>
      <c r="F73" s="1121"/>
      <c r="G73" s="1132"/>
      <c r="H73" s="1133"/>
      <c r="I73" s="1133"/>
      <c r="J73" s="1133"/>
      <c r="K73" s="1133"/>
      <c r="L73" s="1133"/>
      <c r="M73" s="1191"/>
      <c r="N73" s="1188"/>
      <c r="O73" s="1188"/>
      <c r="P73" s="1431"/>
      <c r="Q73" s="1217"/>
    </row>
    <row r="74" spans="1:17" s="876" customFormat="1" ht="15">
      <c r="A74" s="1129"/>
      <c r="B74" s="1126">
        <f>B14</f>
        <v>111</v>
      </c>
      <c r="C74" s="1130"/>
      <c r="D74" s="1130"/>
      <c r="E74" s="1130"/>
      <c r="F74" s="1130"/>
      <c r="G74" s="1114"/>
      <c r="H74" s="1134"/>
      <c r="I74" s="1134"/>
      <c r="J74" s="1134"/>
      <c r="K74" s="1134"/>
      <c r="L74" s="1192"/>
      <c r="M74" s="1193"/>
      <c r="N74" s="1188"/>
      <c r="O74" s="1188"/>
      <c r="P74" s="1433"/>
      <c r="Q74" s="1217"/>
    </row>
    <row r="75" spans="1:17" s="876" customFormat="1" ht="15">
      <c r="A75" s="1135"/>
      <c r="B75" s="1136"/>
      <c r="C75" s="1137"/>
      <c r="D75" s="1137"/>
      <c r="E75" s="1137"/>
      <c r="F75" s="1137"/>
      <c r="G75" s="1137"/>
      <c r="H75" s="1138"/>
      <c r="I75" s="1138"/>
      <c r="J75" s="1138"/>
      <c r="K75" s="1138"/>
      <c r="L75" s="1138"/>
      <c r="M75" s="1195"/>
      <c r="N75" s="1188"/>
      <c r="O75" s="1188"/>
      <c r="P75" s="1431"/>
      <c r="Q75" s="1217"/>
    </row>
    <row r="76" spans="1:17">
      <c r="A76" s="1117" t="s">
        <v>949</v>
      </c>
      <c r="B76" s="1118" t="s">
        <v>657</v>
      </c>
      <c r="C76" s="1139" t="s">
        <v>994</v>
      </c>
      <c r="D76" s="1139" t="s">
        <v>995</v>
      </c>
      <c r="E76" s="1139" t="s">
        <v>996</v>
      </c>
      <c r="F76" s="1139" t="s">
        <v>997</v>
      </c>
      <c r="G76" s="1139" t="s">
        <v>998</v>
      </c>
      <c r="H76" s="1140"/>
      <c r="I76" s="1140"/>
      <c r="J76" s="1140"/>
      <c r="K76" s="1196"/>
      <c r="L76" s="1197"/>
      <c r="M76" s="1198"/>
      <c r="N76" s="1175"/>
      <c r="O76" s="1175"/>
      <c r="P76" s="1434"/>
      <c r="Q76" s="1164"/>
    </row>
    <row r="77" spans="1:17" ht="15">
      <c r="A77" s="1119"/>
      <c r="B77" s="1124"/>
      <c r="C77" s="1125">
        <v>100</v>
      </c>
      <c r="D77" s="1125">
        <f>C77-$K15</f>
        <v>100</v>
      </c>
      <c r="E77" s="1125">
        <f>D77-$K15</f>
        <v>100</v>
      </c>
      <c r="F77" s="1125">
        <f>E77-$K15</f>
        <v>100</v>
      </c>
      <c r="G77" s="1125">
        <f>F77-$K15</f>
        <v>100</v>
      </c>
      <c r="H77" s="1125"/>
      <c r="I77" s="1125"/>
      <c r="J77" s="1125"/>
      <c r="K77" s="1125"/>
      <c r="L77" s="1125"/>
      <c r="M77" s="1182"/>
      <c r="N77" s="1178"/>
      <c r="O77" s="1178"/>
      <c r="P77" s="1425"/>
      <c r="Q77" s="1164"/>
    </row>
    <row r="78" spans="1:17" ht="15">
      <c r="A78" s="1119"/>
      <c r="B78" s="1122" t="s">
        <v>663</v>
      </c>
      <c r="C78" s="1141" t="s">
        <v>994</v>
      </c>
      <c r="D78" s="1141" t="s">
        <v>995</v>
      </c>
      <c r="E78" s="1141" t="s">
        <v>996</v>
      </c>
      <c r="F78" s="1141" t="s">
        <v>997</v>
      </c>
      <c r="G78" s="1141" t="s">
        <v>998</v>
      </c>
      <c r="H78" s="1123"/>
      <c r="I78" s="1123"/>
      <c r="J78" s="1123"/>
      <c r="K78" s="1179"/>
      <c r="L78" s="1180"/>
      <c r="M78" s="1181"/>
      <c r="N78" s="1175"/>
      <c r="O78" s="1175"/>
      <c r="P78" s="1425"/>
      <c r="Q78" s="1164"/>
    </row>
    <row r="79" spans="1:17" ht="15">
      <c r="A79" s="1119"/>
      <c r="B79" s="1124"/>
      <c r="C79" s="1125">
        <v>100</v>
      </c>
      <c r="D79" s="1125">
        <f>C79-$K17</f>
        <v>100</v>
      </c>
      <c r="E79" s="1125">
        <f>D79-$K17</f>
        <v>100</v>
      </c>
      <c r="F79" s="1125">
        <f>E79-$K17</f>
        <v>100</v>
      </c>
      <c r="G79" s="1125">
        <f>F79-$K17</f>
        <v>100</v>
      </c>
      <c r="H79" s="1125"/>
      <c r="I79" s="1125"/>
      <c r="J79" s="1125"/>
      <c r="K79" s="1125"/>
      <c r="L79" s="1125"/>
      <c r="M79" s="1182"/>
      <c r="N79" s="1178"/>
      <c r="O79" s="1178"/>
      <c r="P79" s="1425"/>
      <c r="Q79" s="1164"/>
    </row>
    <row r="80" spans="1:17" ht="15">
      <c r="A80" s="1119"/>
      <c r="B80" s="1122" t="s">
        <v>667</v>
      </c>
      <c r="C80" s="1141" t="s">
        <v>994</v>
      </c>
      <c r="D80" s="1141" t="s">
        <v>995</v>
      </c>
      <c r="E80" s="1141" t="s">
        <v>996</v>
      </c>
      <c r="F80" s="1141" t="s">
        <v>997</v>
      </c>
      <c r="G80" s="1141" t="s">
        <v>998</v>
      </c>
      <c r="H80" s="1123"/>
      <c r="I80" s="1123"/>
      <c r="J80" s="1123"/>
      <c r="K80" s="1179"/>
      <c r="L80" s="1180"/>
      <c r="M80" s="1181"/>
      <c r="N80" s="1175"/>
      <c r="O80" s="1175"/>
      <c r="P80" s="1425"/>
      <c r="Q80" s="1164"/>
    </row>
    <row r="81" spans="1:17" ht="15">
      <c r="A81" s="1119"/>
      <c r="B81" s="1124"/>
      <c r="C81" s="1125">
        <v>100</v>
      </c>
      <c r="D81" s="1125">
        <f>C81-$K19</f>
        <v>100</v>
      </c>
      <c r="E81" s="1125">
        <f>D81-$K19</f>
        <v>100</v>
      </c>
      <c r="F81" s="1125">
        <f>E81-$K19</f>
        <v>100</v>
      </c>
      <c r="G81" s="1125">
        <f>F81-$K19</f>
        <v>100</v>
      </c>
      <c r="H81" s="1125"/>
      <c r="I81" s="1125"/>
      <c r="J81" s="1125"/>
      <c r="K81" s="1125"/>
      <c r="L81" s="1125"/>
      <c r="M81" s="1182"/>
      <c r="N81" s="1178"/>
      <c r="O81" s="1178"/>
      <c r="P81" s="1425"/>
      <c r="Q81" s="1164"/>
    </row>
    <row r="82" spans="1:17" ht="15">
      <c r="A82" s="1119"/>
      <c r="B82" s="1126" t="s">
        <v>669</v>
      </c>
      <c r="C82" s="1146" t="s">
        <v>999</v>
      </c>
      <c r="D82" s="1146" t="s">
        <v>1000</v>
      </c>
      <c r="E82" s="1146" t="s">
        <v>1001</v>
      </c>
      <c r="F82" s="1146" t="s">
        <v>1002</v>
      </c>
      <c r="G82" s="1146" t="s">
        <v>1003</v>
      </c>
      <c r="H82" s="1123"/>
      <c r="I82" s="1123"/>
      <c r="J82" s="1123"/>
      <c r="K82" s="1123"/>
      <c r="L82" s="1123"/>
      <c r="M82" s="1294"/>
      <c r="N82" s="1178"/>
      <c r="O82" s="1178"/>
      <c r="P82" s="1425"/>
      <c r="Q82" s="1164"/>
    </row>
    <row r="83" spans="1:17" ht="15">
      <c r="A83" s="1119"/>
      <c r="B83" s="1126"/>
      <c r="C83" s="1125">
        <v>100</v>
      </c>
      <c r="D83" s="1125">
        <f>C83-$K21</f>
        <v>100</v>
      </c>
      <c r="E83" s="1125">
        <f t="shared" ref="E83:G83" si="19">D83-$K21</f>
        <v>100</v>
      </c>
      <c r="F83" s="1125">
        <f t="shared" si="19"/>
        <v>100</v>
      </c>
      <c r="G83" s="1125">
        <f t="shared" si="19"/>
        <v>100</v>
      </c>
      <c r="H83" s="1146"/>
      <c r="I83" s="1146"/>
      <c r="J83" s="1146"/>
      <c r="K83" s="1146"/>
      <c r="L83" s="1146"/>
      <c r="M83" s="941"/>
      <c r="N83" s="1178"/>
      <c r="O83" s="1178"/>
      <c r="P83" s="1425"/>
      <c r="Q83" s="1164"/>
    </row>
    <row r="84" spans="1:17" ht="15">
      <c r="A84" s="1119"/>
      <c r="B84" s="1122" t="s">
        <v>673</v>
      </c>
      <c r="C84" s="1141" t="s">
        <v>994</v>
      </c>
      <c r="D84" s="1141" t="s">
        <v>995</v>
      </c>
      <c r="E84" s="1141" t="s">
        <v>996</v>
      </c>
      <c r="F84" s="1141" t="s">
        <v>997</v>
      </c>
      <c r="G84" s="1141" t="s">
        <v>998</v>
      </c>
      <c r="H84" s="1123"/>
      <c r="I84" s="1123"/>
      <c r="J84" s="1123"/>
      <c r="K84" s="1179"/>
      <c r="L84" s="1180"/>
      <c r="M84" s="1181"/>
      <c r="N84" s="1175"/>
      <c r="O84" s="1175"/>
      <c r="P84" s="1425"/>
      <c r="Q84" s="1164"/>
    </row>
    <row r="85" spans="1:17" ht="15">
      <c r="A85" s="1119"/>
      <c r="B85" s="1124"/>
      <c r="C85" s="1125">
        <v>100</v>
      </c>
      <c r="D85" s="1125">
        <f>C85-$K23</f>
        <v>100</v>
      </c>
      <c r="E85" s="1125">
        <f>D85-$K23</f>
        <v>100</v>
      </c>
      <c r="F85" s="1125">
        <f>E85-$K23</f>
        <v>100</v>
      </c>
      <c r="G85" s="1125">
        <f>F85-$K23</f>
        <v>100</v>
      </c>
      <c r="H85" s="1125"/>
      <c r="I85" s="1125"/>
      <c r="J85" s="1125"/>
      <c r="K85" s="1125"/>
      <c r="L85" s="1125"/>
      <c r="M85" s="1182"/>
      <c r="N85" s="1178"/>
      <c r="O85" s="1178"/>
      <c r="P85" s="1425"/>
      <c r="Q85" s="1164"/>
    </row>
    <row r="86" spans="1:17" s="874" customFormat="1" ht="15">
      <c r="A86" s="1142"/>
      <c r="B86" s="1122" t="s">
        <v>679</v>
      </c>
      <c r="C86" s="1130"/>
      <c r="D86" s="1130"/>
      <c r="E86" s="1130"/>
      <c r="F86" s="1130"/>
      <c r="G86" s="1130"/>
      <c r="H86" s="1130"/>
      <c r="I86" s="1130"/>
      <c r="J86" s="1130"/>
      <c r="K86" s="1130"/>
      <c r="L86" s="1295"/>
      <c r="M86" s="1296"/>
      <c r="N86" s="1169"/>
      <c r="O86" s="1169"/>
      <c r="P86" s="1425"/>
      <c r="Q86" s="1164"/>
    </row>
    <row r="87" spans="1:17" s="874" customFormat="1" ht="15">
      <c r="A87" s="1142"/>
      <c r="B87" s="1124"/>
      <c r="C87" s="1143">
        <v>100</v>
      </c>
      <c r="D87" s="1125">
        <f t="shared" ref="D87:M87" si="20">C87-$K25</f>
        <v>100</v>
      </c>
      <c r="E87" s="1125">
        <f t="shared" si="20"/>
        <v>100</v>
      </c>
      <c r="F87" s="1125">
        <f t="shared" si="20"/>
        <v>100</v>
      </c>
      <c r="G87" s="1125">
        <f t="shared" si="20"/>
        <v>100</v>
      </c>
      <c r="H87" s="1125">
        <f t="shared" si="20"/>
        <v>100</v>
      </c>
      <c r="I87" s="1125">
        <f t="shared" si="20"/>
        <v>100</v>
      </c>
      <c r="J87" s="1125">
        <f t="shared" si="20"/>
        <v>100</v>
      </c>
      <c r="K87" s="1125">
        <f t="shared" si="20"/>
        <v>100</v>
      </c>
      <c r="L87" s="1125">
        <f t="shared" si="20"/>
        <v>100</v>
      </c>
      <c r="M87" s="1125">
        <f t="shared" si="20"/>
        <v>100</v>
      </c>
      <c r="N87" s="1178"/>
      <c r="O87" s="1178"/>
      <c r="P87" s="1425"/>
      <c r="Q87" s="1164"/>
    </row>
    <row r="88" spans="1:17" s="874" customFormat="1" ht="15">
      <c r="A88" s="1142"/>
      <c r="B88" s="1122" t="str">
        <f>B26</f>
        <v>平面位置/可视性</v>
      </c>
      <c r="C88" s="1130"/>
      <c r="D88" s="1130"/>
      <c r="E88" s="1130"/>
      <c r="F88" s="1403"/>
      <c r="G88" s="1130"/>
      <c r="H88" s="1130"/>
      <c r="I88" s="1130"/>
      <c r="J88" s="1130"/>
      <c r="K88" s="1130"/>
      <c r="L88" s="1130"/>
      <c r="M88" s="1296"/>
      <c r="N88" s="1169"/>
      <c r="O88" s="1169"/>
      <c r="P88" s="1425"/>
      <c r="Q88" s="1164"/>
    </row>
    <row r="89" spans="1:17" s="874" customFormat="1" ht="15">
      <c r="A89" s="1142"/>
      <c r="B89" s="1124"/>
      <c r="C89" s="1132"/>
      <c r="D89" s="1121"/>
      <c r="E89" s="1121"/>
      <c r="F89" s="1121"/>
      <c r="G89" s="1121"/>
      <c r="H89" s="1121"/>
      <c r="I89" s="1121"/>
      <c r="J89" s="1121"/>
      <c r="K89" s="1121"/>
      <c r="L89" s="1121"/>
      <c r="M89" s="1121"/>
      <c r="N89" s="1178"/>
      <c r="O89" s="1178"/>
      <c r="P89" s="1425"/>
      <c r="Q89" s="1164"/>
    </row>
    <row r="90" spans="1:17" s="876" customFormat="1" ht="15">
      <c r="A90" s="1129"/>
      <c r="B90" s="1122" t="str">
        <f>B27</f>
        <v>人流量</v>
      </c>
      <c r="C90" s="1130"/>
      <c r="D90" s="1130"/>
      <c r="E90" s="1130"/>
      <c r="F90" s="1130"/>
      <c r="G90" s="1130"/>
      <c r="H90" s="1131"/>
      <c r="I90" s="1131"/>
      <c r="J90" s="1131"/>
      <c r="K90" s="1131"/>
      <c r="L90" s="1186"/>
      <c r="M90" s="1187"/>
      <c r="N90" s="1188"/>
      <c r="O90" s="1188"/>
      <c r="P90" s="1431"/>
      <c r="Q90" s="1217"/>
    </row>
    <row r="91" spans="1:17" s="876" customFormat="1" ht="15">
      <c r="A91" s="1129"/>
      <c r="B91" s="1124"/>
      <c r="C91" s="1143">
        <v>100</v>
      </c>
      <c r="D91" s="1125">
        <f>C91-$K27</f>
        <v>100</v>
      </c>
      <c r="E91" s="1125">
        <f t="shared" ref="E91:M91" si="21">D91-$K27</f>
        <v>100</v>
      </c>
      <c r="F91" s="1125">
        <f t="shared" si="21"/>
        <v>100</v>
      </c>
      <c r="G91" s="1125">
        <f t="shared" si="21"/>
        <v>100</v>
      </c>
      <c r="H91" s="1125">
        <f t="shared" si="21"/>
        <v>100</v>
      </c>
      <c r="I91" s="1125">
        <f t="shared" si="21"/>
        <v>100</v>
      </c>
      <c r="J91" s="1125">
        <f t="shared" si="21"/>
        <v>100</v>
      </c>
      <c r="K91" s="1125">
        <f t="shared" si="21"/>
        <v>100</v>
      </c>
      <c r="L91" s="1125">
        <f t="shared" si="21"/>
        <v>100</v>
      </c>
      <c r="M91" s="1125">
        <f t="shared" si="21"/>
        <v>100</v>
      </c>
      <c r="N91" s="1188"/>
      <c r="O91" s="1188"/>
      <c r="P91" s="1431"/>
      <c r="Q91" s="1217"/>
    </row>
    <row r="92" spans="1:17" ht="15">
      <c r="A92" s="1119"/>
      <c r="B92" s="1122" t="str">
        <f>B28</f>
        <v>楼层</v>
      </c>
      <c r="C92" s="1130"/>
      <c r="D92" s="1130"/>
      <c r="E92" s="1130"/>
      <c r="F92" s="1130"/>
      <c r="G92" s="1130"/>
      <c r="H92" s="1130"/>
      <c r="I92" s="1130"/>
      <c r="J92" s="1130"/>
      <c r="K92" s="1130"/>
      <c r="L92" s="1295"/>
      <c r="M92" s="1296"/>
      <c r="N92" s="1175"/>
      <c r="O92" s="1175"/>
      <c r="P92" s="1425"/>
      <c r="Q92" s="1164"/>
    </row>
    <row r="93" spans="1:17" ht="15">
      <c r="A93" s="1119"/>
      <c r="B93" s="1124"/>
      <c r="C93" s="1121"/>
      <c r="D93" s="1121"/>
      <c r="E93" s="1121"/>
      <c r="F93" s="1121"/>
      <c r="G93" s="1121"/>
      <c r="H93" s="1121"/>
      <c r="I93" s="1121"/>
      <c r="J93" s="1121"/>
      <c r="K93" s="1121"/>
      <c r="L93" s="1121"/>
      <c r="M93" s="1177"/>
      <c r="N93" s="1178"/>
      <c r="O93" s="1178"/>
      <c r="P93" s="1425"/>
      <c r="Q93" s="1164"/>
    </row>
    <row r="94" spans="1:17" ht="15">
      <c r="A94" s="1119"/>
      <c r="B94" s="1122">
        <f>B29</f>
        <v>111</v>
      </c>
      <c r="C94" s="1130"/>
      <c r="D94" s="1130"/>
      <c r="E94" s="1130"/>
      <c r="F94" s="1130"/>
      <c r="G94" s="1147"/>
      <c r="H94" s="1147"/>
      <c r="I94" s="1147"/>
      <c r="J94" s="1147"/>
      <c r="K94" s="1206"/>
      <c r="L94" s="1207"/>
      <c r="M94" s="1208"/>
      <c r="N94" s="1175"/>
      <c r="O94" s="1175"/>
      <c r="P94" s="1425"/>
      <c r="Q94" s="1164"/>
    </row>
    <row r="95" spans="1:17" ht="15">
      <c r="A95" s="1119"/>
      <c r="B95" s="1124"/>
      <c r="C95" s="1132"/>
      <c r="D95" s="1121"/>
      <c r="E95" s="1121"/>
      <c r="F95" s="1121"/>
      <c r="G95" s="1121"/>
      <c r="H95" s="1121"/>
      <c r="I95" s="1121"/>
      <c r="J95" s="1121"/>
      <c r="K95" s="1121"/>
      <c r="L95" s="1121"/>
      <c r="M95" s="1177"/>
      <c r="N95" s="1178"/>
      <c r="O95" s="1178"/>
      <c r="P95" s="1425"/>
      <c r="Q95" s="1164"/>
    </row>
    <row r="96" spans="1:17" ht="15">
      <c r="A96" s="1119"/>
      <c r="B96" s="1122">
        <f>B30</f>
        <v>111</v>
      </c>
      <c r="C96" s="1130"/>
      <c r="D96" s="1130"/>
      <c r="E96" s="1130"/>
      <c r="F96" s="1130"/>
      <c r="G96" s="1147"/>
      <c r="H96" s="1147"/>
      <c r="I96" s="1147"/>
      <c r="J96" s="1147"/>
      <c r="K96" s="1206"/>
      <c r="L96" s="1207"/>
      <c r="M96" s="1208"/>
      <c r="N96" s="1175"/>
      <c r="O96" s="1175"/>
      <c r="P96" s="1425"/>
      <c r="Q96" s="1164"/>
    </row>
    <row r="97" spans="1:17" ht="15">
      <c r="A97" s="1119"/>
      <c r="B97" s="1124"/>
      <c r="C97" s="1132"/>
      <c r="D97" s="1121"/>
      <c r="E97" s="1121"/>
      <c r="F97" s="1121"/>
      <c r="G97" s="1121"/>
      <c r="H97" s="1121"/>
      <c r="I97" s="1121"/>
      <c r="J97" s="1121"/>
      <c r="K97" s="1121"/>
      <c r="L97" s="1121"/>
      <c r="M97" s="1177"/>
      <c r="N97" s="1178"/>
      <c r="O97" s="1178"/>
      <c r="P97" s="1425"/>
      <c r="Q97" s="1164"/>
    </row>
    <row r="98" spans="1:17" ht="15">
      <c r="A98" s="1119"/>
      <c r="B98" s="1126">
        <f>B31</f>
        <v>111</v>
      </c>
      <c r="C98" s="1130"/>
      <c r="D98" s="1130"/>
      <c r="E98" s="1130"/>
      <c r="F98" s="1130"/>
      <c r="G98" s="1148"/>
      <c r="H98" s="1148"/>
      <c r="I98" s="1148"/>
      <c r="J98" s="1148"/>
      <c r="K98" s="1209"/>
      <c r="L98" s="1210"/>
      <c r="M98" s="1211"/>
      <c r="N98" s="1175"/>
      <c r="O98" s="1175"/>
      <c r="P98" s="1425"/>
      <c r="Q98" s="1164"/>
    </row>
    <row r="99" spans="1:17" ht="15">
      <c r="A99" s="1378"/>
      <c r="B99" s="1136"/>
      <c r="C99" s="1137"/>
      <c r="D99" s="1137"/>
      <c r="E99" s="1137"/>
      <c r="F99" s="1137"/>
      <c r="G99" s="1149"/>
      <c r="H99" s="1149"/>
      <c r="I99" s="1149"/>
      <c r="J99" s="1149"/>
      <c r="K99" s="1149"/>
      <c r="L99" s="1149"/>
      <c r="M99" s="1212"/>
      <c r="N99" s="1178"/>
      <c r="O99" s="1178"/>
      <c r="P99" s="1425"/>
      <c r="Q99" s="1164"/>
    </row>
    <row r="100" spans="1:17">
      <c r="A100" s="1117" t="s">
        <v>952</v>
      </c>
      <c r="B100" s="1118" t="s">
        <v>1487</v>
      </c>
      <c r="C100" s="1051"/>
      <c r="D100" s="1051"/>
      <c r="E100" s="1051"/>
      <c r="F100" s="1051"/>
      <c r="G100" s="1051"/>
      <c r="H100" s="1051"/>
      <c r="I100" s="1051"/>
      <c r="J100" s="1051"/>
      <c r="K100" s="1172"/>
      <c r="L100" s="1173"/>
      <c r="M100" s="1174"/>
      <c r="N100" s="1175"/>
      <c r="O100" s="1175"/>
      <c r="P100" s="1425"/>
      <c r="Q100" s="1164"/>
    </row>
    <row r="101" spans="1:17" ht="15">
      <c r="A101" s="1119"/>
      <c r="B101" s="1124"/>
      <c r="C101" s="1125">
        <v>100</v>
      </c>
      <c r="D101" s="1125">
        <f t="shared" ref="D101:M101" si="22">C101-$K32</f>
        <v>100</v>
      </c>
      <c r="E101" s="1125">
        <f t="shared" si="22"/>
        <v>100</v>
      </c>
      <c r="F101" s="1125">
        <f t="shared" si="22"/>
        <v>100</v>
      </c>
      <c r="G101" s="1125">
        <f t="shared" si="22"/>
        <v>100</v>
      </c>
      <c r="H101" s="1125">
        <f t="shared" si="22"/>
        <v>100</v>
      </c>
      <c r="I101" s="1125">
        <f t="shared" si="22"/>
        <v>100</v>
      </c>
      <c r="J101" s="1125">
        <f t="shared" si="22"/>
        <v>100</v>
      </c>
      <c r="K101" s="1125">
        <f t="shared" si="22"/>
        <v>100</v>
      </c>
      <c r="L101" s="1125">
        <f t="shared" si="22"/>
        <v>100</v>
      </c>
      <c r="M101" s="1182">
        <f t="shared" si="22"/>
        <v>100</v>
      </c>
      <c r="N101" s="1178"/>
      <c r="O101" s="1178"/>
      <c r="P101" s="1425"/>
      <c r="Q101" s="1164"/>
    </row>
    <row r="102" spans="1:17" ht="15">
      <c r="A102" s="1119"/>
      <c r="B102" s="1122" t="s">
        <v>1445</v>
      </c>
      <c r="C102" s="1141" t="str">
        <f>C103&amp;"(含)"&amp;"-"&amp;D103</f>
        <v>(含)-</v>
      </c>
      <c r="D102" s="1141" t="str">
        <f t="shared" ref="D102:L102" si="23">D103&amp;"(含)"&amp;"-"&amp;E103</f>
        <v>(含)-</v>
      </c>
      <c r="E102" s="1141" t="str">
        <f t="shared" si="23"/>
        <v>(含)-</v>
      </c>
      <c r="F102" s="1141" t="str">
        <f t="shared" si="23"/>
        <v>(含)-</v>
      </c>
      <c r="G102" s="1141" t="str">
        <f t="shared" si="23"/>
        <v>(含)-</v>
      </c>
      <c r="H102" s="1141" t="str">
        <f t="shared" si="23"/>
        <v>(含)-</v>
      </c>
      <c r="I102" s="1141" t="str">
        <f t="shared" si="23"/>
        <v>(含)-</v>
      </c>
      <c r="J102" s="1141" t="str">
        <f t="shared" si="23"/>
        <v>(含)-</v>
      </c>
      <c r="K102" s="1141" t="str">
        <f t="shared" si="23"/>
        <v>(含)-</v>
      </c>
      <c r="L102" s="1141" t="str">
        <f t="shared" si="23"/>
        <v>(含)-</v>
      </c>
      <c r="M102" s="1201" t="str">
        <f>M103&amp;"(含)"&amp;"-"&amp;P103</f>
        <v>(含)-</v>
      </c>
      <c r="N102" s="1169"/>
      <c r="O102" s="1169"/>
      <c r="P102" s="1425"/>
      <c r="Q102" s="1164"/>
    </row>
    <row r="103" spans="1:17" s="876" customFormat="1">
      <c r="A103" s="1150"/>
      <c r="B103" s="1151"/>
      <c r="C103" s="1106"/>
      <c r="D103" s="1106"/>
      <c r="E103" s="1106"/>
      <c r="F103" s="1106"/>
      <c r="G103" s="1106"/>
      <c r="H103" s="1106"/>
      <c r="I103" s="1106"/>
      <c r="J103" s="1213"/>
      <c r="K103" s="1213"/>
      <c r="L103" s="1214"/>
      <c r="M103" s="1215"/>
      <c r="N103" s="1188"/>
      <c r="O103" s="1188"/>
      <c r="P103" s="1431"/>
      <c r="Q103" s="1217"/>
    </row>
    <row r="104" spans="1:17" s="876" customFormat="1" ht="15">
      <c r="A104" s="1129"/>
      <c r="B104" s="1124"/>
      <c r="C104" s="1132"/>
      <c r="D104" s="1121"/>
      <c r="E104" s="1121"/>
      <c r="F104" s="1121"/>
      <c r="G104" s="1121"/>
      <c r="H104" s="1121"/>
      <c r="I104" s="1121"/>
      <c r="J104" s="1121"/>
      <c r="K104" s="1121"/>
      <c r="L104" s="1121"/>
      <c r="M104" s="1177"/>
      <c r="N104" s="1178"/>
      <c r="O104" s="1178"/>
      <c r="P104" s="1431"/>
      <c r="Q104" s="1217"/>
    </row>
    <row r="105" spans="1:17">
      <c r="A105" s="1153"/>
      <c r="B105" s="1122" t="s">
        <v>1446</v>
      </c>
      <c r="C105" s="1130"/>
      <c r="D105" s="1130"/>
      <c r="E105" s="1147"/>
      <c r="F105" s="1147"/>
      <c r="G105" s="1147"/>
      <c r="H105" s="1147"/>
      <c r="I105" s="1147"/>
      <c r="J105" s="1147"/>
      <c r="K105" s="1206"/>
      <c r="L105" s="1207"/>
      <c r="M105" s="1208"/>
      <c r="N105" s="1175"/>
      <c r="O105" s="1175"/>
      <c r="P105" s="1425"/>
      <c r="Q105" s="1164"/>
    </row>
    <row r="106" spans="1:17" ht="15">
      <c r="A106" s="1119"/>
      <c r="B106" s="1124"/>
      <c r="C106" s="1125">
        <v>100</v>
      </c>
      <c r="D106" s="1125">
        <f t="shared" ref="D106:M106" si="24">C106-$K34</f>
        <v>100</v>
      </c>
      <c r="E106" s="1125">
        <f t="shared" si="24"/>
        <v>100</v>
      </c>
      <c r="F106" s="1125">
        <f t="shared" si="24"/>
        <v>100</v>
      </c>
      <c r="G106" s="1125">
        <f t="shared" si="24"/>
        <v>100</v>
      </c>
      <c r="H106" s="1125">
        <f t="shared" si="24"/>
        <v>100</v>
      </c>
      <c r="I106" s="1125">
        <f t="shared" si="24"/>
        <v>100</v>
      </c>
      <c r="J106" s="1125">
        <f t="shared" si="24"/>
        <v>100</v>
      </c>
      <c r="K106" s="1125">
        <f t="shared" si="24"/>
        <v>100</v>
      </c>
      <c r="L106" s="1125">
        <f t="shared" si="24"/>
        <v>100</v>
      </c>
      <c r="M106" s="1182">
        <f t="shared" si="24"/>
        <v>100</v>
      </c>
      <c r="N106" s="1178"/>
      <c r="O106" s="1178"/>
      <c r="P106" s="1425"/>
      <c r="Q106" s="1164"/>
    </row>
    <row r="107" spans="1:17">
      <c r="A107" s="1153"/>
      <c r="B107" s="1122" t="s">
        <v>1448</v>
      </c>
      <c r="C107" s="1130"/>
      <c r="D107" s="1130"/>
      <c r="E107" s="1130"/>
      <c r="F107" s="1147"/>
      <c r="G107" s="1147"/>
      <c r="H107" s="1147"/>
      <c r="I107" s="1147"/>
      <c r="J107" s="1147"/>
      <c r="K107" s="1206"/>
      <c r="L107" s="1207"/>
      <c r="M107" s="1208"/>
      <c r="N107" s="1175"/>
      <c r="O107" s="1175"/>
      <c r="P107" s="1425"/>
      <c r="Q107" s="1164"/>
    </row>
    <row r="108" spans="1:17" ht="15">
      <c r="A108" s="1119"/>
      <c r="B108" s="1124"/>
      <c r="C108" s="1125">
        <v>100</v>
      </c>
      <c r="D108" s="1125">
        <f t="shared" ref="D108:M108" si="25">C108-$K35</f>
        <v>100</v>
      </c>
      <c r="E108" s="1125">
        <f t="shared" si="25"/>
        <v>100</v>
      </c>
      <c r="F108" s="1125">
        <f t="shared" si="25"/>
        <v>100</v>
      </c>
      <c r="G108" s="1125">
        <f t="shared" si="25"/>
        <v>100</v>
      </c>
      <c r="H108" s="1125">
        <f t="shared" si="25"/>
        <v>100</v>
      </c>
      <c r="I108" s="1125">
        <f t="shared" si="25"/>
        <v>100</v>
      </c>
      <c r="J108" s="1125">
        <f t="shared" si="25"/>
        <v>100</v>
      </c>
      <c r="K108" s="1125">
        <f t="shared" si="25"/>
        <v>100</v>
      </c>
      <c r="L108" s="1125">
        <f t="shared" si="25"/>
        <v>100</v>
      </c>
      <c r="M108" s="1182">
        <f t="shared" si="25"/>
        <v>100</v>
      </c>
      <c r="N108" s="1178"/>
      <c r="O108" s="1178"/>
      <c r="P108" s="1425"/>
      <c r="Q108" s="1164"/>
    </row>
    <row r="109" spans="1:17">
      <c r="A109" s="1153"/>
      <c r="B109" s="1122" t="s">
        <v>570</v>
      </c>
      <c r="C109" s="1141" t="str">
        <f>C110&amp;"(含)"&amp;"-"&amp;D110</f>
        <v>0.5(含)-0.6</v>
      </c>
      <c r="D109" s="1141" t="str">
        <f>D110&amp;"(含)"&amp;"-"&amp;E110</f>
        <v>0.6(含)-0.7</v>
      </c>
      <c r="E109" s="1141" t="str">
        <f>E110&amp;"(含)"&amp;"-"&amp;F110</f>
        <v>0.7(含)-0.8</v>
      </c>
      <c r="F109" s="1141" t="str">
        <f>F110&amp;"(含)"&amp;"-"&amp;G110</f>
        <v>0.8(含)-0.9</v>
      </c>
      <c r="G109" s="1141" t="str">
        <f>G110&amp;"(含)"&amp;"-"&amp;ROUND(H110,0)&amp;"(含)"</f>
        <v>0.9(含)-1(含)</v>
      </c>
      <c r="H109" s="1141"/>
      <c r="I109" s="1147"/>
      <c r="J109" s="1147"/>
      <c r="K109" s="1206"/>
      <c r="L109" s="1207"/>
      <c r="M109" s="1208"/>
      <c r="N109" s="1175"/>
      <c r="O109" s="1175"/>
      <c r="P109" s="1425"/>
      <c r="Q109" s="1164"/>
    </row>
    <row r="110" spans="1:17">
      <c r="A110" s="1153"/>
      <c r="B110" s="1126"/>
      <c r="C110" s="809">
        <v>0.5</v>
      </c>
      <c r="D110" s="809">
        <v>0.6</v>
      </c>
      <c r="E110" s="809">
        <v>0.7</v>
      </c>
      <c r="F110" s="809">
        <v>0.8</v>
      </c>
      <c r="G110" s="809">
        <v>0.9</v>
      </c>
      <c r="H110" s="809">
        <v>1.0001</v>
      </c>
      <c r="I110" s="1368"/>
      <c r="J110" s="1368"/>
      <c r="K110" s="1369"/>
      <c r="L110" s="1370"/>
      <c r="M110" s="1371"/>
      <c r="N110" s="1175"/>
      <c r="O110" s="1175"/>
      <c r="P110" s="1425"/>
      <c r="Q110" s="1164"/>
    </row>
    <row r="111" spans="1:17" ht="15">
      <c r="A111" s="1119"/>
      <c r="B111" s="1124"/>
      <c r="C111" s="1143">
        <v>100</v>
      </c>
      <c r="D111" s="1125">
        <f>C111+$K36</f>
        <v>100</v>
      </c>
      <c r="E111" s="1125">
        <f t="shared" ref="E111:M111" si="26">D111+$K36</f>
        <v>100</v>
      </c>
      <c r="F111" s="1125">
        <f t="shared" si="26"/>
        <v>100</v>
      </c>
      <c r="G111" s="1125">
        <f t="shared" si="26"/>
        <v>100</v>
      </c>
      <c r="H111" s="1125">
        <f t="shared" si="26"/>
        <v>100</v>
      </c>
      <c r="I111" s="1125">
        <f t="shared" si="26"/>
        <v>100</v>
      </c>
      <c r="J111" s="1125">
        <f t="shared" si="26"/>
        <v>100</v>
      </c>
      <c r="K111" s="1125">
        <f t="shared" si="26"/>
        <v>100</v>
      </c>
      <c r="L111" s="1125">
        <f t="shared" si="26"/>
        <v>100</v>
      </c>
      <c r="M111" s="1125">
        <f t="shared" si="26"/>
        <v>100</v>
      </c>
      <c r="N111" s="1178"/>
      <c r="O111" s="1178"/>
      <c r="P111" s="1425"/>
      <c r="Q111" s="1164"/>
    </row>
    <row r="112" spans="1:17" s="876" customFormat="1">
      <c r="A112" s="1150"/>
      <c r="B112" s="1122" t="s">
        <v>1450</v>
      </c>
      <c r="C112" s="1130"/>
      <c r="D112" s="1130"/>
      <c r="E112" s="1130"/>
      <c r="F112" s="1130"/>
      <c r="G112" s="1130"/>
      <c r="H112" s="1147"/>
      <c r="I112" s="1147"/>
      <c r="J112" s="1147"/>
      <c r="K112" s="1206"/>
      <c r="L112" s="1207"/>
      <c r="M112" s="1208"/>
      <c r="N112" s="1188"/>
      <c r="O112" s="1188"/>
      <c r="P112" s="1431"/>
      <c r="Q112" s="1217"/>
    </row>
    <row r="113" spans="1:17" s="876" customFormat="1" ht="15">
      <c r="A113" s="1129"/>
      <c r="B113" s="1124"/>
      <c r="C113" s="1125">
        <v>100</v>
      </c>
      <c r="D113" s="1125">
        <f>C113-$K37</f>
        <v>100</v>
      </c>
      <c r="E113" s="1125">
        <f t="shared" ref="E113:M113" si="27">D113-$K37</f>
        <v>100</v>
      </c>
      <c r="F113" s="1125">
        <f t="shared" si="27"/>
        <v>100</v>
      </c>
      <c r="G113" s="1125">
        <f t="shared" si="27"/>
        <v>100</v>
      </c>
      <c r="H113" s="1125">
        <f t="shared" si="27"/>
        <v>100</v>
      </c>
      <c r="I113" s="1125">
        <f t="shared" si="27"/>
        <v>100</v>
      </c>
      <c r="J113" s="1125">
        <f t="shared" si="27"/>
        <v>100</v>
      </c>
      <c r="K113" s="1125">
        <f t="shared" si="27"/>
        <v>100</v>
      </c>
      <c r="L113" s="1125">
        <f t="shared" si="27"/>
        <v>100</v>
      </c>
      <c r="M113" s="1125">
        <f t="shared" si="27"/>
        <v>100</v>
      </c>
      <c r="N113" s="1188"/>
      <c r="O113" s="1188"/>
      <c r="P113" s="1431"/>
      <c r="Q113" s="1217"/>
    </row>
    <row r="114" spans="1:17">
      <c r="A114" s="1153"/>
      <c r="B114" s="1122" t="s">
        <v>1488</v>
      </c>
      <c r="C114" s="1130"/>
      <c r="D114" s="1130"/>
      <c r="E114" s="1147"/>
      <c r="F114" s="1147"/>
      <c r="G114" s="1147"/>
      <c r="H114" s="1147"/>
      <c r="I114" s="1147"/>
      <c r="J114" s="1147"/>
      <c r="K114" s="1206"/>
      <c r="L114" s="1207"/>
      <c r="M114" s="1208"/>
      <c r="N114" s="1175"/>
      <c r="O114" s="1175"/>
      <c r="P114" s="1425"/>
      <c r="Q114" s="1164"/>
    </row>
    <row r="115" spans="1:17" ht="15">
      <c r="A115" s="1119"/>
      <c r="B115" s="1124"/>
      <c r="C115" s="1125">
        <v>100</v>
      </c>
      <c r="D115" s="1125">
        <f t="shared" ref="D115:M115" si="28">C115-$K38</f>
        <v>100</v>
      </c>
      <c r="E115" s="1125">
        <f t="shared" si="28"/>
        <v>100</v>
      </c>
      <c r="F115" s="1125">
        <f t="shared" si="28"/>
        <v>100</v>
      </c>
      <c r="G115" s="1125">
        <f t="shared" si="28"/>
        <v>100</v>
      </c>
      <c r="H115" s="1125">
        <f t="shared" si="28"/>
        <v>100</v>
      </c>
      <c r="I115" s="1125">
        <f t="shared" si="28"/>
        <v>100</v>
      </c>
      <c r="J115" s="1125">
        <f t="shared" si="28"/>
        <v>100</v>
      </c>
      <c r="K115" s="1125">
        <f t="shared" si="28"/>
        <v>100</v>
      </c>
      <c r="L115" s="1125">
        <f t="shared" si="28"/>
        <v>100</v>
      </c>
      <c r="M115" s="1182">
        <f t="shared" si="28"/>
        <v>100</v>
      </c>
      <c r="N115" s="1178"/>
      <c r="O115" s="1178"/>
      <c r="P115" s="1425"/>
      <c r="Q115" s="1164"/>
    </row>
    <row r="116" spans="1:17">
      <c r="A116" s="1153"/>
      <c r="B116" s="1122" t="s">
        <v>1489</v>
      </c>
      <c r="C116" s="1130"/>
      <c r="D116" s="1130"/>
      <c r="E116" s="1130"/>
      <c r="F116" s="1130"/>
      <c r="G116" s="1130"/>
      <c r="H116" s="1147"/>
      <c r="I116" s="1147"/>
      <c r="J116" s="1147"/>
      <c r="K116" s="1206"/>
      <c r="L116" s="1207"/>
      <c r="M116" s="1208"/>
      <c r="N116" s="1175"/>
      <c r="O116" s="1175"/>
      <c r="P116" s="1425"/>
      <c r="Q116" s="1164"/>
    </row>
    <row r="117" spans="1:17" ht="15">
      <c r="A117" s="1119"/>
      <c r="B117" s="1124"/>
      <c r="C117" s="1125">
        <v>100</v>
      </c>
      <c r="D117" s="1125">
        <f>C117-$K39</f>
        <v>100</v>
      </c>
      <c r="E117" s="1125">
        <f>D117-$K39</f>
        <v>100</v>
      </c>
      <c r="F117" s="1125">
        <f>E117-$K39</f>
        <v>100</v>
      </c>
      <c r="G117" s="1125">
        <f>F117-$K39</f>
        <v>100</v>
      </c>
      <c r="H117" s="1125"/>
      <c r="I117" s="1125"/>
      <c r="J117" s="1125"/>
      <c r="K117" s="1125"/>
      <c r="L117" s="1125"/>
      <c r="M117" s="1182"/>
      <c r="N117" s="1178"/>
      <c r="O117" s="1178"/>
      <c r="P117" s="1425"/>
      <c r="Q117" s="1164"/>
    </row>
    <row r="118" spans="1:17">
      <c r="A118" s="1153"/>
      <c r="B118" s="1122" t="s">
        <v>1490</v>
      </c>
      <c r="C118" s="1430"/>
      <c r="D118" s="1430"/>
      <c r="E118" s="1430"/>
      <c r="F118" s="1430"/>
      <c r="G118" s="1430"/>
      <c r="H118" s="1131"/>
      <c r="I118" s="1131"/>
      <c r="J118" s="1131"/>
      <c r="K118" s="1131"/>
      <c r="L118" s="1186"/>
      <c r="M118" s="1187"/>
      <c r="N118" s="1175"/>
      <c r="O118" s="1175"/>
      <c r="P118" s="1425"/>
      <c r="Q118" s="1164"/>
    </row>
    <row r="119" spans="1:17" ht="15">
      <c r="A119" s="1119"/>
      <c r="B119" s="1124"/>
      <c r="C119" s="1132"/>
      <c r="D119" s="1121"/>
      <c r="E119" s="1121"/>
      <c r="F119" s="1121"/>
      <c r="G119" s="1121"/>
      <c r="H119" s="1121"/>
      <c r="I119" s="1121"/>
      <c r="J119" s="1121"/>
      <c r="K119" s="1121"/>
      <c r="L119" s="1121"/>
      <c r="M119" s="1177"/>
      <c r="N119" s="1178"/>
      <c r="O119" s="1178"/>
      <c r="P119" s="1425"/>
      <c r="Q119" s="1164"/>
    </row>
    <row r="120" spans="1:17" s="876" customFormat="1">
      <c r="A120" s="1150"/>
      <c r="B120" s="1122" t="s">
        <v>1492</v>
      </c>
      <c r="C120" s="1147"/>
      <c r="D120" s="1147"/>
      <c r="E120" s="1147"/>
      <c r="F120" s="1147"/>
      <c r="G120" s="1131"/>
      <c r="H120" s="1131"/>
      <c r="I120" s="1131"/>
      <c r="J120" s="1131"/>
      <c r="K120" s="1131"/>
      <c r="L120" s="1186"/>
      <c r="M120" s="1187"/>
      <c r="N120" s="1188"/>
      <c r="O120" s="1188"/>
      <c r="P120" s="1431"/>
      <c r="Q120" s="1217"/>
    </row>
    <row r="121" spans="1:17" s="876" customFormat="1" ht="15">
      <c r="A121" s="1129"/>
      <c r="B121" s="1120"/>
      <c r="C121" s="1143">
        <v>100</v>
      </c>
      <c r="D121" s="1125">
        <f>C121-$K41</f>
        <v>100</v>
      </c>
      <c r="E121" s="1125">
        <f t="shared" ref="E121:M121" si="29">D121-$K41</f>
        <v>100</v>
      </c>
      <c r="F121" s="1125">
        <f t="shared" si="29"/>
        <v>100</v>
      </c>
      <c r="G121" s="1125">
        <f t="shared" si="29"/>
        <v>100</v>
      </c>
      <c r="H121" s="1125">
        <f t="shared" si="29"/>
        <v>100</v>
      </c>
      <c r="I121" s="1125">
        <f t="shared" si="29"/>
        <v>100</v>
      </c>
      <c r="J121" s="1125">
        <f t="shared" si="29"/>
        <v>100</v>
      </c>
      <c r="K121" s="1125">
        <f t="shared" si="29"/>
        <v>100</v>
      </c>
      <c r="L121" s="1125">
        <f t="shared" si="29"/>
        <v>100</v>
      </c>
      <c r="M121" s="1182">
        <f t="shared" si="29"/>
        <v>100</v>
      </c>
      <c r="N121" s="1188"/>
      <c r="O121" s="1188"/>
      <c r="P121" s="1431"/>
      <c r="Q121" s="1217"/>
    </row>
    <row r="122" spans="1:17">
      <c r="A122" s="1153"/>
      <c r="B122" s="1122" t="s">
        <v>1453</v>
      </c>
      <c r="C122" s="1130"/>
      <c r="D122" s="1130"/>
      <c r="E122" s="1130"/>
      <c r="F122" s="1147"/>
      <c r="G122" s="1147"/>
      <c r="H122" s="1147"/>
      <c r="I122" s="1147"/>
      <c r="J122" s="1147"/>
      <c r="K122" s="1206"/>
      <c r="L122" s="1207"/>
      <c r="M122" s="1208"/>
      <c r="N122" s="1175"/>
      <c r="O122" s="1175"/>
      <c r="P122" s="1425"/>
      <c r="Q122" s="1164"/>
    </row>
    <row r="123" spans="1:17" ht="15">
      <c r="A123" s="1119"/>
      <c r="B123" s="1124"/>
      <c r="C123" s="1125">
        <v>100</v>
      </c>
      <c r="D123" s="1125">
        <f t="shared" ref="D123:M123" si="30">C123-$K42</f>
        <v>100</v>
      </c>
      <c r="E123" s="1125">
        <f t="shared" si="30"/>
        <v>100</v>
      </c>
      <c r="F123" s="1125">
        <f t="shared" si="30"/>
        <v>100</v>
      </c>
      <c r="G123" s="1125">
        <f t="shared" si="30"/>
        <v>100</v>
      </c>
      <c r="H123" s="1125">
        <f t="shared" si="30"/>
        <v>100</v>
      </c>
      <c r="I123" s="1125">
        <f t="shared" si="30"/>
        <v>100</v>
      </c>
      <c r="J123" s="1125">
        <f t="shared" si="30"/>
        <v>100</v>
      </c>
      <c r="K123" s="1125">
        <f t="shared" si="30"/>
        <v>100</v>
      </c>
      <c r="L123" s="1125">
        <f t="shared" si="30"/>
        <v>100</v>
      </c>
      <c r="M123" s="1182">
        <f t="shared" si="30"/>
        <v>100</v>
      </c>
      <c r="N123" s="1178"/>
      <c r="O123" s="1178"/>
      <c r="P123" s="1425"/>
      <c r="Q123" s="1164"/>
    </row>
    <row r="124" spans="1:17">
      <c r="A124" s="1153"/>
      <c r="B124" s="1122" t="s">
        <v>1454</v>
      </c>
      <c r="C124" s="1141" t="s">
        <v>994</v>
      </c>
      <c r="D124" s="1141" t="s">
        <v>995</v>
      </c>
      <c r="E124" s="1141" t="s">
        <v>996</v>
      </c>
      <c r="F124" s="1141" t="s">
        <v>997</v>
      </c>
      <c r="G124" s="1141" t="s">
        <v>998</v>
      </c>
      <c r="H124" s="1123"/>
      <c r="I124" s="1123"/>
      <c r="J124" s="1123"/>
      <c r="K124" s="1179"/>
      <c r="L124" s="1180"/>
      <c r="M124" s="1181"/>
      <c r="N124" s="1175"/>
      <c r="O124" s="1175"/>
      <c r="P124" s="1431"/>
      <c r="Q124" s="1164"/>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82"/>
      <c r="N125" s="1178"/>
      <c r="O125" s="1178"/>
      <c r="P125" s="1425"/>
      <c r="Q125" s="1164"/>
    </row>
    <row r="126" spans="1:17" s="876" customFormat="1">
      <c r="A126" s="1150"/>
      <c r="B126" s="1122">
        <f>B44</f>
        <v>111</v>
      </c>
      <c r="C126" s="1130"/>
      <c r="D126" s="1130"/>
      <c r="E126" s="1130"/>
      <c r="F126" s="1130"/>
      <c r="G126" s="1130"/>
      <c r="H126" s="1131"/>
      <c r="I126" s="1131"/>
      <c r="J126" s="1131"/>
      <c r="K126" s="1131"/>
      <c r="L126" s="1186"/>
      <c r="M126" s="1187"/>
      <c r="N126" s="1188"/>
      <c r="O126" s="1188"/>
      <c r="P126" s="1431"/>
      <c r="Q126" s="1217"/>
    </row>
    <row r="127" spans="1:17" s="876" customFormat="1" ht="15">
      <c r="A127" s="1129"/>
      <c r="B127" s="1124"/>
      <c r="C127" s="1132"/>
      <c r="D127" s="1121"/>
      <c r="E127" s="1121"/>
      <c r="F127" s="1121"/>
      <c r="G127" s="1132"/>
      <c r="H127" s="1133"/>
      <c r="I127" s="1133"/>
      <c r="J127" s="1133"/>
      <c r="K127" s="1133"/>
      <c r="L127" s="1133"/>
      <c r="M127" s="1191"/>
      <c r="N127" s="1188"/>
      <c r="O127" s="1188"/>
      <c r="P127" s="1431"/>
      <c r="Q127" s="1217"/>
    </row>
    <row r="128" spans="1:17">
      <c r="A128" s="1153"/>
      <c r="B128" s="1122">
        <f>B45</f>
        <v>111</v>
      </c>
      <c r="C128" s="1130"/>
      <c r="D128" s="1130"/>
      <c r="E128" s="1130"/>
      <c r="F128" s="1130"/>
      <c r="G128" s="1147"/>
      <c r="H128" s="1147"/>
      <c r="I128" s="1147"/>
      <c r="J128" s="1147"/>
      <c r="K128" s="1206"/>
      <c r="L128" s="1207"/>
      <c r="M128" s="1208"/>
      <c r="N128" s="1175"/>
      <c r="O128" s="1175"/>
      <c r="P128" s="1425"/>
      <c r="Q128" s="1164"/>
    </row>
    <row r="129" spans="1:17" ht="15">
      <c r="A129" s="1119"/>
      <c r="B129" s="1124"/>
      <c r="C129" s="1132"/>
      <c r="D129" s="1121"/>
      <c r="E129" s="1121"/>
      <c r="F129" s="1121"/>
      <c r="G129" s="1121"/>
      <c r="H129" s="1121"/>
      <c r="I129" s="1121"/>
      <c r="J129" s="1121"/>
      <c r="K129" s="1121"/>
      <c r="L129" s="1121"/>
      <c r="M129" s="1177"/>
      <c r="N129" s="1178"/>
      <c r="O129" s="1178"/>
      <c r="P129" s="1425"/>
      <c r="Q129" s="1164"/>
    </row>
    <row r="130" spans="1:17">
      <c r="A130" s="1153"/>
      <c r="B130" s="1126">
        <f>B46</f>
        <v>111</v>
      </c>
      <c r="C130" s="1130"/>
      <c r="D130" s="1130"/>
      <c r="E130" s="1130"/>
      <c r="F130" s="1130"/>
      <c r="G130" s="1148"/>
      <c r="H130" s="1148"/>
      <c r="I130" s="1148"/>
      <c r="J130" s="1148"/>
      <c r="K130" s="1114"/>
      <c r="L130" s="1167"/>
      <c r="M130" s="1211"/>
      <c r="N130" s="1175"/>
      <c r="O130" s="1175"/>
      <c r="P130" s="1425"/>
      <c r="Q130" s="1164"/>
    </row>
    <row r="131" spans="1:17" ht="15">
      <c r="A131" s="1378"/>
      <c r="B131" s="1136"/>
      <c r="C131" s="1137"/>
      <c r="D131" s="1137"/>
      <c r="E131" s="1137"/>
      <c r="F131" s="1137"/>
      <c r="G131" s="1149"/>
      <c r="H131" s="1149"/>
      <c r="I131" s="1149"/>
      <c r="J131" s="1149"/>
      <c r="K131" s="1149"/>
      <c r="L131" s="1149"/>
      <c r="M131" s="1212"/>
      <c r="N131" s="1178"/>
      <c r="O131" s="1178"/>
      <c r="P131" s="1425"/>
      <c r="Q131" s="116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30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1434</v>
      </c>
      <c r="B1" s="1374" t="s">
        <v>1493</v>
      </c>
      <c r="C1" s="1223" t="s">
        <v>1436</v>
      </c>
      <c r="D1" s="1224"/>
      <c r="E1" s="1225"/>
      <c r="F1" s="1226"/>
      <c r="G1" s="1227" t="s">
        <v>924</v>
      </c>
      <c r="H1" s="1225"/>
      <c r="I1" s="1225"/>
      <c r="J1" s="1225"/>
      <c r="K1" s="1280"/>
      <c r="L1" s="1281"/>
      <c r="M1" s="1282"/>
      <c r="N1" s="1282"/>
      <c r="O1" s="1282"/>
      <c r="P1" s="1223"/>
      <c r="Q1" s="1223"/>
      <c r="R1" s="1223"/>
      <c r="S1" s="1223"/>
      <c r="T1" s="1223"/>
      <c r="U1" s="1223"/>
      <c r="V1" s="1223"/>
      <c r="W1" s="1223"/>
      <c r="X1" s="1223"/>
      <c r="Y1" s="1223"/>
      <c r="Z1" s="1223"/>
      <c r="AA1" s="1223"/>
      <c r="AB1" s="1223"/>
      <c r="AC1" s="1291"/>
    </row>
    <row r="2" spans="1:29" s="873" customFormat="1" ht="28.5" customHeight="1">
      <c r="A2" s="1228" t="s">
        <v>925</v>
      </c>
      <c r="B2" s="1229" t="e">
        <f ca="1">IF(C2="——",ROUND(C50*D3/10000,0),ROUND(C50*D3/10000,0)-D2)</f>
        <v>#DIV/0!</v>
      </c>
      <c r="C2" s="1230"/>
      <c r="D2" s="1379" t="e">
        <f ca="1">SUMIF(INDIRECT("'"&amp;F2&amp;"'"&amp;"!A:A"),"承租人权益价值",INDIRECT("'"&amp;F2&amp;"'"&amp;"!c:c"))</f>
        <v>#REF!</v>
      </c>
      <c r="E2" s="1231" t="s">
        <v>1011</v>
      </c>
      <c r="F2" s="1232"/>
      <c r="G2" s="890"/>
      <c r="H2" s="890"/>
      <c r="I2" s="890"/>
      <c r="J2" s="890"/>
      <c r="K2" s="890"/>
      <c r="L2" s="1026"/>
      <c r="M2" s="1027"/>
      <c r="N2" s="1027"/>
      <c r="O2" s="1027"/>
      <c r="P2" s="1024"/>
      <c r="Q2" s="1024"/>
      <c r="R2" s="1024"/>
      <c r="S2" s="1024"/>
      <c r="T2" s="1024"/>
      <c r="U2" s="1024"/>
      <c r="V2" s="1024"/>
      <c r="W2" s="1024"/>
      <c r="X2" s="1024"/>
      <c r="Y2" s="1024"/>
      <c r="Z2" s="1024"/>
      <c r="AA2" s="1024"/>
      <c r="AB2" s="1024"/>
      <c r="AC2" s="1082"/>
    </row>
    <row r="3" spans="1:29" s="873" customFormat="1" ht="28.5" customHeight="1">
      <c r="A3" s="147" t="s">
        <v>926</v>
      </c>
      <c r="B3" s="892" t="e">
        <f ca="1">IF(C2="——",C50,ROUND(B2*10000/D3,0))</f>
        <v>#DIV/0!</v>
      </c>
      <c r="C3" s="1233" t="s">
        <v>927</v>
      </c>
      <c r="D3" s="1234">
        <f>IF(D1="",'数据-汇总表'!E3,SUMIF('数据-汇总表'!$C19:$C33,D1,'数据-汇总表'!$E19:$E33))</f>
        <v>34364.589999999997</v>
      </c>
      <c r="E3" s="1380"/>
      <c r="F3" s="891"/>
      <c r="G3" s="890"/>
      <c r="H3" s="890"/>
      <c r="I3" s="890"/>
      <c r="J3" s="890"/>
      <c r="K3" s="1025"/>
      <c r="L3" s="1026"/>
      <c r="M3" s="1027"/>
      <c r="N3" s="1027"/>
      <c r="O3" s="1027"/>
      <c r="P3" s="1024"/>
      <c r="Q3" s="1024"/>
      <c r="R3" s="1024"/>
      <c r="S3" s="1024"/>
      <c r="T3" s="1024"/>
      <c r="U3" s="1024"/>
      <c r="V3" s="1024"/>
      <c r="W3" s="1024"/>
      <c r="X3" s="1024"/>
      <c r="Y3" s="1024"/>
      <c r="Z3" s="1024"/>
      <c r="AA3" s="1024"/>
      <c r="AB3" s="1024"/>
      <c r="AC3" s="1082"/>
    </row>
    <row r="4" spans="1:29" ht="15">
      <c r="A4" s="894" t="s">
        <v>928</v>
      </c>
      <c r="B4" s="895"/>
      <c r="C4" s="3167" t="s">
        <v>929</v>
      </c>
      <c r="D4" s="3168"/>
      <c r="E4" s="3169" t="s">
        <v>930</v>
      </c>
      <c r="F4" s="3170"/>
      <c r="G4" s="3167" t="s">
        <v>931</v>
      </c>
      <c r="H4" s="3168"/>
      <c r="I4" s="3167" t="s">
        <v>932</v>
      </c>
      <c r="J4" s="3168"/>
      <c r="K4" s="1028" t="s">
        <v>933</v>
      </c>
      <c r="L4" s="1029"/>
      <c r="M4" s="1030"/>
      <c r="N4" s="1030"/>
      <c r="O4" s="1030"/>
      <c r="P4" s="3260" t="s">
        <v>934</v>
      </c>
      <c r="Q4" s="3261"/>
      <c r="R4" s="3264" t="s">
        <v>930</v>
      </c>
      <c r="S4" s="3265"/>
      <c r="T4" s="3264" t="s">
        <v>931</v>
      </c>
      <c r="U4" s="3265"/>
      <c r="V4" s="3266" t="s">
        <v>932</v>
      </c>
      <c r="W4" s="3266"/>
      <c r="X4" s="1398"/>
      <c r="Y4" s="3264" t="s">
        <v>934</v>
      </c>
      <c r="Z4" s="3265"/>
      <c r="AA4" s="3256" t="s">
        <v>930</v>
      </c>
      <c r="AB4" s="3256" t="s">
        <v>931</v>
      </c>
      <c r="AC4" s="3257" t="s">
        <v>932</v>
      </c>
    </row>
    <row r="5" spans="1:29" ht="15">
      <c r="A5" s="896"/>
      <c r="B5" s="897"/>
      <c r="C5" s="3171" t="s">
        <v>935</v>
      </c>
      <c r="D5" s="3172"/>
      <c r="E5" s="3173" t="s">
        <v>1438</v>
      </c>
      <c r="F5" s="3174"/>
      <c r="G5" s="3171" t="s">
        <v>1439</v>
      </c>
      <c r="H5" s="3172"/>
      <c r="I5" s="3171" t="s">
        <v>1440</v>
      </c>
      <c r="J5" s="3172"/>
      <c r="K5" s="1028"/>
      <c r="L5" s="1029"/>
      <c r="M5" s="1030"/>
      <c r="N5" s="1030"/>
      <c r="O5" s="1030"/>
      <c r="P5" s="3262"/>
      <c r="Q5" s="3201"/>
      <c r="R5" s="3206"/>
      <c r="S5" s="3207"/>
      <c r="T5" s="3206"/>
      <c r="U5" s="3207"/>
      <c r="V5" s="3183"/>
      <c r="W5" s="3183"/>
      <c r="X5" s="1070"/>
      <c r="Y5" s="3206"/>
      <c r="Z5" s="3207"/>
      <c r="AA5" s="3196"/>
      <c r="AB5" s="3196"/>
      <c r="AC5" s="3258"/>
    </row>
    <row r="6" spans="1:29" ht="15">
      <c r="A6" s="898"/>
      <c r="B6" s="899"/>
      <c r="C6" s="3240" t="s">
        <v>1441</v>
      </c>
      <c r="D6" s="3241"/>
      <c r="E6" s="3242" t="s">
        <v>1441</v>
      </c>
      <c r="F6" s="3243"/>
      <c r="G6" s="3240" t="s">
        <v>1441</v>
      </c>
      <c r="H6" s="3241"/>
      <c r="I6" s="3240" t="s">
        <v>1441</v>
      </c>
      <c r="J6" s="3241"/>
      <c r="K6" s="1028" t="s">
        <v>937</v>
      </c>
      <c r="L6" s="1029"/>
      <c r="M6" s="1030"/>
      <c r="N6" s="1030"/>
      <c r="O6" s="1030"/>
      <c r="P6" s="3263"/>
      <c r="Q6" s="3203"/>
      <c r="R6" s="3206"/>
      <c r="S6" s="3207"/>
      <c r="T6" s="3208"/>
      <c r="U6" s="3209"/>
      <c r="V6" s="3183"/>
      <c r="W6" s="3183"/>
      <c r="X6" s="1070"/>
      <c r="Y6" s="3208"/>
      <c r="Z6" s="3209"/>
      <c r="AA6" s="3197"/>
      <c r="AB6" s="3197"/>
      <c r="AC6" s="3259"/>
    </row>
    <row r="7" spans="1:29" s="874" customFormat="1" ht="15">
      <c r="A7" s="900" t="s">
        <v>938</v>
      </c>
      <c r="B7" s="901"/>
      <c r="C7" s="902">
        <f>'数据-取费表'!B2</f>
        <v>44393</v>
      </c>
      <c r="D7" s="903">
        <v>100</v>
      </c>
      <c r="E7" s="904"/>
      <c r="F7" s="905">
        <f>SUMIF(59:59,YEAR(E7)&amp;"-"&amp;MONTH(E7),60:60)</f>
        <v>0</v>
      </c>
      <c r="G7" s="904"/>
      <c r="H7" s="903">
        <f>SUMIF(59:59,YEAR(G7)&amp;"-"&amp;MONTH(G7),60:60)</f>
        <v>0</v>
      </c>
      <c r="I7" s="904"/>
      <c r="J7" s="903">
        <f>SUMIF(59:59,YEAR(I7)&amp;"-"&amp;MONTH(I7),60:60)</f>
        <v>0</v>
      </c>
      <c r="K7" s="1031"/>
      <c r="L7" s="1032"/>
      <c r="M7" s="1033"/>
      <c r="N7" s="1033"/>
      <c r="O7" s="1033"/>
      <c r="P7" s="3252" t="s">
        <v>939</v>
      </c>
      <c r="Q7" s="3180"/>
      <c r="R7" s="1071" t="s">
        <v>940</v>
      </c>
      <c r="S7" s="1072">
        <f t="shared" ref="S7:S15" si="0">F7</f>
        <v>0</v>
      </c>
      <c r="T7" s="1071" t="s">
        <v>940</v>
      </c>
      <c r="U7" s="1072">
        <f t="shared" ref="U7:U15" si="1">H7</f>
        <v>0</v>
      </c>
      <c r="V7" s="1071" t="s">
        <v>940</v>
      </c>
      <c r="W7" s="1072">
        <f t="shared" ref="W7:W15" si="2">J7</f>
        <v>0</v>
      </c>
      <c r="X7" s="1073"/>
      <c r="Y7" s="3179" t="s">
        <v>939</v>
      </c>
      <c r="Z7" s="3181"/>
      <c r="AA7" s="1086" t="e">
        <f>D7/F7</f>
        <v>#DIV/0!</v>
      </c>
      <c r="AB7" s="1086" t="e">
        <f>D7/H7</f>
        <v>#DIV/0!</v>
      </c>
      <c r="AC7" s="1400" t="e">
        <f>D7/J7</f>
        <v>#DIV/0!</v>
      </c>
    </row>
    <row r="8" spans="1:29" s="874" customFormat="1" ht="15">
      <c r="A8" s="900" t="s">
        <v>941</v>
      </c>
      <c r="B8" s="901"/>
      <c r="C8" s="907" t="s">
        <v>942</v>
      </c>
      <c r="D8" s="903">
        <v>100</v>
      </c>
      <c r="E8" s="907"/>
      <c r="F8" s="905">
        <f>SUMIF(62:62,E8,63:63)-SUMIF(62:62,C8,63:63)+100</f>
        <v>0</v>
      </c>
      <c r="G8" s="907"/>
      <c r="H8" s="903">
        <f>SUMIF(62:62,G8,63:63)-SUMIF(62:62,C8,63:63)+100</f>
        <v>0</v>
      </c>
      <c r="I8" s="907"/>
      <c r="J8" s="903">
        <f>SUMIF(62:62,I8,63:63)-SUMIF(62:62,C8,63:63)+100</f>
        <v>0</v>
      </c>
      <c r="K8" s="1031"/>
      <c r="L8" s="1032"/>
      <c r="M8" s="1033"/>
      <c r="N8" s="1033"/>
      <c r="O8" s="1033"/>
      <c r="P8" s="3252" t="s">
        <v>943</v>
      </c>
      <c r="Q8" s="3181"/>
      <c r="R8" s="1071" t="s">
        <v>940</v>
      </c>
      <c r="S8" s="1072">
        <f t="shared" si="0"/>
        <v>0</v>
      </c>
      <c r="T8" s="1071" t="s">
        <v>940</v>
      </c>
      <c r="U8" s="1072">
        <f t="shared" si="1"/>
        <v>0</v>
      </c>
      <c r="V8" s="1071" t="s">
        <v>940</v>
      </c>
      <c r="W8" s="1072">
        <f t="shared" si="2"/>
        <v>0</v>
      </c>
      <c r="X8" s="1073"/>
      <c r="Y8" s="3179" t="s">
        <v>943</v>
      </c>
      <c r="Z8" s="3181"/>
      <c r="AA8" s="1086" t="e">
        <f t="shared" ref="AA8:AA47" si="3">D8/F8</f>
        <v>#DIV/0!</v>
      </c>
      <c r="AB8" s="1086" t="e">
        <f t="shared" ref="AB8:AB47" si="4">D8/H8</f>
        <v>#DIV/0!</v>
      </c>
      <c r="AC8" s="1400" t="e">
        <f t="shared" ref="AC8:AC47" si="5">D8/J8</f>
        <v>#DIV/0!</v>
      </c>
    </row>
    <row r="9" spans="1:29" s="874" customFormat="1">
      <c r="A9" s="908" t="s">
        <v>944</v>
      </c>
      <c r="B9" s="909" t="s">
        <v>349</v>
      </c>
      <c r="C9" s="1235"/>
      <c r="D9" s="911">
        <v>100</v>
      </c>
      <c r="E9" s="1236"/>
      <c r="F9" s="911">
        <f>SUMIF(64:64,E9,65:65)-SUMIF(64:64,C9,65:65)+100</f>
        <v>100</v>
      </c>
      <c r="G9" s="1309"/>
      <c r="H9" s="911">
        <f>SUMIF(64:64,G9,65:65)-SUMIF(64:64,C9,65:65)+100</f>
        <v>100</v>
      </c>
      <c r="I9" s="1309"/>
      <c r="J9" s="911">
        <f>SUMIF(64:64,I9,65:65)-SUMIF(64:64,C9,65:65)+100</f>
        <v>100</v>
      </c>
      <c r="K9" s="1031"/>
      <c r="L9" s="1032"/>
      <c r="M9" s="1033"/>
      <c r="N9" s="1033"/>
      <c r="O9" s="1033"/>
      <c r="P9" s="3190"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400">
        <f t="shared" si="5"/>
        <v>1</v>
      </c>
    </row>
    <row r="10" spans="1:29" s="875" customFormat="1" ht="27">
      <c r="A10" s="912"/>
      <c r="B10" s="913" t="s">
        <v>947</v>
      </c>
      <c r="C10" s="1238"/>
      <c r="D10" s="915">
        <v>100</v>
      </c>
      <c r="E10" s="1238"/>
      <c r="F10" s="915">
        <f>SUMIF(66:66,E10,67:67)-SUMIF(66:66,C10,67:67)+100</f>
        <v>100</v>
      </c>
      <c r="G10" s="1312"/>
      <c r="H10" s="915">
        <f>SUMIF(66:66,G10,67:67)-SUMIF(66:66,C10,67:67)+100</f>
        <v>100</v>
      </c>
      <c r="I10" s="1238"/>
      <c r="J10" s="915">
        <f>SUMIF(66:66,I10,67:67)-SUMIF(66:66,C10,67:67)+100</f>
        <v>100</v>
      </c>
      <c r="K10" s="1048"/>
      <c r="L10" s="1036"/>
      <c r="M10" s="1037"/>
      <c r="N10" s="1037"/>
      <c r="O10" s="1037"/>
      <c r="P10" s="3190"/>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400">
        <f t="shared" si="5"/>
        <v>1</v>
      </c>
    </row>
    <row r="11" spans="1:29" ht="15">
      <c r="A11" s="918"/>
      <c r="B11" s="913" t="s">
        <v>948</v>
      </c>
      <c r="C11" s="919"/>
      <c r="D11" s="915">
        <v>100</v>
      </c>
      <c r="E11" s="919"/>
      <c r="F11" s="915" t="e">
        <f>LOOKUP(E11,69:69,70:70)-LOOKUP(C11,69:69,70:70)+100</f>
        <v>#N/A</v>
      </c>
      <c r="G11" s="920"/>
      <c r="H11" s="915" t="e">
        <f>LOOKUP(G11,69:69,70:70)-LOOKUP(C11,69:69,70:70)+100</f>
        <v>#N/A</v>
      </c>
      <c r="I11" s="919"/>
      <c r="J11" s="915" t="e">
        <f>LOOKUP(I11,69:69,70:70)-LOOKUP(C11,69:69,70:70)+100</f>
        <v>#N/A</v>
      </c>
      <c r="K11" s="1048"/>
      <c r="L11" s="1040"/>
      <c r="M11" s="1030"/>
      <c r="N11" s="1030"/>
      <c r="O11" s="1030"/>
      <c r="P11" s="3190"/>
      <c r="Q11" s="1075" t="str">
        <f t="shared" si="6"/>
        <v>容积率</v>
      </c>
      <c r="R11" s="1071" t="s">
        <v>940</v>
      </c>
      <c r="S11" s="1072" t="e">
        <f t="shared" si="0"/>
        <v>#N/A</v>
      </c>
      <c r="T11" s="1071" t="s">
        <v>940</v>
      </c>
      <c r="U11" s="1072" t="e">
        <f t="shared" si="1"/>
        <v>#N/A</v>
      </c>
      <c r="V11" s="1071" t="s">
        <v>940</v>
      </c>
      <c r="W11" s="1072" t="e">
        <f t="shared" si="2"/>
        <v>#N/A</v>
      </c>
      <c r="X11" s="1073"/>
      <c r="Y11" s="3047"/>
      <c r="Z11" s="1087" t="str">
        <f t="shared" si="7"/>
        <v>容积率</v>
      </c>
      <c r="AA11" s="1086" t="e">
        <f t="shared" si="3"/>
        <v>#N/A</v>
      </c>
      <c r="AB11" s="1086" t="e">
        <f t="shared" si="4"/>
        <v>#N/A</v>
      </c>
      <c r="AC11" s="1400" t="e">
        <f t="shared" si="5"/>
        <v>#N/A</v>
      </c>
    </row>
    <row r="12" spans="1:29" s="874" customFormat="1" ht="15">
      <c r="A12" s="921"/>
      <c r="B12" s="922">
        <v>111</v>
      </c>
      <c r="C12" s="914"/>
      <c r="D12" s="923">
        <v>100</v>
      </c>
      <c r="E12" s="914"/>
      <c r="F12" s="915">
        <f>SUMIF(71:71,E12,72:72)-SUMIF(71:71,C12,72:72)+100</f>
        <v>100</v>
      </c>
      <c r="G12" s="1381"/>
      <c r="H12" s="915">
        <f>SUMIF(71:71,G12,72:72)-SUMIF(71:71,C12,72:72)+100</f>
        <v>100</v>
      </c>
      <c r="I12" s="914"/>
      <c r="J12" s="915">
        <f>SUMIF(71:71,I12,72:72)-SUMIF(71:71,C12,72:72)+100</f>
        <v>100</v>
      </c>
      <c r="K12" s="1047"/>
      <c r="L12" s="1032"/>
      <c r="M12" s="1033"/>
      <c r="N12" s="1033"/>
      <c r="O12" s="1033"/>
      <c r="P12" s="3190"/>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400">
        <f t="shared" si="5"/>
        <v>1</v>
      </c>
    </row>
    <row r="13" spans="1:29" ht="15">
      <c r="A13" s="918"/>
      <c r="B13" s="922">
        <v>111</v>
      </c>
      <c r="C13" s="924"/>
      <c r="D13" s="925">
        <v>100</v>
      </c>
      <c r="E13" s="914"/>
      <c r="F13" s="915">
        <f>SUMIF(73:73,E13,74:74)-SUMIF(73:73,C13,74:74)+100</f>
        <v>100</v>
      </c>
      <c r="G13" s="1381"/>
      <c r="H13" s="925">
        <f>SUMIF(73:73,G13,74:74)-SUMIF(73:73,C13,74:74)+100</f>
        <v>100</v>
      </c>
      <c r="I13" s="914"/>
      <c r="J13" s="925">
        <f>SUMIF(73:73,I13,74:74)-SUMIF(73:73,C13,74:74)+100</f>
        <v>100</v>
      </c>
      <c r="K13" s="1047"/>
      <c r="L13" s="1042"/>
      <c r="M13" s="1030"/>
      <c r="N13" s="1030"/>
      <c r="O13" s="1030"/>
      <c r="P13" s="3190"/>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400">
        <f t="shared" si="5"/>
        <v>1</v>
      </c>
    </row>
    <row r="14" spans="1:29" ht="15">
      <c r="A14" s="928"/>
      <c r="B14" s="929">
        <v>111</v>
      </c>
      <c r="C14" s="930"/>
      <c r="D14" s="931">
        <v>100</v>
      </c>
      <c r="E14" s="1325"/>
      <c r="F14" s="931">
        <f>SUMIF(75:75,E14,76:76)-SUMIF(75:75,C14,76:76)+100</f>
        <v>100</v>
      </c>
      <c r="G14" s="1381"/>
      <c r="H14" s="931">
        <f>SUMIF(75:75,G14,76:76)-SUMIF(75:75,C14,76:76)+100</f>
        <v>100</v>
      </c>
      <c r="I14" s="914"/>
      <c r="J14" s="931">
        <f>SUMIF(75:75,I14,76:76)-SUMIF(75:75,C14,76:76)+100</f>
        <v>100</v>
      </c>
      <c r="K14" s="1047"/>
      <c r="L14" s="1042"/>
      <c r="M14" s="1030"/>
      <c r="N14" s="1030"/>
      <c r="O14" s="1030"/>
      <c r="P14" s="3190"/>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400">
        <f t="shared" si="5"/>
        <v>1</v>
      </c>
    </row>
    <row r="15" spans="1:29" ht="71.25">
      <c r="A15" s="932" t="s">
        <v>949</v>
      </c>
      <c r="B15" s="1317" t="s">
        <v>665</v>
      </c>
      <c r="C15" s="1382" t="str">
        <f>估价对象房地状况!C5</f>
        <v>估价对象位于XX商圈，周边办公楼项目较多，入驻率高，办公集聚程度较好</v>
      </c>
      <c r="D15" s="935">
        <v>100</v>
      </c>
      <c r="E15" s="1043"/>
      <c r="F15" s="935">
        <f>SUMIF(77:77,E16,78:78)-SUMIF(77:77,C16,78:78)+100</f>
        <v>100</v>
      </c>
      <c r="G15" s="936"/>
      <c r="H15" s="935">
        <f>SUMIF(77:77,G16,78:78)-SUMIF(77:77,C16,78:78)+100</f>
        <v>100</v>
      </c>
      <c r="I15" s="936"/>
      <c r="J15" s="935">
        <f>SUMIF(77:77,I16,78:78)-SUMIF(77:77,C16,78:78)+100</f>
        <v>100</v>
      </c>
      <c r="K15" s="1283"/>
      <c r="L15" s="1042"/>
      <c r="M15" s="1030"/>
      <c r="N15" s="1030"/>
      <c r="O15" s="1030"/>
      <c r="P15" s="3245" t="s">
        <v>950</v>
      </c>
      <c r="Q15" s="657" t="str">
        <f t="shared" si="6"/>
        <v>办公集聚程度</v>
      </c>
      <c r="R15" s="1076" t="s">
        <v>940</v>
      </c>
      <c r="S15" s="1077">
        <f t="shared" si="0"/>
        <v>100</v>
      </c>
      <c r="T15" s="1076" t="s">
        <v>940</v>
      </c>
      <c r="U15" s="1077">
        <f t="shared" si="1"/>
        <v>100</v>
      </c>
      <c r="V15" s="1076" t="s">
        <v>940</v>
      </c>
      <c r="W15" s="1077">
        <f t="shared" si="2"/>
        <v>100</v>
      </c>
      <c r="X15" s="1070"/>
      <c r="Y15" s="3185" t="s">
        <v>950</v>
      </c>
      <c r="Z15" s="1069" t="str">
        <f t="shared" si="7"/>
        <v>办公集聚程度</v>
      </c>
      <c r="AA15" s="1088">
        <f t="shared" si="3"/>
        <v>1</v>
      </c>
      <c r="AB15" s="1088">
        <f t="shared" si="4"/>
        <v>1</v>
      </c>
      <c r="AC15" s="1401">
        <f t="shared" si="5"/>
        <v>1</v>
      </c>
    </row>
    <row r="16" spans="1:29" ht="15">
      <c r="A16" s="918"/>
      <c r="B16" s="1383"/>
      <c r="C16" s="955"/>
      <c r="D16" s="939"/>
      <c r="E16" s="938"/>
      <c r="F16" s="939"/>
      <c r="G16" s="955"/>
      <c r="H16" s="941"/>
      <c r="I16" s="938"/>
      <c r="J16" s="939"/>
      <c r="K16" s="1284"/>
      <c r="L16" s="1042"/>
      <c r="M16" s="1030"/>
      <c r="N16" s="1030"/>
      <c r="O16" s="1030"/>
      <c r="P16" s="3246"/>
      <c r="Q16" s="657"/>
      <c r="R16" s="1076"/>
      <c r="S16" s="1077"/>
      <c r="T16" s="1076"/>
      <c r="U16" s="1077"/>
      <c r="V16" s="1076"/>
      <c r="W16" s="1077"/>
      <c r="X16" s="1070"/>
      <c r="Y16" s="3186"/>
      <c r="Z16" s="1069"/>
      <c r="AA16" s="1088">
        <v>1</v>
      </c>
      <c r="AB16" s="1088">
        <v>1</v>
      </c>
      <c r="AC16" s="1401">
        <v>1</v>
      </c>
    </row>
    <row r="17" spans="1:29" ht="71.25">
      <c r="A17" s="918"/>
      <c r="B17" s="1319" t="s">
        <v>663</v>
      </c>
      <c r="C17" s="1384" t="str">
        <f>估价对象房地状况!C6</f>
        <v>估价对象周边道路状况、公共交通通达情况、停车便捷程度，综合评价交通便捷度较好</v>
      </c>
      <c r="D17" s="941">
        <v>100</v>
      </c>
      <c r="E17" s="952"/>
      <c r="F17" s="941">
        <f>SUMIF(79:79,E18,80:80)-SUMIF(79:79,C18,80:80)+100</f>
        <v>100</v>
      </c>
      <c r="G17" s="943"/>
      <c r="H17" s="944">
        <f>SUMIF(79:79,G18,80:80)-SUMIF(79:79,C18,80:80)+100</f>
        <v>100</v>
      </c>
      <c r="I17" s="943"/>
      <c r="J17" s="944">
        <f>SUMIF(79:79,I18,80:80)-SUMIF(79:79,C18,80:80)+100</f>
        <v>100</v>
      </c>
      <c r="K17" s="1283"/>
      <c r="L17" s="1042"/>
      <c r="M17" s="1030"/>
      <c r="N17" s="1030"/>
      <c r="O17" s="1030"/>
      <c r="P17" s="3246"/>
      <c r="Q17" s="657" t="str">
        <f>B17</f>
        <v>交通便捷度</v>
      </c>
      <c r="R17" s="1076" t="s">
        <v>940</v>
      </c>
      <c r="S17" s="1077">
        <f>F17</f>
        <v>100</v>
      </c>
      <c r="T17" s="1076" t="s">
        <v>940</v>
      </c>
      <c r="U17" s="1077">
        <f>H17</f>
        <v>100</v>
      </c>
      <c r="V17" s="1076" t="s">
        <v>940</v>
      </c>
      <c r="W17" s="1077">
        <f>J17</f>
        <v>100</v>
      </c>
      <c r="X17" s="1070"/>
      <c r="Y17" s="3186"/>
      <c r="Z17" s="1069" t="str">
        <f>Q17</f>
        <v>交通便捷度</v>
      </c>
      <c r="AA17" s="1088">
        <f t="shared" si="3"/>
        <v>1</v>
      </c>
      <c r="AB17" s="1088">
        <f t="shared" si="4"/>
        <v>1</v>
      </c>
      <c r="AC17" s="1401">
        <f t="shared" si="5"/>
        <v>1</v>
      </c>
    </row>
    <row r="18" spans="1:29" ht="15">
      <c r="A18" s="918"/>
      <c r="B18" s="1320"/>
      <c r="C18" s="1385"/>
      <c r="D18" s="941"/>
      <c r="E18" s="1044"/>
      <c r="F18" s="941"/>
      <c r="G18" s="947"/>
      <c r="H18" s="939"/>
      <c r="I18" s="947"/>
      <c r="J18" s="939"/>
      <c r="K18" s="1284"/>
      <c r="L18" s="1042"/>
      <c r="M18" s="1030"/>
      <c r="N18" s="1030"/>
      <c r="O18" s="1030"/>
      <c r="P18" s="3246"/>
      <c r="Q18" s="657"/>
      <c r="R18" s="1076"/>
      <c r="S18" s="1077"/>
      <c r="T18" s="1076"/>
      <c r="U18" s="1077"/>
      <c r="V18" s="1076"/>
      <c r="W18" s="1077"/>
      <c r="X18" s="1070"/>
      <c r="Y18" s="3186"/>
      <c r="Z18" s="1069"/>
      <c r="AA18" s="1088">
        <v>1</v>
      </c>
      <c r="AB18" s="1088">
        <v>1</v>
      </c>
      <c r="AC18" s="1401">
        <v>1</v>
      </c>
    </row>
    <row r="19" spans="1:29" ht="42.75">
      <c r="A19" s="918"/>
      <c r="B19" s="1319" t="s">
        <v>667</v>
      </c>
      <c r="C19" s="1384" t="str">
        <f>估价对象房地状况!C7</f>
        <v>估价对象所在区域公共配套设施齐备情况</v>
      </c>
      <c r="D19" s="944">
        <v>100</v>
      </c>
      <c r="E19" s="1045"/>
      <c r="F19" s="944">
        <f>SUMIF(81:81,E20,82:82)-SUMIF(81:81,C20,82:82)+100</f>
        <v>100</v>
      </c>
      <c r="G19" s="948"/>
      <c r="H19" s="941">
        <f>SUMIF(81:81,G20,82:82)-SUMIF(81:81,C20,82:82)+100</f>
        <v>100</v>
      </c>
      <c r="I19" s="948"/>
      <c r="J19" s="941">
        <f>SUMIF(81:81,I20,82:82)-SUMIF(81:81,C20,82:82)+100</f>
        <v>100</v>
      </c>
      <c r="K19" s="1283"/>
      <c r="L19" s="1042"/>
      <c r="M19" s="1030"/>
      <c r="N19" s="1030"/>
      <c r="O19" s="1030"/>
      <c r="P19" s="3246"/>
      <c r="Q19" s="657" t="str">
        <f>B19</f>
        <v>公共配套设施</v>
      </c>
      <c r="R19" s="1076" t="s">
        <v>940</v>
      </c>
      <c r="S19" s="1077">
        <f>F19</f>
        <v>100</v>
      </c>
      <c r="T19" s="1076" t="s">
        <v>940</v>
      </c>
      <c r="U19" s="1077">
        <f>H19</f>
        <v>100</v>
      </c>
      <c r="V19" s="1076" t="s">
        <v>940</v>
      </c>
      <c r="W19" s="1077">
        <f>J19</f>
        <v>100</v>
      </c>
      <c r="X19" s="1070"/>
      <c r="Y19" s="3186"/>
      <c r="Z19" s="1069" t="str">
        <f>Q19</f>
        <v>公共配套设施</v>
      </c>
      <c r="AA19" s="1088">
        <f t="shared" si="3"/>
        <v>1</v>
      </c>
      <c r="AB19" s="1088">
        <f t="shared" si="4"/>
        <v>1</v>
      </c>
      <c r="AC19" s="1401">
        <f t="shared" si="5"/>
        <v>1</v>
      </c>
    </row>
    <row r="20" spans="1:29" ht="15">
      <c r="A20" s="918"/>
      <c r="B20" s="1320"/>
      <c r="C20" s="955"/>
      <c r="D20" s="939"/>
      <c r="E20" s="954"/>
      <c r="F20" s="939"/>
      <c r="G20" s="940"/>
      <c r="H20" s="939"/>
      <c r="I20" s="940"/>
      <c r="J20" s="939"/>
      <c r="K20" s="1284"/>
      <c r="L20" s="1042"/>
      <c r="M20" s="1030"/>
      <c r="N20" s="1030"/>
      <c r="O20" s="1030"/>
      <c r="P20" s="3246"/>
      <c r="Q20" s="657"/>
      <c r="R20" s="1076"/>
      <c r="S20" s="1077"/>
      <c r="T20" s="1076"/>
      <c r="U20" s="1077"/>
      <c r="V20" s="1076"/>
      <c r="W20" s="1077"/>
      <c r="X20" s="1070"/>
      <c r="Y20" s="3186"/>
      <c r="Z20" s="1069"/>
      <c r="AA20" s="1088">
        <v>1</v>
      </c>
      <c r="AB20" s="1088">
        <v>1</v>
      </c>
      <c r="AC20" s="1401">
        <v>1</v>
      </c>
    </row>
    <row r="21" spans="1:29" ht="28.5">
      <c r="A21" s="918"/>
      <c r="B21" s="1321" t="s">
        <v>669</v>
      </c>
      <c r="C21" s="1384" t="str">
        <f>估价对象房地状况!C8</f>
        <v>估价对象所在区域基础设施水平</v>
      </c>
      <c r="D21" s="941">
        <v>100</v>
      </c>
      <c r="E21" s="1045"/>
      <c r="F21" s="944">
        <f>SUMIF(83:83,E22,84:84)-SUMIF(83:83,C22,84:84)+100</f>
        <v>100</v>
      </c>
      <c r="G21" s="948"/>
      <c r="H21" s="941">
        <f>SUMIF(83:83,G22,84:84)-SUMIF(83:83,C22,84:84)+100</f>
        <v>100</v>
      </c>
      <c r="I21" s="948"/>
      <c r="J21" s="941">
        <f>SUMIF(83:83,I22,84:84)-SUMIF(83:83,C22,84:84)+100</f>
        <v>100</v>
      </c>
      <c r="K21" s="1283"/>
      <c r="L21" s="1042"/>
      <c r="M21" s="1030"/>
      <c r="N21" s="1030"/>
      <c r="O21" s="1030"/>
      <c r="P21" s="3246"/>
      <c r="Q21" s="657" t="str">
        <f>B21</f>
        <v>基础设施水平</v>
      </c>
      <c r="R21" s="1076" t="s">
        <v>940</v>
      </c>
      <c r="S21" s="1077">
        <f>F21</f>
        <v>100</v>
      </c>
      <c r="T21" s="1076" t="s">
        <v>940</v>
      </c>
      <c r="U21" s="1077">
        <f>H21</f>
        <v>100</v>
      </c>
      <c r="V21" s="1076" t="s">
        <v>940</v>
      </c>
      <c r="W21" s="1077">
        <f>J21</f>
        <v>100</v>
      </c>
      <c r="X21" s="1070"/>
      <c r="Y21" s="3186"/>
      <c r="Z21" s="1069" t="str">
        <f>Q21</f>
        <v>基础设施水平</v>
      </c>
      <c r="AA21" s="1088">
        <f t="shared" ref="AA21" si="8">D21/F21</f>
        <v>1</v>
      </c>
      <c r="AB21" s="1088">
        <f t="shared" ref="AB21" si="9">D21/H21</f>
        <v>1</v>
      </c>
      <c r="AC21" s="1401">
        <f t="shared" ref="AC21" si="10">D21/J21</f>
        <v>1</v>
      </c>
    </row>
    <row r="22" spans="1:29" ht="15">
      <c r="A22" s="918"/>
      <c r="B22" s="1321"/>
      <c r="C22" s="1385"/>
      <c r="D22" s="939"/>
      <c r="E22" s="938"/>
      <c r="F22" s="939"/>
      <c r="G22" s="955"/>
      <c r="H22" s="939"/>
      <c r="I22" s="955"/>
      <c r="J22" s="939"/>
      <c r="K22" s="1285"/>
      <c r="L22" s="1042"/>
      <c r="M22" s="1030"/>
      <c r="N22" s="1030"/>
      <c r="O22" s="1030"/>
      <c r="P22" s="3246"/>
      <c r="Q22" s="657"/>
      <c r="R22" s="1076"/>
      <c r="S22" s="1077"/>
      <c r="T22" s="1076"/>
      <c r="U22" s="1077"/>
      <c r="V22" s="1076"/>
      <c r="W22" s="1077"/>
      <c r="X22" s="1070"/>
      <c r="Y22" s="3186"/>
      <c r="Z22" s="1069"/>
      <c r="AA22" s="1088">
        <v>1</v>
      </c>
      <c r="AB22" s="1088">
        <v>1</v>
      </c>
      <c r="AC22" s="1401">
        <v>1</v>
      </c>
    </row>
    <row r="23" spans="1:29" ht="42.75">
      <c r="A23" s="918"/>
      <c r="B23" s="1319" t="s">
        <v>1494</v>
      </c>
      <c r="C23" s="1384" t="str">
        <f>估价对象房地状况!C9</f>
        <v>区域自然环境：；人文环境；综合评价环境状况一般</v>
      </c>
      <c r="D23" s="941">
        <v>100</v>
      </c>
      <c r="E23" s="952"/>
      <c r="F23" s="941">
        <f>SUMIF(85:85,E24,86:86)-SUMIF(85:85,C24,86:86)+100</f>
        <v>100</v>
      </c>
      <c r="G23" s="943"/>
      <c r="H23" s="941">
        <f>SUMIF(85:85,G24,86:86)-SUMIF(85:85,C24,86:86)+100</f>
        <v>100</v>
      </c>
      <c r="I23" s="943"/>
      <c r="J23" s="941">
        <f>SUMIF(85:85,I24,86:86)-SUMIF(85:85,C24,86:86)+100</f>
        <v>100</v>
      </c>
      <c r="K23" s="1283"/>
      <c r="L23" s="1042"/>
      <c r="M23" s="1030"/>
      <c r="N23" s="1030"/>
      <c r="O23" s="1030"/>
      <c r="P23" s="3246"/>
      <c r="Q23" s="657" t="str">
        <f>B23</f>
        <v>环境质量</v>
      </c>
      <c r="R23" s="1076" t="s">
        <v>940</v>
      </c>
      <c r="S23" s="1077">
        <f>F23</f>
        <v>100</v>
      </c>
      <c r="T23" s="1076" t="s">
        <v>940</v>
      </c>
      <c r="U23" s="1077">
        <f>H23</f>
        <v>100</v>
      </c>
      <c r="V23" s="1076" t="s">
        <v>940</v>
      </c>
      <c r="W23" s="1077">
        <f>J23</f>
        <v>100</v>
      </c>
      <c r="X23" s="1070"/>
      <c r="Y23" s="3186"/>
      <c r="Z23" s="1069" t="str">
        <f>Q23</f>
        <v>环境质量</v>
      </c>
      <c r="AA23" s="1088">
        <f t="shared" si="3"/>
        <v>1</v>
      </c>
      <c r="AB23" s="1088">
        <f t="shared" si="4"/>
        <v>1</v>
      </c>
      <c r="AC23" s="1401">
        <f t="shared" si="5"/>
        <v>1</v>
      </c>
    </row>
    <row r="24" spans="1:29" ht="15">
      <c r="A24" s="918"/>
      <c r="B24" s="1321"/>
      <c r="C24" s="955"/>
      <c r="D24" s="939"/>
      <c r="E24" s="954"/>
      <c r="F24" s="939"/>
      <c r="G24" s="940"/>
      <c r="H24" s="939"/>
      <c r="I24" s="940"/>
      <c r="J24" s="939"/>
      <c r="K24" s="1284"/>
      <c r="L24" s="1042"/>
      <c r="M24" s="1030"/>
      <c r="N24" s="1030"/>
      <c r="O24" s="1030"/>
      <c r="P24" s="3246"/>
      <c r="Q24" s="657"/>
      <c r="R24" s="1076"/>
      <c r="S24" s="1077"/>
      <c r="T24" s="1076"/>
      <c r="U24" s="1077"/>
      <c r="V24" s="1076"/>
      <c r="W24" s="1077"/>
      <c r="X24" s="1070"/>
      <c r="Y24" s="3186"/>
      <c r="Z24" s="1069"/>
      <c r="AA24" s="1088">
        <v>1</v>
      </c>
      <c r="AB24" s="1088">
        <v>1</v>
      </c>
      <c r="AC24" s="1401">
        <v>1</v>
      </c>
    </row>
    <row r="25" spans="1:29" ht="27">
      <c r="A25" s="896"/>
      <c r="B25" s="1319" t="s">
        <v>675</v>
      </c>
      <c r="C25" s="1386"/>
      <c r="D25" s="925">
        <v>100</v>
      </c>
      <c r="E25" s="924"/>
      <c r="F25" s="925">
        <f>SUMIF(87:87,E26,88:88)-SUMIF(87:87,C26,88:88)+100</f>
        <v>100</v>
      </c>
      <c r="G25" s="1386"/>
      <c r="H25" s="925">
        <f>SUMIF(87:87,G26,88:88)-SUMIF(87:87,C26,88:88)+100</f>
        <v>100</v>
      </c>
      <c r="I25" s="924"/>
      <c r="J25" s="925">
        <f>SUMIF(87:87,I26,88:88)-SUMIF(87:87,C26,88:88)+100</f>
        <v>100</v>
      </c>
      <c r="K25" s="1283"/>
      <c r="L25" s="1042"/>
      <c r="M25" s="1030"/>
      <c r="N25" s="1030"/>
      <c r="O25" s="1030"/>
      <c r="P25" s="3246"/>
      <c r="Q25" s="657" t="str">
        <f>B25</f>
        <v>毗邻道路的类型与等级</v>
      </c>
      <c r="R25" s="1076" t="s">
        <v>940</v>
      </c>
      <c r="S25" s="1077">
        <f>F25</f>
        <v>100</v>
      </c>
      <c r="T25" s="1076" t="s">
        <v>940</v>
      </c>
      <c r="U25" s="1077">
        <f>H25</f>
        <v>100</v>
      </c>
      <c r="V25" s="1076" t="s">
        <v>940</v>
      </c>
      <c r="W25" s="1077">
        <f>J25</f>
        <v>100</v>
      </c>
      <c r="X25" s="1070"/>
      <c r="Y25" s="3186"/>
      <c r="Z25" s="1069" t="str">
        <f>Q25</f>
        <v>毗邻道路的类型与等级</v>
      </c>
      <c r="AA25" s="1088">
        <f t="shared" si="3"/>
        <v>1</v>
      </c>
      <c r="AB25" s="1088">
        <f t="shared" si="4"/>
        <v>1</v>
      </c>
      <c r="AC25" s="1401">
        <f t="shared" si="5"/>
        <v>1</v>
      </c>
    </row>
    <row r="26" spans="1:29" ht="15">
      <c r="A26" s="896"/>
      <c r="B26" s="1320"/>
      <c r="C26" s="959"/>
      <c r="D26" s="925"/>
      <c r="E26" s="953"/>
      <c r="F26" s="925"/>
      <c r="G26" s="959"/>
      <c r="H26" s="925"/>
      <c r="I26" s="953"/>
      <c r="J26" s="925"/>
      <c r="K26" s="1284"/>
      <c r="L26" s="1042"/>
      <c r="M26" s="1030"/>
      <c r="N26" s="1030"/>
      <c r="O26" s="1030"/>
      <c r="P26" s="3246"/>
      <c r="Q26" s="657"/>
      <c r="R26" s="1076"/>
      <c r="S26" s="1077"/>
      <c r="T26" s="1076"/>
      <c r="U26" s="1077"/>
      <c r="V26" s="1076"/>
      <c r="W26" s="1077"/>
      <c r="X26" s="1070"/>
      <c r="Y26" s="3186"/>
      <c r="Z26" s="1069"/>
      <c r="AA26" s="1088">
        <v>1</v>
      </c>
      <c r="AB26" s="1088">
        <v>1</v>
      </c>
      <c r="AC26" s="1401">
        <v>1</v>
      </c>
    </row>
    <row r="27" spans="1:29" ht="15">
      <c r="A27" s="918"/>
      <c r="B27" s="1320" t="s">
        <v>1486</v>
      </c>
      <c r="C27" s="959"/>
      <c r="D27" s="925">
        <v>100</v>
      </c>
      <c r="E27" s="953"/>
      <c r="F27" s="925">
        <f>SUMIF(89:89,E27,90:90)-SUMIF(89:89,C27,90:90)+100</f>
        <v>100</v>
      </c>
      <c r="G27" s="959"/>
      <c r="H27" s="925">
        <f>SUMIF(89:89,G27,90:90)-SUMIF(89:89,C27,90:90)+100</f>
        <v>100</v>
      </c>
      <c r="I27" s="953"/>
      <c r="J27" s="925">
        <f>SUMIF(89:89,I27,90:90)-SUMIF(89:89,C27,90:90)+100</f>
        <v>100</v>
      </c>
      <c r="K27" s="1048"/>
      <c r="L27" s="1042"/>
      <c r="M27" s="1030"/>
      <c r="N27" s="1030"/>
      <c r="O27" s="1030"/>
      <c r="P27" s="3246"/>
      <c r="Q27" s="657" t="str">
        <f t="shared" ref="Q27:Q47" si="11">B27</f>
        <v>楼层</v>
      </c>
      <c r="R27" s="1076" t="s">
        <v>940</v>
      </c>
      <c r="S27" s="1077">
        <f>F27</f>
        <v>100</v>
      </c>
      <c r="T27" s="1076" t="s">
        <v>940</v>
      </c>
      <c r="U27" s="1077">
        <f>H27</f>
        <v>100</v>
      </c>
      <c r="V27" s="1076" t="s">
        <v>940</v>
      </c>
      <c r="W27" s="1077">
        <f>J27</f>
        <v>100</v>
      </c>
      <c r="X27" s="1070"/>
      <c r="Y27" s="3186"/>
      <c r="Z27" s="1069" t="str">
        <f>Q27</f>
        <v>楼层</v>
      </c>
      <c r="AA27" s="1088">
        <f t="shared" si="3"/>
        <v>1</v>
      </c>
      <c r="AB27" s="1088">
        <f t="shared" si="4"/>
        <v>1</v>
      </c>
      <c r="AC27" s="1401">
        <f t="shared" si="5"/>
        <v>1</v>
      </c>
    </row>
    <row r="28" spans="1:29" s="874" customFormat="1" ht="15">
      <c r="A28" s="921"/>
      <c r="B28" s="1319" t="s">
        <v>1443</v>
      </c>
      <c r="C28" s="1387"/>
      <c r="D28" s="1376">
        <v>100</v>
      </c>
      <c r="E28" s="1388"/>
      <c r="F28" s="1376">
        <f>SUMIF(91:91,E28,92:92)-SUMIF(91:91,C28,92:92)+100</f>
        <v>100</v>
      </c>
      <c r="G28" s="1387"/>
      <c r="H28" s="1376">
        <f>SUMIF(91:91,G28,92:92)-SUMIF(91:91,C28,92:92)+100</f>
        <v>100</v>
      </c>
      <c r="I28" s="1388"/>
      <c r="J28" s="1376">
        <f>SUMIF(91:91,I28,92:92)-SUMIF(91:91,C28,92:92)+100</f>
        <v>100</v>
      </c>
      <c r="K28" s="1048"/>
      <c r="L28" s="1032"/>
      <c r="M28" s="1033"/>
      <c r="N28" s="1033"/>
      <c r="O28" s="1033"/>
      <c r="P28" s="3246"/>
      <c r="Q28" s="1075" t="str">
        <f t="shared" si="11"/>
        <v>朝向</v>
      </c>
      <c r="R28" s="1071" t="s">
        <v>940</v>
      </c>
      <c r="S28" s="1072">
        <f>F28</f>
        <v>100</v>
      </c>
      <c r="T28" s="1071" t="s">
        <v>940</v>
      </c>
      <c r="U28" s="1072">
        <f>H28</f>
        <v>100</v>
      </c>
      <c r="V28" s="1071" t="s">
        <v>940</v>
      </c>
      <c r="W28" s="1072">
        <f>J28</f>
        <v>100</v>
      </c>
      <c r="X28" s="1073"/>
      <c r="Y28" s="3186"/>
      <c r="Z28" s="1087" t="str">
        <f>Q28</f>
        <v>朝向</v>
      </c>
      <c r="AA28" s="1088">
        <f t="shared" si="3"/>
        <v>1</v>
      </c>
      <c r="AB28" s="1088">
        <f t="shared" si="4"/>
        <v>1</v>
      </c>
      <c r="AC28" s="1401">
        <f t="shared" si="5"/>
        <v>1</v>
      </c>
    </row>
    <row r="29" spans="1:29" ht="15">
      <c r="A29" s="918"/>
      <c r="B29" s="1389">
        <v>111</v>
      </c>
      <c r="C29" s="1386"/>
      <c r="D29" s="925">
        <v>100</v>
      </c>
      <c r="E29" s="914"/>
      <c r="F29" s="925">
        <f>SUMIF(93:93,E29,94:94)-SUMIF(93:93,C29,94:94)+100</f>
        <v>100</v>
      </c>
      <c r="G29" s="1381"/>
      <c r="H29" s="925">
        <f>SUMIF(93:93,G29,94:94)-SUMIF(93:93,C29,94:94)+100</f>
        <v>100</v>
      </c>
      <c r="I29" s="914"/>
      <c r="J29" s="925">
        <f>SUMIF(93:93,I29,94:94)-SUMIF(93:93,C29,94:94)+100</f>
        <v>100</v>
      </c>
      <c r="K29" s="1047"/>
      <c r="L29" s="1042"/>
      <c r="M29" s="1030"/>
      <c r="N29" s="1030"/>
      <c r="O29" s="1030"/>
      <c r="P29" s="3246"/>
      <c r="Q29" s="657">
        <f t="shared" si="11"/>
        <v>111</v>
      </c>
      <c r="R29" s="1076" t="s">
        <v>940</v>
      </c>
      <c r="S29" s="1077">
        <f t="shared" ref="S29:S47" si="12">F29</f>
        <v>100</v>
      </c>
      <c r="T29" s="1076" t="s">
        <v>940</v>
      </c>
      <c r="U29" s="1077">
        <f t="shared" ref="U29:U47" si="13">H29</f>
        <v>100</v>
      </c>
      <c r="V29" s="1076" t="s">
        <v>940</v>
      </c>
      <c r="W29" s="1077">
        <f t="shared" ref="W29:W47" si="14">J29</f>
        <v>100</v>
      </c>
      <c r="X29" s="1070"/>
      <c r="Y29" s="3186"/>
      <c r="Z29" s="1069">
        <f t="shared" ref="Z29:Z47" si="15">Q29</f>
        <v>111</v>
      </c>
      <c r="AA29" s="1088">
        <f t="shared" si="3"/>
        <v>1</v>
      </c>
      <c r="AB29" s="1088">
        <f t="shared" si="4"/>
        <v>1</v>
      </c>
      <c r="AC29" s="1401">
        <f t="shared" si="5"/>
        <v>1</v>
      </c>
    </row>
    <row r="30" spans="1:29" ht="15">
      <c r="A30" s="918"/>
      <c r="B30" s="1389">
        <v>111</v>
      </c>
      <c r="C30" s="1386"/>
      <c r="D30" s="925">
        <v>100</v>
      </c>
      <c r="E30" s="914"/>
      <c r="F30" s="925">
        <f>SUMIF(95:95,E30,96:96)-SUMIF(95:95,C30,96:96)+100</f>
        <v>100</v>
      </c>
      <c r="G30" s="1381"/>
      <c r="H30" s="925">
        <f>SUMIF(95:95,G30,96:96)-SUMIF(95:95,C30,96:96)+100</f>
        <v>100</v>
      </c>
      <c r="I30" s="914"/>
      <c r="J30" s="925">
        <f>SUMIF(95:95,I30,96:96)-SUMIF(95:95,C30,96:96)+100</f>
        <v>100</v>
      </c>
      <c r="K30" s="1047"/>
      <c r="L30" s="1042"/>
      <c r="M30" s="1030"/>
      <c r="N30" s="1030"/>
      <c r="O30" s="1030"/>
      <c r="P30" s="3246"/>
      <c r="Q30" s="657">
        <f t="shared" si="11"/>
        <v>111</v>
      </c>
      <c r="R30" s="1076" t="s">
        <v>940</v>
      </c>
      <c r="S30" s="1077">
        <f t="shared" si="12"/>
        <v>100</v>
      </c>
      <c r="T30" s="1076" t="s">
        <v>940</v>
      </c>
      <c r="U30" s="1077">
        <f t="shared" si="13"/>
        <v>100</v>
      </c>
      <c r="V30" s="1076" t="s">
        <v>940</v>
      </c>
      <c r="W30" s="1077">
        <f t="shared" si="14"/>
        <v>100</v>
      </c>
      <c r="X30" s="1070"/>
      <c r="Y30" s="3186"/>
      <c r="Z30" s="1069">
        <f t="shared" si="15"/>
        <v>111</v>
      </c>
      <c r="AA30" s="1088">
        <f t="shared" si="3"/>
        <v>1</v>
      </c>
      <c r="AB30" s="1088">
        <f t="shared" si="4"/>
        <v>1</v>
      </c>
      <c r="AC30" s="1401">
        <f t="shared" si="5"/>
        <v>1</v>
      </c>
    </row>
    <row r="31" spans="1:29" ht="15">
      <c r="A31" s="918"/>
      <c r="B31" s="1389">
        <v>111</v>
      </c>
      <c r="C31" s="1386"/>
      <c r="D31" s="925">
        <v>100</v>
      </c>
      <c r="E31" s="914"/>
      <c r="F31" s="925">
        <f>SUMIF(97:97,E31,98:98)-SUMIF(97:97,C31,98:98)+100</f>
        <v>100</v>
      </c>
      <c r="G31" s="1381"/>
      <c r="H31" s="925">
        <f>SUMIF(97:97,G31,98:98)-SUMIF(97:97,C31,98:98)+100</f>
        <v>100</v>
      </c>
      <c r="I31" s="914"/>
      <c r="J31" s="925">
        <f>SUMIF(97:97,I31,98:98)-SUMIF(97:97,C31,98:98)+100</f>
        <v>100</v>
      </c>
      <c r="K31" s="1047"/>
      <c r="L31" s="1042"/>
      <c r="M31" s="1030"/>
      <c r="N31" s="1030"/>
      <c r="O31" s="1030"/>
      <c r="P31" s="3246"/>
      <c r="Q31" s="657">
        <f t="shared" si="11"/>
        <v>111</v>
      </c>
      <c r="R31" s="1076" t="s">
        <v>940</v>
      </c>
      <c r="S31" s="1077">
        <f t="shared" si="12"/>
        <v>100</v>
      </c>
      <c r="T31" s="1076" t="s">
        <v>940</v>
      </c>
      <c r="U31" s="1077">
        <f t="shared" si="13"/>
        <v>100</v>
      </c>
      <c r="V31" s="1076" t="s">
        <v>940</v>
      </c>
      <c r="W31" s="1077">
        <f t="shared" si="14"/>
        <v>100</v>
      </c>
      <c r="X31" s="1070"/>
      <c r="Y31" s="3186"/>
      <c r="Z31" s="1069">
        <f t="shared" si="15"/>
        <v>111</v>
      </c>
      <c r="AA31" s="1088">
        <f t="shared" si="3"/>
        <v>1</v>
      </c>
      <c r="AB31" s="1088">
        <f t="shared" si="4"/>
        <v>1</v>
      </c>
      <c r="AC31" s="1401">
        <f t="shared" si="5"/>
        <v>1</v>
      </c>
    </row>
    <row r="32" spans="1:29" ht="15">
      <c r="A32" s="928"/>
      <c r="B32" s="1323">
        <v>111</v>
      </c>
      <c r="C32" s="1390"/>
      <c r="D32" s="931">
        <v>100</v>
      </c>
      <c r="E32" s="1325"/>
      <c r="F32" s="931">
        <f>SUMIF(99:99,E32,100:100)-SUMIF(99:99,C32,100:100)+100</f>
        <v>100</v>
      </c>
      <c r="G32" s="1381"/>
      <c r="H32" s="931">
        <f>SUMIF(99:99,G32,100:100)-SUMIF(99:99,C32,100:100)+100</f>
        <v>100</v>
      </c>
      <c r="I32" s="914"/>
      <c r="J32" s="931">
        <f>SUMIF(99:99,I32,100:100)-SUMIF(99:99,C32,100:100)+100</f>
        <v>100</v>
      </c>
      <c r="K32" s="1047"/>
      <c r="L32" s="1042"/>
      <c r="M32" s="1030"/>
      <c r="N32" s="1030"/>
      <c r="O32" s="1030"/>
      <c r="P32" s="3246"/>
      <c r="Q32" s="657">
        <f t="shared" si="11"/>
        <v>111</v>
      </c>
      <c r="R32" s="1076" t="s">
        <v>940</v>
      </c>
      <c r="S32" s="1077">
        <f t="shared" si="12"/>
        <v>100</v>
      </c>
      <c r="T32" s="1076" t="s">
        <v>940</v>
      </c>
      <c r="U32" s="1077">
        <f t="shared" si="13"/>
        <v>100</v>
      </c>
      <c r="V32" s="1076" t="s">
        <v>940</v>
      </c>
      <c r="W32" s="1077">
        <f t="shared" si="14"/>
        <v>100</v>
      </c>
      <c r="X32" s="1070"/>
      <c r="Y32" s="3186"/>
      <c r="Z32" s="1069">
        <f t="shared" si="15"/>
        <v>111</v>
      </c>
      <c r="AA32" s="1088">
        <f t="shared" si="3"/>
        <v>1</v>
      </c>
      <c r="AB32" s="1088">
        <f t="shared" si="4"/>
        <v>1</v>
      </c>
      <c r="AC32" s="1401">
        <f t="shared" si="5"/>
        <v>1</v>
      </c>
    </row>
    <row r="33" spans="1:29" ht="15">
      <c r="A33" s="932" t="s">
        <v>952</v>
      </c>
      <c r="B33" s="909" t="s">
        <v>1444</v>
      </c>
      <c r="C33" s="1252"/>
      <c r="D33" s="971">
        <v>100</v>
      </c>
      <c r="E33" s="1252"/>
      <c r="F33" s="1247">
        <f>SUMIF(101:101,E33,102:102)-SUMIF(101:101,C33,102:102)+100</f>
        <v>100</v>
      </c>
      <c r="G33" s="1252"/>
      <c r="H33" s="925">
        <f>SUMIF(101:101,G33,102:102)-SUMIF(101:101,C33,102:102)+100</f>
        <v>100</v>
      </c>
      <c r="I33" s="1252"/>
      <c r="J33" s="971">
        <f>SUMIF(101:101,I33,102:102)-SUMIF(101:101,C33,102:102)+100</f>
        <v>100</v>
      </c>
      <c r="K33" s="1048"/>
      <c r="L33" s="1042"/>
      <c r="M33" s="1030"/>
      <c r="N33" s="1030"/>
      <c r="O33" s="1030"/>
      <c r="P33" s="3247" t="s">
        <v>951</v>
      </c>
      <c r="Q33" s="657" t="str">
        <f t="shared" si="11"/>
        <v>建筑类型</v>
      </c>
      <c r="R33" s="1076" t="s">
        <v>940</v>
      </c>
      <c r="S33" s="1077">
        <f t="shared" si="12"/>
        <v>100</v>
      </c>
      <c r="T33" s="1076" t="s">
        <v>940</v>
      </c>
      <c r="U33" s="1077">
        <f t="shared" si="13"/>
        <v>100</v>
      </c>
      <c r="V33" s="1076" t="s">
        <v>940</v>
      </c>
      <c r="W33" s="1077">
        <f t="shared" si="14"/>
        <v>100</v>
      </c>
      <c r="X33" s="1070"/>
      <c r="Y33" s="3188" t="s">
        <v>951</v>
      </c>
      <c r="Z33" s="1069" t="str">
        <f t="shared" si="15"/>
        <v>建筑类型</v>
      </c>
      <c r="AA33" s="1088">
        <f t="shared" si="3"/>
        <v>1</v>
      </c>
      <c r="AB33" s="1088">
        <f t="shared" si="4"/>
        <v>1</v>
      </c>
      <c r="AC33" s="1401">
        <f t="shared" si="5"/>
        <v>1</v>
      </c>
    </row>
    <row r="34" spans="1:29" s="876" customFormat="1" ht="15">
      <c r="A34" s="975"/>
      <c r="B34" s="913" t="s">
        <v>1445</v>
      </c>
      <c r="C34" s="1240"/>
      <c r="D34" s="915">
        <v>100</v>
      </c>
      <c r="E34" s="920"/>
      <c r="F34" s="1239" t="e">
        <f>LOOKUP(E34,104:104,105:105)-LOOKUP(C34,104:104,105:105)+100</f>
        <v>#N/A</v>
      </c>
      <c r="G34" s="919"/>
      <c r="H34" s="915" t="e">
        <f>LOOKUP(G34,104:104,105:105)-LOOKUP(C34,104:104,105:105)+100</f>
        <v>#N/A</v>
      </c>
      <c r="I34" s="919"/>
      <c r="J34" s="915" t="e">
        <f>LOOKUP(I34,104:104,105:105)-LOOKUP(C34,104:104,105:105)+100</f>
        <v>#N/A</v>
      </c>
      <c r="K34" s="1047"/>
      <c r="L34" s="1040"/>
      <c r="M34" s="1049"/>
      <c r="N34" s="1049"/>
      <c r="O34" s="1049"/>
      <c r="P34" s="3248"/>
      <c r="Q34" s="1290" t="str">
        <f t="shared" si="11"/>
        <v>项目建筑规模</v>
      </c>
      <c r="R34" s="1078" t="s">
        <v>940</v>
      </c>
      <c r="S34" s="1079" t="e">
        <f t="shared" si="12"/>
        <v>#N/A</v>
      </c>
      <c r="T34" s="1078" t="s">
        <v>940</v>
      </c>
      <c r="U34" s="1079" t="e">
        <f t="shared" si="13"/>
        <v>#N/A</v>
      </c>
      <c r="V34" s="1078" t="s">
        <v>940</v>
      </c>
      <c r="W34" s="1079" t="e">
        <f t="shared" si="14"/>
        <v>#N/A</v>
      </c>
      <c r="X34" s="1080"/>
      <c r="Y34" s="3188"/>
      <c r="Z34" s="1089" t="str">
        <f t="shared" si="15"/>
        <v>项目建筑规模</v>
      </c>
      <c r="AA34" s="1088" t="e">
        <f t="shared" si="3"/>
        <v>#N/A</v>
      </c>
      <c r="AB34" s="1088" t="e">
        <f t="shared" si="4"/>
        <v>#N/A</v>
      </c>
      <c r="AC34" s="1401" t="e">
        <f t="shared" si="5"/>
        <v>#N/A</v>
      </c>
    </row>
    <row r="35" spans="1:29" ht="15">
      <c r="A35" s="969"/>
      <c r="B35" s="913" t="s">
        <v>1446</v>
      </c>
      <c r="C35" s="1257"/>
      <c r="D35" s="925">
        <v>100</v>
      </c>
      <c r="E35" s="1257"/>
      <c r="F35" s="1247">
        <f>SUMIF(106:106,E35,107:107)-SUMIF(106:106,C35,107:107)+100</f>
        <v>100</v>
      </c>
      <c r="G35" s="1257"/>
      <c r="H35" s="925">
        <f>SUMIF(106:106,G35,107:107)-SUMIF(106:106,C35,107:107)+100</f>
        <v>100</v>
      </c>
      <c r="I35" s="1257"/>
      <c r="J35" s="925">
        <f>SUMIF(106:106,I35,107:107)-SUMIF(106:106,C35,107:107)+100</f>
        <v>100</v>
      </c>
      <c r="K35" s="1048"/>
      <c r="L35" s="1042"/>
      <c r="M35" s="1030"/>
      <c r="N35" s="1030"/>
      <c r="O35" s="1030"/>
      <c r="P35" s="3248"/>
      <c r="Q35" s="657" t="str">
        <f t="shared" si="11"/>
        <v>建筑结构</v>
      </c>
      <c r="R35" s="1076" t="s">
        <v>940</v>
      </c>
      <c r="S35" s="1077">
        <f t="shared" si="12"/>
        <v>100</v>
      </c>
      <c r="T35" s="1076" t="s">
        <v>940</v>
      </c>
      <c r="U35" s="1077">
        <f t="shared" si="13"/>
        <v>100</v>
      </c>
      <c r="V35" s="1076" t="s">
        <v>940</v>
      </c>
      <c r="W35" s="1077">
        <f t="shared" si="14"/>
        <v>100</v>
      </c>
      <c r="X35" s="1070"/>
      <c r="Y35" s="3188"/>
      <c r="Z35" s="1069" t="str">
        <f t="shared" si="15"/>
        <v>建筑结构</v>
      </c>
      <c r="AA35" s="1088">
        <f t="shared" si="3"/>
        <v>1</v>
      </c>
      <c r="AB35" s="1088">
        <f t="shared" si="4"/>
        <v>1</v>
      </c>
      <c r="AC35" s="1401">
        <f t="shared" si="5"/>
        <v>1</v>
      </c>
    </row>
    <row r="36" spans="1:29" ht="15">
      <c r="A36" s="969"/>
      <c r="B36" s="913" t="s">
        <v>1448</v>
      </c>
      <c r="C36" s="1257"/>
      <c r="D36" s="925">
        <v>100</v>
      </c>
      <c r="E36" s="1257"/>
      <c r="F36" s="1247">
        <f>SUMIF(108:108,E36,109:109)-SUMIF(108:108,C36,109:109)+100</f>
        <v>100</v>
      </c>
      <c r="G36" s="1257"/>
      <c r="H36" s="925">
        <f>SUMIF(108:108,G36,109:109)-SUMIF(108:108,C36,109:109)+100</f>
        <v>100</v>
      </c>
      <c r="I36" s="1257"/>
      <c r="J36" s="925">
        <f>SUMIF(108:108,I36,109:109)-SUMIF(108:108,C36,109:109)+100</f>
        <v>100</v>
      </c>
      <c r="K36" s="1048"/>
      <c r="L36" s="1042"/>
      <c r="M36" s="1030"/>
      <c r="N36" s="1030"/>
      <c r="O36" s="1030"/>
      <c r="P36" s="3248"/>
      <c r="Q36" s="657" t="str">
        <f t="shared" si="11"/>
        <v>公共部分装修</v>
      </c>
      <c r="R36" s="1076" t="s">
        <v>940</v>
      </c>
      <c r="S36" s="1077">
        <f t="shared" si="12"/>
        <v>100</v>
      </c>
      <c r="T36" s="1076" t="s">
        <v>940</v>
      </c>
      <c r="U36" s="1077">
        <f t="shared" si="13"/>
        <v>100</v>
      </c>
      <c r="V36" s="1076" t="s">
        <v>940</v>
      </c>
      <c r="W36" s="1077">
        <f t="shared" si="14"/>
        <v>100</v>
      </c>
      <c r="X36" s="1070"/>
      <c r="Y36" s="3188"/>
      <c r="Z36" s="1069" t="str">
        <f t="shared" si="15"/>
        <v>公共部分装修</v>
      </c>
      <c r="AA36" s="1088">
        <f t="shared" si="3"/>
        <v>1</v>
      </c>
      <c r="AB36" s="1088">
        <f t="shared" si="4"/>
        <v>1</v>
      </c>
      <c r="AC36" s="1401">
        <f t="shared" si="5"/>
        <v>1</v>
      </c>
    </row>
    <row r="37" spans="1:29" ht="15">
      <c r="A37" s="969"/>
      <c r="B37" s="913" t="s">
        <v>570</v>
      </c>
      <c r="C37" s="1254"/>
      <c r="D37" s="925">
        <v>100</v>
      </c>
      <c r="E37" s="1254"/>
      <c r="F37" s="1247" t="e">
        <f>LOOKUP(E37,111:111,112:112)-LOOKUP(C37,111:111,112:112)+100</f>
        <v>#N/A</v>
      </c>
      <c r="G37" s="1254"/>
      <c r="H37" s="1247" t="e">
        <f>LOOKUP(G37,111:111,112:112)-LOOKUP(C37,111:111,112:112)+100</f>
        <v>#N/A</v>
      </c>
      <c r="I37" s="1254"/>
      <c r="J37" s="925" t="e">
        <f>LOOKUP(I37,111:111,112:112)-LOOKUP(C37,111:111,112:112)+100</f>
        <v>#N/A</v>
      </c>
      <c r="K37" s="1048"/>
      <c r="L37" s="1042"/>
      <c r="M37" s="1030"/>
      <c r="N37" s="1030"/>
      <c r="O37" s="1030"/>
      <c r="P37" s="3248"/>
      <c r="Q37" s="657" t="str">
        <f t="shared" si="11"/>
        <v>成新度</v>
      </c>
      <c r="R37" s="1076" t="s">
        <v>940</v>
      </c>
      <c r="S37" s="1077" t="e">
        <f t="shared" si="12"/>
        <v>#N/A</v>
      </c>
      <c r="T37" s="1076" t="s">
        <v>940</v>
      </c>
      <c r="U37" s="1077" t="e">
        <f t="shared" si="13"/>
        <v>#N/A</v>
      </c>
      <c r="V37" s="1076" t="s">
        <v>940</v>
      </c>
      <c r="W37" s="1077" t="e">
        <f t="shared" si="14"/>
        <v>#N/A</v>
      </c>
      <c r="X37" s="1070"/>
      <c r="Y37" s="3188"/>
      <c r="Z37" s="1069" t="str">
        <f t="shared" si="15"/>
        <v>成新度</v>
      </c>
      <c r="AA37" s="1088" t="e">
        <f t="shared" si="3"/>
        <v>#N/A</v>
      </c>
      <c r="AB37" s="1088" t="e">
        <f t="shared" si="4"/>
        <v>#N/A</v>
      </c>
      <c r="AC37" s="1401" t="e">
        <f t="shared" si="5"/>
        <v>#N/A</v>
      </c>
    </row>
    <row r="38" spans="1:29" s="874" customFormat="1" ht="15">
      <c r="A38" s="973"/>
      <c r="B38" s="913" t="s">
        <v>1495</v>
      </c>
      <c r="C38" s="1257"/>
      <c r="D38" s="915">
        <v>100</v>
      </c>
      <c r="E38" s="1257"/>
      <c r="F38" s="1247">
        <f>SUMIF(113:113,E38,114:114)-SUMIF(113:113,C38,114:114)+100</f>
        <v>100</v>
      </c>
      <c r="G38" s="1257"/>
      <c r="H38" s="925">
        <f>SUMIF(113:113,G38,114:114)-SUMIF(113:113,C38,114:114)+100</f>
        <v>100</v>
      </c>
      <c r="I38" s="1257"/>
      <c r="J38" s="925">
        <f>SUMIF(113:113,I38,114:114)-SUMIF(113:113,C38,114:114)+100</f>
        <v>100</v>
      </c>
      <c r="K38" s="1048"/>
      <c r="L38" s="1032"/>
      <c r="M38" s="1033"/>
      <c r="N38" s="1033"/>
      <c r="O38" s="1033"/>
      <c r="P38" s="3248"/>
      <c r="Q38" s="1075" t="str">
        <f t="shared" si="11"/>
        <v>写字楼等级</v>
      </c>
      <c r="R38" s="1071" t="s">
        <v>940</v>
      </c>
      <c r="S38" s="1072">
        <f t="shared" si="12"/>
        <v>100</v>
      </c>
      <c r="T38" s="1071" t="s">
        <v>940</v>
      </c>
      <c r="U38" s="1072">
        <f t="shared" si="13"/>
        <v>100</v>
      </c>
      <c r="V38" s="1071" t="s">
        <v>940</v>
      </c>
      <c r="W38" s="1072">
        <f t="shared" si="14"/>
        <v>100</v>
      </c>
      <c r="X38" s="1073"/>
      <c r="Y38" s="3188"/>
      <c r="Z38" s="1087" t="str">
        <f t="shared" si="15"/>
        <v>写字楼等级</v>
      </c>
      <c r="AA38" s="1086">
        <f t="shared" si="3"/>
        <v>1</v>
      </c>
      <c r="AB38" s="1086">
        <f t="shared" si="4"/>
        <v>1</v>
      </c>
      <c r="AC38" s="1400">
        <f t="shared" si="5"/>
        <v>1</v>
      </c>
    </row>
    <row r="39" spans="1:29" ht="15">
      <c r="A39" s="969"/>
      <c r="B39" s="913" t="s">
        <v>1449</v>
      </c>
      <c r="C39" s="1257"/>
      <c r="D39" s="925">
        <v>100</v>
      </c>
      <c r="E39" s="1257"/>
      <c r="F39" s="1247">
        <f>SUMIF(115:115,E39,116:116)-SUMIF(115:115,C39,116:116)+100</f>
        <v>100</v>
      </c>
      <c r="G39" s="1257"/>
      <c r="H39" s="925">
        <f>SUMIF(115:115,G39,116:116)-SUMIF(115:115,C39,116:116)+100</f>
        <v>100</v>
      </c>
      <c r="I39" s="1257"/>
      <c r="J39" s="925">
        <f>SUMIF(115:115,I39,116:116)-SUMIF(115:115,C39,116:116)+100</f>
        <v>100</v>
      </c>
      <c r="K39" s="1048"/>
      <c r="L39" s="1042"/>
      <c r="M39" s="1030"/>
      <c r="N39" s="1030"/>
      <c r="O39" s="1030"/>
      <c r="P39" s="3248" t="s">
        <v>951</v>
      </c>
      <c r="Q39" s="657" t="str">
        <f t="shared" si="11"/>
        <v>物业管理</v>
      </c>
      <c r="R39" s="1076" t="s">
        <v>940</v>
      </c>
      <c r="S39" s="1077">
        <f t="shared" si="12"/>
        <v>100</v>
      </c>
      <c r="T39" s="1076" t="s">
        <v>940</v>
      </c>
      <c r="U39" s="1077">
        <f t="shared" si="13"/>
        <v>100</v>
      </c>
      <c r="V39" s="1076" t="s">
        <v>940</v>
      </c>
      <c r="W39" s="1077">
        <f t="shared" si="14"/>
        <v>100</v>
      </c>
      <c r="X39" s="1070"/>
      <c r="Y39" s="3188" t="s">
        <v>951</v>
      </c>
      <c r="Z39" s="1069" t="str">
        <f t="shared" si="15"/>
        <v>物业管理</v>
      </c>
      <c r="AA39" s="1088">
        <f t="shared" si="3"/>
        <v>1</v>
      </c>
      <c r="AB39" s="1088">
        <f t="shared" si="4"/>
        <v>1</v>
      </c>
      <c r="AC39" s="1401">
        <f t="shared" si="5"/>
        <v>1</v>
      </c>
    </row>
    <row r="40" spans="1:29" ht="15">
      <c r="A40" s="969"/>
      <c r="B40" s="913" t="s">
        <v>1450</v>
      </c>
      <c r="C40" s="1257"/>
      <c r="D40" s="925">
        <v>100</v>
      </c>
      <c r="E40" s="1257"/>
      <c r="F40" s="1247">
        <f>SUMIF(117:117,E40,118:118)-SUMIF(117:117,C40,118:118)+100</f>
        <v>100</v>
      </c>
      <c r="G40" s="1257"/>
      <c r="H40" s="925">
        <f>SUMIF(117:117,G40,118:118)-SUMIF(117:117,C40,118:118)+100</f>
        <v>100</v>
      </c>
      <c r="I40" s="1257"/>
      <c r="J40" s="925">
        <f>SUMIF(117:117,I40,118:118)-SUMIF(117:117,C40,118:118)+100</f>
        <v>100</v>
      </c>
      <c r="K40" s="1048"/>
      <c r="L40" s="1042"/>
      <c r="M40" s="1030"/>
      <c r="N40" s="1030"/>
      <c r="O40" s="1030"/>
      <c r="P40" s="3248"/>
      <c r="Q40" s="657" t="str">
        <f t="shared" si="11"/>
        <v>市政基础设施</v>
      </c>
      <c r="R40" s="1076" t="s">
        <v>940</v>
      </c>
      <c r="S40" s="1077">
        <f t="shared" si="12"/>
        <v>100</v>
      </c>
      <c r="T40" s="1076" t="s">
        <v>940</v>
      </c>
      <c r="U40" s="1077">
        <f t="shared" si="13"/>
        <v>100</v>
      </c>
      <c r="V40" s="1076" t="s">
        <v>940</v>
      </c>
      <c r="W40" s="1077">
        <f t="shared" si="14"/>
        <v>100</v>
      </c>
      <c r="X40" s="1070"/>
      <c r="Y40" s="3188"/>
      <c r="Z40" s="1069" t="str">
        <f t="shared" si="15"/>
        <v>市政基础设施</v>
      </c>
      <c r="AA40" s="1088">
        <f t="shared" si="3"/>
        <v>1</v>
      </c>
      <c r="AB40" s="1088">
        <f t="shared" si="4"/>
        <v>1</v>
      </c>
      <c r="AC40" s="1401">
        <f t="shared" si="5"/>
        <v>1</v>
      </c>
    </row>
    <row r="41" spans="1:29" ht="15">
      <c r="A41" s="969"/>
      <c r="B41" s="913" t="s">
        <v>1489</v>
      </c>
      <c r="C41" s="953"/>
      <c r="D41" s="925">
        <v>100</v>
      </c>
      <c r="E41" s="953"/>
      <c r="F41" s="1247">
        <f>SUMIF(119:119,E41,120:120)-SUMIF(119:119,C41,120:120)+100</f>
        <v>100</v>
      </c>
      <c r="G41" s="953"/>
      <c r="H41" s="925">
        <f>SUMIF(119:119,G41,120:120)-SUMIF(119:119,C41,120:120)+100</f>
        <v>100</v>
      </c>
      <c r="I41" s="953"/>
      <c r="J41" s="925">
        <f>SUMIF(119:119,I41,120:120)-SUMIF(119:119,C41,120:120)+100</f>
        <v>100</v>
      </c>
      <c r="K41" s="1048"/>
      <c r="L41" s="1042"/>
      <c r="M41" s="1030"/>
      <c r="N41" s="1030"/>
      <c r="O41" s="1030"/>
      <c r="P41" s="3248"/>
      <c r="Q41" s="657" t="str">
        <f t="shared" si="11"/>
        <v>层高</v>
      </c>
      <c r="R41" s="1076" t="s">
        <v>940</v>
      </c>
      <c r="S41" s="1077">
        <f t="shared" si="12"/>
        <v>100</v>
      </c>
      <c r="T41" s="1076" t="s">
        <v>940</v>
      </c>
      <c r="U41" s="1077">
        <f t="shared" si="13"/>
        <v>100</v>
      </c>
      <c r="V41" s="1076" t="s">
        <v>940</v>
      </c>
      <c r="W41" s="1077">
        <f t="shared" si="14"/>
        <v>100</v>
      </c>
      <c r="X41" s="1070"/>
      <c r="Y41" s="3188"/>
      <c r="Z41" s="1069" t="str">
        <f t="shared" si="15"/>
        <v>层高</v>
      </c>
      <c r="AA41" s="1088">
        <f t="shared" si="3"/>
        <v>1</v>
      </c>
      <c r="AB41" s="1088">
        <f t="shared" si="4"/>
        <v>1</v>
      </c>
      <c r="AC41" s="1401">
        <f t="shared" si="5"/>
        <v>1</v>
      </c>
    </row>
    <row r="42" spans="1:29" s="876" customFormat="1" ht="15">
      <c r="A42" s="975"/>
      <c r="B42" s="1057" t="s">
        <v>1496</v>
      </c>
      <c r="C42" s="924"/>
      <c r="D42" s="925">
        <v>100</v>
      </c>
      <c r="E42" s="924"/>
      <c r="F42" s="1247">
        <f>SUMIF(121:121,E42,122:122)-SUMIF(121:121,C42,122:122)+100</f>
        <v>100</v>
      </c>
      <c r="G42" s="924"/>
      <c r="H42" s="925">
        <f>SUMIF(121:121,G42,122:122)-SUMIF(121:121,C42,122:122)+100</f>
        <v>100</v>
      </c>
      <c r="I42" s="924"/>
      <c r="J42" s="925">
        <f>SUMIF(121:121,I42,122:122)-SUMIF(121:121,C42,122:122)+100</f>
        <v>100</v>
      </c>
      <c r="K42" s="1047"/>
      <c r="L42" s="1040"/>
      <c r="M42" s="1049"/>
      <c r="N42" s="1049"/>
      <c r="O42" s="1049"/>
      <c r="P42" s="3248"/>
      <c r="Q42" s="1290" t="str">
        <f t="shared" si="11"/>
        <v>单套建筑面积</v>
      </c>
      <c r="R42" s="1078" t="s">
        <v>940</v>
      </c>
      <c r="S42" s="1079">
        <f t="shared" si="12"/>
        <v>100</v>
      </c>
      <c r="T42" s="1078" t="s">
        <v>940</v>
      </c>
      <c r="U42" s="1079">
        <f t="shared" si="13"/>
        <v>100</v>
      </c>
      <c r="V42" s="1078" t="s">
        <v>940</v>
      </c>
      <c r="W42" s="1079">
        <f t="shared" si="14"/>
        <v>100</v>
      </c>
      <c r="X42" s="1080"/>
      <c r="Y42" s="3188"/>
      <c r="Z42" s="1089" t="str">
        <f t="shared" si="15"/>
        <v>单套建筑面积</v>
      </c>
      <c r="AA42" s="1088">
        <f t="shared" si="3"/>
        <v>1</v>
      </c>
      <c r="AB42" s="1088">
        <f t="shared" si="4"/>
        <v>1</v>
      </c>
      <c r="AC42" s="1401">
        <f t="shared" si="5"/>
        <v>1</v>
      </c>
    </row>
    <row r="43" spans="1:29" ht="15">
      <c r="A43" s="969"/>
      <c r="B43" s="913" t="s">
        <v>1453</v>
      </c>
      <c r="C43" s="1257"/>
      <c r="D43" s="925">
        <v>100</v>
      </c>
      <c r="E43" s="1257"/>
      <c r="F43" s="1247">
        <f>SUMIF(123:123,E43,124:124)-SUMIF(123:123,C43,124:124)+100</f>
        <v>100</v>
      </c>
      <c r="G43" s="1257"/>
      <c r="H43" s="925">
        <f>SUMIF(123:123,G43,124:124)-SUMIF(123:123,C43,124:124)+100</f>
        <v>100</v>
      </c>
      <c r="I43" s="1257"/>
      <c r="J43" s="925">
        <f>SUMIF(123:123,I43,124:124)-SUMIF(123:123,C43,124:124)+100</f>
        <v>100</v>
      </c>
      <c r="K43" s="1048"/>
      <c r="L43" s="1042"/>
      <c r="M43" s="1030"/>
      <c r="N43" s="1030"/>
      <c r="O43" s="1030"/>
      <c r="P43" s="3248"/>
      <c r="Q43" s="657" t="str">
        <f t="shared" si="11"/>
        <v>内部装修</v>
      </c>
      <c r="R43" s="1076" t="s">
        <v>940</v>
      </c>
      <c r="S43" s="1077">
        <f t="shared" si="12"/>
        <v>100</v>
      </c>
      <c r="T43" s="1076" t="s">
        <v>940</v>
      </c>
      <c r="U43" s="1077">
        <f t="shared" si="13"/>
        <v>100</v>
      </c>
      <c r="V43" s="1076" t="s">
        <v>940</v>
      </c>
      <c r="W43" s="1077">
        <f t="shared" si="14"/>
        <v>100</v>
      </c>
      <c r="X43" s="1070"/>
      <c r="Y43" s="3188"/>
      <c r="Z43" s="1069" t="str">
        <f t="shared" si="15"/>
        <v>内部装修</v>
      </c>
      <c r="AA43" s="1088">
        <f t="shared" si="3"/>
        <v>1</v>
      </c>
      <c r="AB43" s="1088">
        <f t="shared" si="4"/>
        <v>1</v>
      </c>
      <c r="AC43" s="1401">
        <f t="shared" si="5"/>
        <v>1</v>
      </c>
    </row>
    <row r="44" spans="1:29" ht="15">
      <c r="A44" s="969"/>
      <c r="B44" s="913" t="s">
        <v>1454</v>
      </c>
      <c r="C44" s="1257"/>
      <c r="D44" s="925">
        <v>100</v>
      </c>
      <c r="E44" s="972"/>
      <c r="F44" s="1247">
        <f>SUMIF(125:125,E44,126:126)-SUMIF(125:125,C44,126:126)+100</f>
        <v>100</v>
      </c>
      <c r="G44" s="972"/>
      <c r="H44" s="925">
        <f>SUMIF(125:125,G44,126:126)-SUMIF(125:125,C44,126:126)+100</f>
        <v>100</v>
      </c>
      <c r="I44" s="972"/>
      <c r="J44" s="925">
        <f>SUMIF(125:125,I44,126:126)-SUMIF(125:125,C44,126:126)+100</f>
        <v>100</v>
      </c>
      <c r="K44" s="1048"/>
      <c r="L44" s="1042"/>
      <c r="M44" s="1030"/>
      <c r="N44" s="1030"/>
      <c r="O44" s="1030"/>
      <c r="P44" s="3248"/>
      <c r="Q44" s="657" t="str">
        <f t="shared" si="11"/>
        <v>内部装修维护情况</v>
      </c>
      <c r="R44" s="1076" t="s">
        <v>940</v>
      </c>
      <c r="S44" s="1077">
        <f t="shared" si="12"/>
        <v>100</v>
      </c>
      <c r="T44" s="1076" t="s">
        <v>940</v>
      </c>
      <c r="U44" s="1077">
        <f t="shared" si="13"/>
        <v>100</v>
      </c>
      <c r="V44" s="1076" t="s">
        <v>940</v>
      </c>
      <c r="W44" s="1077">
        <f t="shared" si="14"/>
        <v>100</v>
      </c>
      <c r="X44" s="1070"/>
      <c r="Y44" s="3188"/>
      <c r="Z44" s="1069" t="str">
        <f t="shared" si="15"/>
        <v>内部装修维护情况</v>
      </c>
      <c r="AA44" s="1088">
        <f t="shared" si="3"/>
        <v>1</v>
      </c>
      <c r="AB44" s="1088">
        <f t="shared" si="4"/>
        <v>1</v>
      </c>
      <c r="AC44" s="1401">
        <f t="shared" si="5"/>
        <v>1</v>
      </c>
    </row>
    <row r="45" spans="1:29" s="874" customFormat="1" ht="15">
      <c r="A45" s="973"/>
      <c r="B45" s="960">
        <v>111</v>
      </c>
      <c r="C45" s="1240"/>
      <c r="D45" s="915">
        <v>100</v>
      </c>
      <c r="E45" s="914"/>
      <c r="F45" s="1239">
        <f>SUMIF(127:127,E45,128:128)-SUMIF(127:127,C45,128:128)+100</f>
        <v>100</v>
      </c>
      <c r="G45" s="914"/>
      <c r="H45" s="915">
        <f>SUMIF(127:127,G45,128:128)-SUMIF(127:127,C45,128:128)+100</f>
        <v>100</v>
      </c>
      <c r="I45" s="914"/>
      <c r="J45" s="915">
        <f>SUMIF(127:127,I45,128:128)-SUMIF(127:127,C45,128:128)+100</f>
        <v>100</v>
      </c>
      <c r="K45" s="1047"/>
      <c r="L45" s="1032"/>
      <c r="M45" s="1033"/>
      <c r="N45" s="1033"/>
      <c r="O45" s="1033"/>
      <c r="P45" s="3248"/>
      <c r="Q45" s="1075">
        <f t="shared" si="11"/>
        <v>111</v>
      </c>
      <c r="R45" s="1071" t="s">
        <v>940</v>
      </c>
      <c r="S45" s="1072">
        <f t="shared" si="12"/>
        <v>100</v>
      </c>
      <c r="T45" s="1071" t="s">
        <v>940</v>
      </c>
      <c r="U45" s="1072">
        <f t="shared" si="13"/>
        <v>100</v>
      </c>
      <c r="V45" s="1071" t="s">
        <v>940</v>
      </c>
      <c r="W45" s="1072">
        <f t="shared" si="14"/>
        <v>100</v>
      </c>
      <c r="X45" s="1073"/>
      <c r="Y45" s="3188"/>
      <c r="Z45" s="1087">
        <f t="shared" si="15"/>
        <v>111</v>
      </c>
      <c r="AA45" s="1086">
        <f t="shared" si="3"/>
        <v>1</v>
      </c>
      <c r="AB45" s="1086">
        <f t="shared" si="4"/>
        <v>1</v>
      </c>
      <c r="AC45" s="1400">
        <f t="shared" si="5"/>
        <v>1</v>
      </c>
    </row>
    <row r="46" spans="1:29" ht="15">
      <c r="A46" s="969"/>
      <c r="B46" s="960">
        <v>111</v>
      </c>
      <c r="C46" s="924"/>
      <c r="D46" s="925">
        <v>100</v>
      </c>
      <c r="E46" s="914"/>
      <c r="F46" s="1247">
        <f>SUMIF(129:129,E46,130:130)-SUMIF(129:129,C46,130:130)+100</f>
        <v>100</v>
      </c>
      <c r="G46" s="914"/>
      <c r="H46" s="925">
        <f>SUMIF(129:129,G46,130:130)-SUMIF(129:129,C46,130:130)+100</f>
        <v>100</v>
      </c>
      <c r="I46" s="914"/>
      <c r="J46" s="925">
        <f>SUMIF(129:129,I46,130:130)-SUMIF(129:129,C46,130:130)+100</f>
        <v>100</v>
      </c>
      <c r="K46" s="1047"/>
      <c r="L46" s="1042"/>
      <c r="M46" s="1030"/>
      <c r="N46" s="1030"/>
      <c r="O46" s="1030"/>
      <c r="P46" s="3248"/>
      <c r="Q46" s="657">
        <f t="shared" si="11"/>
        <v>111</v>
      </c>
      <c r="R46" s="1076" t="s">
        <v>940</v>
      </c>
      <c r="S46" s="1077">
        <f t="shared" si="12"/>
        <v>100</v>
      </c>
      <c r="T46" s="1076" t="s">
        <v>940</v>
      </c>
      <c r="U46" s="1077">
        <f t="shared" si="13"/>
        <v>100</v>
      </c>
      <c r="V46" s="1076" t="s">
        <v>940</v>
      </c>
      <c r="W46" s="1077">
        <f t="shared" si="14"/>
        <v>100</v>
      </c>
      <c r="X46" s="1070"/>
      <c r="Y46" s="3188"/>
      <c r="Z46" s="1069">
        <f t="shared" si="15"/>
        <v>111</v>
      </c>
      <c r="AA46" s="1088">
        <f t="shared" si="3"/>
        <v>1</v>
      </c>
      <c r="AB46" s="1088">
        <f t="shared" si="4"/>
        <v>1</v>
      </c>
      <c r="AC46" s="1401">
        <f t="shared" si="5"/>
        <v>1</v>
      </c>
    </row>
    <row r="47" spans="1:29" ht="15">
      <c r="A47" s="1259"/>
      <c r="B47" s="929">
        <v>111</v>
      </c>
      <c r="C47" s="930"/>
      <c r="D47" s="931">
        <v>100</v>
      </c>
      <c r="E47" s="914"/>
      <c r="F47" s="1260">
        <f>SUMIF(131:131,E47,132:132)-SUMIF(131:131,C47,132:132)+100</f>
        <v>100</v>
      </c>
      <c r="G47" s="914"/>
      <c r="H47" s="931">
        <f>SUMIF(131:131,G47,132:132)-SUMIF(131:131,C47,132:132)+100</f>
        <v>100</v>
      </c>
      <c r="I47" s="914"/>
      <c r="J47" s="931">
        <f>SUMIF(131:131,I47,132:132)-SUMIF(131:131,C47,132:132)+100</f>
        <v>100</v>
      </c>
      <c r="K47" s="1047"/>
      <c r="L47" s="1042"/>
      <c r="M47" s="1030"/>
      <c r="N47" s="1030"/>
      <c r="O47" s="1030"/>
      <c r="P47" s="3249"/>
      <c r="Q47" s="657">
        <f t="shared" si="11"/>
        <v>111</v>
      </c>
      <c r="R47" s="1076" t="s">
        <v>940</v>
      </c>
      <c r="S47" s="1077">
        <f t="shared" si="12"/>
        <v>100</v>
      </c>
      <c r="T47" s="1076" t="s">
        <v>940</v>
      </c>
      <c r="U47" s="1077">
        <f t="shared" si="13"/>
        <v>100</v>
      </c>
      <c r="V47" s="1076" t="s">
        <v>940</v>
      </c>
      <c r="W47" s="1077">
        <f t="shared" si="14"/>
        <v>100</v>
      </c>
      <c r="X47" s="1070"/>
      <c r="Y47" s="3250"/>
      <c r="Z47" s="1069">
        <f t="shared" si="15"/>
        <v>111</v>
      </c>
      <c r="AA47" s="1088">
        <f t="shared" si="3"/>
        <v>1</v>
      </c>
      <c r="AB47" s="1088">
        <f t="shared" si="4"/>
        <v>1</v>
      </c>
      <c r="AC47" s="1401">
        <f t="shared" si="5"/>
        <v>1</v>
      </c>
    </row>
    <row r="48" spans="1:29" ht="15">
      <c r="A48" s="978" t="s">
        <v>1455</v>
      </c>
      <c r="B48" s="1261"/>
      <c r="C48" s="1262" t="s">
        <v>124</v>
      </c>
      <c r="D48" s="1263"/>
      <c r="E48" s="1264"/>
      <c r="F48" s="1265"/>
      <c r="G48" s="1266"/>
      <c r="H48" s="1267"/>
      <c r="I48" s="1264"/>
      <c r="J48" s="985"/>
      <c r="K48" s="1053"/>
      <c r="L48" s="1054"/>
      <c r="M48" s="1030"/>
      <c r="N48" s="1030"/>
      <c r="O48" s="1030"/>
      <c r="P48" s="3190" t="str">
        <f>A48</f>
        <v>成交单价（元/平方米）</v>
      </c>
      <c r="Q48" s="3182"/>
      <c r="R48" s="3244">
        <f>E48</f>
        <v>0</v>
      </c>
      <c r="S48" s="3244"/>
      <c r="T48" s="3244">
        <f>G48</f>
        <v>0</v>
      </c>
      <c r="U48" s="3244"/>
      <c r="V48" s="3244">
        <f>I48</f>
        <v>0</v>
      </c>
      <c r="W48" s="3244"/>
      <c r="X48" s="937"/>
      <c r="Y48" s="1090"/>
      <c r="Z48" s="937"/>
      <c r="AA48" s="937"/>
      <c r="AB48" s="937"/>
      <c r="AC48" s="1383"/>
    </row>
    <row r="49" spans="1:29" ht="15">
      <c r="A49" s="986" t="s">
        <v>960</v>
      </c>
      <c r="B49" s="1268"/>
      <c r="C49" s="1269" t="e">
        <f>R50</f>
        <v>#DIV/0!</v>
      </c>
      <c r="D49" s="1270"/>
      <c r="E49" s="1271" t="e">
        <f>R49</f>
        <v>#DIV/0!</v>
      </c>
      <c r="F49" s="1271"/>
      <c r="G49" s="1269" t="e">
        <f>T49</f>
        <v>#DIV/0!</v>
      </c>
      <c r="H49" s="1270"/>
      <c r="I49" s="1271" t="e">
        <f>V49</f>
        <v>#DIV/0!</v>
      </c>
      <c r="J49" s="989"/>
      <c r="K49" s="1055"/>
      <c r="L49" s="1054"/>
      <c r="M49" s="1030"/>
      <c r="N49" s="1030"/>
      <c r="O49" s="1030"/>
      <c r="P49" s="3190" t="str">
        <f>A49</f>
        <v>比较价值（元/平方米）</v>
      </c>
      <c r="Q49" s="3182"/>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937"/>
      <c r="Y49" s="937"/>
      <c r="Z49" s="937"/>
      <c r="AA49" s="937"/>
      <c r="AB49" s="937"/>
      <c r="AC49" s="1383"/>
    </row>
    <row r="50" spans="1:29" ht="15">
      <c r="A50" s="992" t="s">
        <v>961</v>
      </c>
      <c r="B50" s="993"/>
      <c r="C50" s="1272" t="e">
        <f>R50</f>
        <v>#DIV/0!</v>
      </c>
      <c r="D50" s="1272"/>
      <c r="E50" s="1272"/>
      <c r="F50" s="1272"/>
      <c r="G50" s="1272"/>
      <c r="H50" s="1272"/>
      <c r="I50" s="1272"/>
      <c r="J50" s="994"/>
      <c r="K50" s="1056"/>
      <c r="L50" s="1054"/>
      <c r="M50" s="1030"/>
      <c r="N50" s="1030"/>
      <c r="O50" s="1030"/>
      <c r="P50" s="3253" t="str">
        <f>A50</f>
        <v>估价对象XX用房的比较价值（楼面单价，元/平方米）</v>
      </c>
      <c r="Q50" s="3254"/>
      <c r="R50" s="3255" t="e">
        <f>IF(F1="售价",ROUND(AVERAGE(R49:V49),0),ROUND(AVERAGE(R49:V49),1))</f>
        <v>#DIV/0!</v>
      </c>
      <c r="S50" s="3255"/>
      <c r="T50" s="3255"/>
      <c r="U50" s="3255"/>
      <c r="V50" s="3255"/>
      <c r="W50" s="3255"/>
      <c r="X50" s="1399"/>
      <c r="Y50" s="1399"/>
      <c r="Z50" s="1399"/>
      <c r="AA50" s="1399"/>
      <c r="AB50" s="1399"/>
      <c r="AC50" s="1402"/>
    </row>
    <row r="51" spans="1:29">
      <c r="A51" s="995"/>
      <c r="B51" s="995"/>
      <c r="C51" s="995"/>
      <c r="D51" s="995"/>
      <c r="E51" s="995"/>
      <c r="F51" s="995"/>
      <c r="G51" s="996"/>
      <c r="H51" s="995"/>
      <c r="I51" s="995"/>
      <c r="J51" s="995"/>
      <c r="K51" s="1058"/>
      <c r="L51" s="1059"/>
      <c r="M51" s="995"/>
      <c r="N51" s="995"/>
      <c r="O51" s="995"/>
    </row>
    <row r="52" spans="1:29">
      <c r="A52" s="995"/>
      <c r="B52" s="995"/>
      <c r="C52" s="995"/>
      <c r="D52" s="995"/>
      <c r="E52" s="995"/>
      <c r="F52" s="995"/>
      <c r="G52" s="995"/>
      <c r="H52" s="995"/>
      <c r="I52" s="995"/>
      <c r="J52" s="995"/>
      <c r="K52" s="1058"/>
      <c r="L52" s="1059"/>
      <c r="M52" s="995"/>
      <c r="N52" s="995"/>
      <c r="O52" s="995"/>
    </row>
    <row r="53" spans="1:29" ht="13.5" customHeight="1">
      <c r="A53" s="995"/>
      <c r="B53" s="995"/>
      <c r="C53" s="997" t="s">
        <v>962</v>
      </c>
      <c r="D53" s="697"/>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58"/>
      <c r="L53" s="1059"/>
      <c r="M53" s="995"/>
      <c r="N53" s="995"/>
      <c r="O53" s="995"/>
    </row>
    <row r="54" spans="1:29" ht="13.5" customHeight="1">
      <c r="A54" s="995"/>
      <c r="B54" s="995"/>
      <c r="C54" s="997" t="s">
        <v>963</v>
      </c>
      <c r="D54" s="696"/>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58"/>
      <c r="L54" s="1059"/>
      <c r="M54" s="995"/>
      <c r="N54" s="995"/>
      <c r="O54" s="995"/>
    </row>
    <row r="55" spans="1:29" s="877" customFormat="1" ht="13.5" customHeight="1">
      <c r="A55" s="1000"/>
      <c r="B55" s="1000"/>
      <c r="C55" s="997" t="s">
        <v>964</v>
      </c>
      <c r="D55" s="696"/>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60"/>
      <c r="L55" s="1061"/>
      <c r="M55" s="1000"/>
      <c r="N55" s="1000"/>
      <c r="O55" s="1000"/>
      <c r="P55" s="1392"/>
    </row>
    <row r="56" spans="1:29" s="877" customFormat="1">
      <c r="A56" s="1000"/>
      <c r="B56" s="1001"/>
      <c r="C56" s="1273"/>
      <c r="D56" s="1000"/>
      <c r="E56" s="1000"/>
      <c r="F56" s="1000"/>
      <c r="G56" s="1000"/>
      <c r="H56" s="1000"/>
      <c r="I56" s="1000"/>
      <c r="J56" s="1000"/>
      <c r="K56" s="1060"/>
      <c r="L56" s="1061"/>
      <c r="M56" s="1000"/>
      <c r="N56" s="1000"/>
      <c r="O56" s="1000"/>
      <c r="P56" s="1392"/>
    </row>
    <row r="57" spans="1:29">
      <c r="A57" s="995"/>
      <c r="B57" s="1001"/>
      <c r="C57" s="1273"/>
      <c r="D57" s="995"/>
      <c r="E57" s="995"/>
      <c r="F57" s="995"/>
      <c r="G57" s="995"/>
      <c r="H57" s="995"/>
      <c r="I57" s="995"/>
      <c r="J57" s="995"/>
      <c r="K57" s="1058"/>
      <c r="L57" s="1059"/>
      <c r="M57" s="995"/>
      <c r="N57" s="995"/>
      <c r="O57" s="995"/>
    </row>
    <row r="58" spans="1:29" ht="21">
      <c r="A58" s="1098" t="s">
        <v>990</v>
      </c>
      <c r="B58" s="1081"/>
      <c r="C58" s="1099"/>
      <c r="D58" s="1099"/>
      <c r="E58" s="1099"/>
      <c r="F58" s="1100"/>
      <c r="G58" s="1100"/>
      <c r="H58" s="1099"/>
      <c r="I58" s="1099"/>
      <c r="J58" s="1099"/>
      <c r="K58" s="1286"/>
      <c r="L58" s="1159"/>
      <c r="M58" s="1157"/>
      <c r="N58" s="1157"/>
      <c r="O58" s="1157"/>
      <c r="P58" s="1393"/>
      <c r="Q58" s="1164"/>
    </row>
    <row r="59" spans="1:29" s="879" customFormat="1" ht="15">
      <c r="A59" s="1274" t="s">
        <v>938</v>
      </c>
      <c r="B59" s="1275"/>
      <c r="C59" s="1276" t="str">
        <f>YEAR(C7)&amp;"-"&amp;MONTH(C7)</f>
        <v>2021-7</v>
      </c>
      <c r="D59" s="1277">
        <f>EDATE(C59,-1)</f>
        <v>44348</v>
      </c>
      <c r="E59" s="1277">
        <f>EDATE(D59,-1)</f>
        <v>44317</v>
      </c>
      <c r="F59" s="1277">
        <f t="shared" ref="F59:O59" si="16">EDATE(E59,-1)</f>
        <v>44287</v>
      </c>
      <c r="G59" s="1277">
        <f t="shared" si="16"/>
        <v>44256</v>
      </c>
      <c r="H59" s="1277">
        <f t="shared" si="16"/>
        <v>44228</v>
      </c>
      <c r="I59" s="1277">
        <f t="shared" si="16"/>
        <v>44197</v>
      </c>
      <c r="J59" s="1277">
        <f t="shared" si="16"/>
        <v>44166</v>
      </c>
      <c r="K59" s="1277">
        <f t="shared" si="16"/>
        <v>44136</v>
      </c>
      <c r="L59" s="1277">
        <f t="shared" si="16"/>
        <v>44105</v>
      </c>
      <c r="M59" s="1277">
        <f t="shared" si="16"/>
        <v>44075</v>
      </c>
      <c r="N59" s="1277">
        <f t="shared" si="16"/>
        <v>44044</v>
      </c>
      <c r="O59" s="1277">
        <f t="shared" si="16"/>
        <v>44013</v>
      </c>
      <c r="P59" s="1394"/>
    </row>
    <row r="60" spans="1:29" s="874" customFormat="1" ht="15">
      <c r="A60" s="1278"/>
      <c r="B60" s="1112"/>
      <c r="C60" s="1279">
        <v>100</v>
      </c>
      <c r="D60" s="1116"/>
      <c r="E60" s="1116"/>
      <c r="F60" s="1116"/>
      <c r="G60" s="1116"/>
      <c r="H60" s="1116"/>
      <c r="I60" s="1116"/>
      <c r="J60" s="1116"/>
      <c r="K60" s="1116"/>
      <c r="L60" s="1116"/>
      <c r="M60" s="1288"/>
      <c r="N60" s="1116"/>
      <c r="O60" s="1288"/>
      <c r="P60" s="1395"/>
    </row>
    <row r="61" spans="1:29" s="874" customFormat="1" ht="15">
      <c r="A61" s="1107" t="s">
        <v>992</v>
      </c>
      <c r="B61" s="1108"/>
      <c r="C61" s="1109"/>
      <c r="D61" s="1110"/>
      <c r="E61" s="1110"/>
      <c r="F61" s="1110"/>
      <c r="G61" s="1110"/>
      <c r="H61" s="1110"/>
      <c r="I61" s="1110"/>
      <c r="J61" s="1110"/>
      <c r="K61" s="1110"/>
      <c r="L61" s="1110"/>
      <c r="M61" s="1165"/>
      <c r="N61" s="1110"/>
      <c r="O61" s="1165"/>
      <c r="P61" s="1395"/>
      <c r="Q61" s="1164"/>
    </row>
    <row r="62" spans="1:29" s="874" customFormat="1" ht="15">
      <c r="A62" s="1111" t="s">
        <v>941</v>
      </c>
      <c r="B62" s="1112"/>
      <c r="C62" s="1113" t="s">
        <v>942</v>
      </c>
      <c r="D62" s="1114"/>
      <c r="E62" s="1114"/>
      <c r="F62" s="1114"/>
      <c r="G62" s="1114"/>
      <c r="H62" s="1114"/>
      <c r="I62" s="1114"/>
      <c r="J62" s="1114"/>
      <c r="K62" s="1114"/>
      <c r="L62" s="1167"/>
      <c r="M62" s="1168"/>
      <c r="N62" s="1169"/>
      <c r="O62" s="1169"/>
      <c r="P62" s="1396"/>
      <c r="Q62" s="1164"/>
    </row>
    <row r="63" spans="1:29" s="874" customFormat="1" ht="15">
      <c r="A63" s="1111"/>
      <c r="B63" s="1112"/>
      <c r="C63" s="1391">
        <v>100</v>
      </c>
      <c r="D63" s="1116"/>
      <c r="E63" s="1116"/>
      <c r="F63" s="1116"/>
      <c r="G63" s="1116"/>
      <c r="H63" s="1116"/>
      <c r="I63" s="1116"/>
      <c r="J63" s="1116"/>
      <c r="K63" s="1116"/>
      <c r="L63" s="1116"/>
      <c r="M63" s="1171"/>
      <c r="N63" s="1169"/>
      <c r="O63" s="1169"/>
      <c r="P63" s="1395"/>
      <c r="Q63" s="1164"/>
    </row>
    <row r="64" spans="1:29">
      <c r="A64" s="1117" t="s">
        <v>993</v>
      </c>
      <c r="B64" s="1118" t="s">
        <v>349</v>
      </c>
      <c r="C64" s="1140">
        <f>C9</f>
        <v>0</v>
      </c>
      <c r="D64" s="1051"/>
      <c r="E64" s="1051"/>
      <c r="F64" s="1051"/>
      <c r="G64" s="1051"/>
      <c r="H64" s="1051"/>
      <c r="I64" s="1051"/>
      <c r="J64" s="1051"/>
      <c r="K64" s="1172"/>
      <c r="L64" s="1173"/>
      <c r="M64" s="1174"/>
      <c r="N64" s="1175"/>
      <c r="O64" s="1175"/>
      <c r="P64" s="1397"/>
      <c r="Q64" s="1164"/>
    </row>
    <row r="65" spans="1:17" ht="15">
      <c r="A65" s="1119"/>
      <c r="B65" s="1120"/>
      <c r="C65" s="1121">
        <v>100</v>
      </c>
      <c r="D65" s="1121"/>
      <c r="E65" s="1121"/>
      <c r="F65" s="1121"/>
      <c r="G65" s="1121"/>
      <c r="H65" s="1121"/>
      <c r="I65" s="1121"/>
      <c r="J65" s="1121"/>
      <c r="K65" s="1121"/>
      <c r="L65" s="1121"/>
      <c r="M65" s="1177"/>
      <c r="N65" s="1178"/>
      <c r="O65" s="1178"/>
      <c r="P65" s="1397"/>
      <c r="Q65" s="1164"/>
    </row>
    <row r="66" spans="1:17" ht="27">
      <c r="A66" s="1119"/>
      <c r="B66" s="1122" t="s">
        <v>947</v>
      </c>
      <c r="C66" s="1123" t="s">
        <v>1456</v>
      </c>
      <c r="D66" s="1123" t="s">
        <v>1457</v>
      </c>
      <c r="E66" s="1123" t="s">
        <v>1458</v>
      </c>
      <c r="F66" s="1123" t="s">
        <v>1459</v>
      </c>
      <c r="G66" s="1123" t="s">
        <v>1460</v>
      </c>
      <c r="H66" s="1123" t="s">
        <v>1461</v>
      </c>
      <c r="I66" s="1123" t="s">
        <v>1462</v>
      </c>
      <c r="J66" s="1123"/>
      <c r="K66" s="1179"/>
      <c r="L66" s="1180"/>
      <c r="M66" s="1181"/>
      <c r="N66" s="1175"/>
      <c r="O66" s="1175"/>
      <c r="P66" s="1397"/>
      <c r="Q66" s="1164"/>
    </row>
    <row r="67" spans="1:17" ht="15">
      <c r="A67" s="1119"/>
      <c r="B67" s="1124"/>
      <c r="C67" s="1125" t="s">
        <v>989</v>
      </c>
      <c r="D67" s="1125" t="s">
        <v>989</v>
      </c>
      <c r="E67" s="1125">
        <v>100</v>
      </c>
      <c r="F67" s="1125">
        <f>E67-$K10</f>
        <v>100</v>
      </c>
      <c r="G67" s="1125">
        <f>F67-$K10</f>
        <v>100</v>
      </c>
      <c r="H67" s="1125">
        <f>G67-$K10</f>
        <v>100</v>
      </c>
      <c r="I67" s="1125">
        <f>H67-$K10</f>
        <v>100</v>
      </c>
      <c r="J67" s="1125"/>
      <c r="K67" s="1125"/>
      <c r="L67" s="1125"/>
      <c r="M67" s="1182"/>
      <c r="N67" s="1178"/>
      <c r="O67" s="1178"/>
      <c r="P67" s="1397"/>
      <c r="Q67" s="1164"/>
    </row>
    <row r="68" spans="1:17" ht="15">
      <c r="A68" s="1119"/>
      <c r="B68" s="1126" t="s">
        <v>948</v>
      </c>
      <c r="C68" s="1127" t="str">
        <f>C69&amp;"（含）"&amp;"-"&amp;D69</f>
        <v>（含）-</v>
      </c>
      <c r="D68" s="1127" t="str">
        <f t="shared" ref="D68:L68" si="17">D69&amp;"（含）"&amp;"-"&amp;E69</f>
        <v>（含）-</v>
      </c>
      <c r="E68" s="1127" t="str">
        <f t="shared" si="17"/>
        <v>（含）-</v>
      </c>
      <c r="F68" s="1127" t="str">
        <f t="shared" si="17"/>
        <v>（含）-</v>
      </c>
      <c r="G68" s="1127" t="str">
        <f t="shared" si="17"/>
        <v>（含）-</v>
      </c>
      <c r="H68" s="1127" t="str">
        <f t="shared" si="17"/>
        <v>（含）-</v>
      </c>
      <c r="I68" s="1127" t="str">
        <f t="shared" si="17"/>
        <v>（含）-</v>
      </c>
      <c r="J68" s="1127" t="str">
        <f t="shared" si="17"/>
        <v>（含）-</v>
      </c>
      <c r="K68" s="1127" t="str">
        <f t="shared" si="17"/>
        <v>（含）-</v>
      </c>
      <c r="L68" s="1127" t="str">
        <f t="shared" si="17"/>
        <v>（含）-</v>
      </c>
      <c r="M68" s="939" t="str">
        <f>M69&amp;"（含）"&amp;"-"&amp;P69</f>
        <v>（含）-</v>
      </c>
      <c r="N68" s="1178"/>
      <c r="O68" s="1178"/>
      <c r="P68" s="1397"/>
      <c r="Q68" s="1164"/>
    </row>
    <row r="69" spans="1:17" ht="15">
      <c r="A69" s="1119"/>
      <c r="B69" s="1128"/>
      <c r="C69" s="926"/>
      <c r="D69" s="926"/>
      <c r="E69" s="926"/>
      <c r="F69" s="926"/>
      <c r="G69" s="926"/>
      <c r="H69" s="926"/>
      <c r="I69" s="926"/>
      <c r="J69" s="926"/>
      <c r="K69" s="1183"/>
      <c r="L69" s="1184"/>
      <c r="M69" s="1185"/>
      <c r="N69" s="1175"/>
      <c r="O69" s="1175"/>
      <c r="P69" s="1397"/>
      <c r="Q69" s="1164"/>
    </row>
    <row r="70" spans="1:17" ht="15">
      <c r="A70" s="1119"/>
      <c r="B70" s="1120"/>
      <c r="C70" s="1125">
        <v>100</v>
      </c>
      <c r="D70" s="1125">
        <f t="shared" ref="D70:M70" si="18">C70-$K11</f>
        <v>100</v>
      </c>
      <c r="E70" s="1125">
        <f t="shared" si="18"/>
        <v>100</v>
      </c>
      <c r="F70" s="1125">
        <f t="shared" si="18"/>
        <v>100</v>
      </c>
      <c r="G70" s="1125">
        <f t="shared" si="18"/>
        <v>100</v>
      </c>
      <c r="H70" s="1125">
        <f t="shared" si="18"/>
        <v>100</v>
      </c>
      <c r="I70" s="1125">
        <f t="shared" si="18"/>
        <v>100</v>
      </c>
      <c r="J70" s="1125">
        <f t="shared" si="18"/>
        <v>100</v>
      </c>
      <c r="K70" s="1125">
        <f t="shared" si="18"/>
        <v>100</v>
      </c>
      <c r="L70" s="1125">
        <f t="shared" si="18"/>
        <v>100</v>
      </c>
      <c r="M70" s="1182">
        <f t="shared" si="18"/>
        <v>100</v>
      </c>
      <c r="N70" s="1178"/>
      <c r="O70" s="1178"/>
      <c r="P70" s="1397"/>
      <c r="Q70" s="1164"/>
    </row>
    <row r="71" spans="1:17" s="876" customFormat="1" ht="15">
      <c r="A71" s="1129"/>
      <c r="B71" s="1122">
        <f>B12</f>
        <v>111</v>
      </c>
      <c r="C71" s="1130"/>
      <c r="D71" s="1130"/>
      <c r="E71" s="1130"/>
      <c r="F71" s="1130"/>
      <c r="G71" s="1130"/>
      <c r="H71" s="1131"/>
      <c r="I71" s="1131"/>
      <c r="J71" s="1131"/>
      <c r="K71" s="1131"/>
      <c r="L71" s="1186"/>
      <c r="M71" s="1187"/>
      <c r="N71" s="1188"/>
      <c r="O71" s="1188"/>
      <c r="P71" s="1404"/>
      <c r="Q71" s="1217"/>
    </row>
    <row r="72" spans="1:17" s="876" customFormat="1" ht="15">
      <c r="A72" s="1129"/>
      <c r="B72" s="1124"/>
      <c r="C72" s="1132"/>
      <c r="D72" s="1121"/>
      <c r="E72" s="1121"/>
      <c r="F72" s="1121"/>
      <c r="G72" s="1121"/>
      <c r="H72" s="1121"/>
      <c r="I72" s="1121"/>
      <c r="J72" s="1121"/>
      <c r="K72" s="1121"/>
      <c r="L72" s="1121"/>
      <c r="M72" s="1177"/>
      <c r="N72" s="1178"/>
      <c r="O72" s="1178"/>
      <c r="P72" s="1404"/>
      <c r="Q72" s="1217"/>
    </row>
    <row r="73" spans="1:17" s="876" customFormat="1" ht="15">
      <c r="A73" s="1129"/>
      <c r="B73" s="1122">
        <f>B13</f>
        <v>111</v>
      </c>
      <c r="C73" s="1130"/>
      <c r="D73" s="1130"/>
      <c r="E73" s="1130"/>
      <c r="F73" s="1130"/>
      <c r="G73" s="1130"/>
      <c r="H73" s="1131"/>
      <c r="I73" s="1131"/>
      <c r="J73" s="1131"/>
      <c r="K73" s="1131"/>
      <c r="L73" s="1186"/>
      <c r="M73" s="1187"/>
      <c r="N73" s="1188"/>
      <c r="O73" s="1188"/>
      <c r="P73" s="1405"/>
      <c r="Q73" s="1218"/>
    </row>
    <row r="74" spans="1:17" s="876" customFormat="1" ht="15">
      <c r="A74" s="1129"/>
      <c r="B74" s="1124"/>
      <c r="C74" s="1132"/>
      <c r="D74" s="1132"/>
      <c r="E74" s="1132"/>
      <c r="F74" s="1132"/>
      <c r="G74" s="1132"/>
      <c r="H74" s="1133"/>
      <c r="I74" s="1133"/>
      <c r="J74" s="1133"/>
      <c r="K74" s="1133"/>
      <c r="L74" s="1133"/>
      <c r="M74" s="1191"/>
      <c r="N74" s="1188"/>
      <c r="O74" s="1188"/>
      <c r="P74" s="1404"/>
      <c r="Q74" s="1217"/>
    </row>
    <row r="75" spans="1:17" s="876" customFormat="1" ht="15">
      <c r="A75" s="1129"/>
      <c r="B75" s="1126">
        <f>B14</f>
        <v>111</v>
      </c>
      <c r="C75" s="1114"/>
      <c r="D75" s="1114"/>
      <c r="E75" s="1114"/>
      <c r="F75" s="1114"/>
      <c r="G75" s="1114"/>
      <c r="H75" s="1134"/>
      <c r="I75" s="1134"/>
      <c r="J75" s="1134"/>
      <c r="K75" s="1134"/>
      <c r="L75" s="1192"/>
      <c r="M75" s="1193"/>
      <c r="N75" s="1188"/>
      <c r="O75" s="1188"/>
      <c r="P75" s="1406"/>
      <c r="Q75" s="1217"/>
    </row>
    <row r="76" spans="1:17" s="876" customFormat="1" ht="15">
      <c r="A76" s="1135"/>
      <c r="B76" s="1136"/>
      <c r="C76" s="1137"/>
      <c r="D76" s="1137"/>
      <c r="E76" s="1137"/>
      <c r="F76" s="1137"/>
      <c r="G76" s="1137"/>
      <c r="H76" s="1138"/>
      <c r="I76" s="1138"/>
      <c r="J76" s="1138"/>
      <c r="K76" s="1138"/>
      <c r="L76" s="1138"/>
      <c r="M76" s="1195"/>
      <c r="N76" s="1188"/>
      <c r="O76" s="1188"/>
      <c r="P76" s="1404"/>
      <c r="Q76" s="1217"/>
    </row>
    <row r="77" spans="1:17">
      <c r="A77" s="1117" t="s">
        <v>949</v>
      </c>
      <c r="B77" s="1118" t="s">
        <v>665</v>
      </c>
      <c r="C77" s="1139" t="s">
        <v>994</v>
      </c>
      <c r="D77" s="1139" t="s">
        <v>995</v>
      </c>
      <c r="E77" s="1139" t="s">
        <v>996</v>
      </c>
      <c r="F77" s="1139" t="s">
        <v>997</v>
      </c>
      <c r="G77" s="1139" t="s">
        <v>998</v>
      </c>
      <c r="H77" s="1140"/>
      <c r="I77" s="1140"/>
      <c r="J77" s="1140"/>
      <c r="K77" s="1196"/>
      <c r="L77" s="1197"/>
      <c r="M77" s="1198"/>
      <c r="N77" s="1175"/>
      <c r="O77" s="1175"/>
      <c r="P77" s="1407"/>
      <c r="Q77" s="1164"/>
    </row>
    <row r="78" spans="1:17" ht="15">
      <c r="A78" s="1119"/>
      <c r="B78" s="1124"/>
      <c r="C78" s="1125">
        <v>100</v>
      </c>
      <c r="D78" s="1125">
        <f>C78-$K15</f>
        <v>100</v>
      </c>
      <c r="E78" s="1125">
        <f>D78-$K15</f>
        <v>100</v>
      </c>
      <c r="F78" s="1125">
        <f>E78-$K15</f>
        <v>100</v>
      </c>
      <c r="G78" s="1125">
        <f>F78-$K15</f>
        <v>100</v>
      </c>
      <c r="H78" s="1125"/>
      <c r="I78" s="1125"/>
      <c r="J78" s="1125"/>
      <c r="K78" s="1125"/>
      <c r="L78" s="1125"/>
      <c r="M78" s="1182"/>
      <c r="N78" s="1178"/>
      <c r="O78" s="1178"/>
      <c r="P78" s="1397"/>
      <c r="Q78" s="1164"/>
    </row>
    <row r="79" spans="1:17" ht="15">
      <c r="A79" s="1119"/>
      <c r="B79" s="1122" t="s">
        <v>663</v>
      </c>
      <c r="C79" s="1141" t="s">
        <v>994</v>
      </c>
      <c r="D79" s="1141" t="s">
        <v>995</v>
      </c>
      <c r="E79" s="1141" t="s">
        <v>996</v>
      </c>
      <c r="F79" s="1141" t="s">
        <v>997</v>
      </c>
      <c r="G79" s="1141" t="s">
        <v>998</v>
      </c>
      <c r="H79" s="1123"/>
      <c r="I79" s="1123"/>
      <c r="J79" s="1123"/>
      <c r="K79" s="1179"/>
      <c r="L79" s="1180"/>
      <c r="M79" s="1181"/>
      <c r="N79" s="1175"/>
      <c r="O79" s="1175"/>
      <c r="P79" s="1397"/>
      <c r="Q79" s="1164"/>
    </row>
    <row r="80" spans="1:17" ht="15">
      <c r="A80" s="1119"/>
      <c r="B80" s="1124"/>
      <c r="C80" s="1125">
        <v>100</v>
      </c>
      <c r="D80" s="1125">
        <f>C80-$K17</f>
        <v>100</v>
      </c>
      <c r="E80" s="1125">
        <f>D80-$K17</f>
        <v>100</v>
      </c>
      <c r="F80" s="1125">
        <f>E80-$K17</f>
        <v>100</v>
      </c>
      <c r="G80" s="1125">
        <f>F80-$K17</f>
        <v>100</v>
      </c>
      <c r="H80" s="1125"/>
      <c r="I80" s="1125"/>
      <c r="J80" s="1125"/>
      <c r="K80" s="1125"/>
      <c r="L80" s="1125"/>
      <c r="M80" s="1182"/>
      <c r="N80" s="1178"/>
      <c r="O80" s="1178"/>
      <c r="P80" s="1397"/>
      <c r="Q80" s="1164"/>
    </row>
    <row r="81" spans="1:17" ht="15">
      <c r="A81" s="1119"/>
      <c r="B81" s="1122" t="s">
        <v>667</v>
      </c>
      <c r="C81" s="1141" t="s">
        <v>994</v>
      </c>
      <c r="D81" s="1141" t="s">
        <v>995</v>
      </c>
      <c r="E81" s="1141" t="s">
        <v>996</v>
      </c>
      <c r="F81" s="1141" t="s">
        <v>997</v>
      </c>
      <c r="G81" s="1141" t="s">
        <v>998</v>
      </c>
      <c r="H81" s="1123"/>
      <c r="I81" s="1123"/>
      <c r="J81" s="1123"/>
      <c r="K81" s="1179"/>
      <c r="L81" s="1180"/>
      <c r="M81" s="1181"/>
      <c r="N81" s="1175"/>
      <c r="O81" s="1175"/>
      <c r="P81" s="1397"/>
      <c r="Q81" s="1164"/>
    </row>
    <row r="82" spans="1:17" ht="15">
      <c r="A82" s="1119"/>
      <c r="B82" s="1124"/>
      <c r="C82" s="1125">
        <v>100</v>
      </c>
      <c r="D82" s="1125">
        <f>C82-$K19</f>
        <v>100</v>
      </c>
      <c r="E82" s="1125">
        <f>D82-$K19</f>
        <v>100</v>
      </c>
      <c r="F82" s="1125">
        <f>E82-$K19</f>
        <v>100</v>
      </c>
      <c r="G82" s="1125">
        <f>F82-$K19</f>
        <v>100</v>
      </c>
      <c r="H82" s="1125"/>
      <c r="I82" s="1125"/>
      <c r="J82" s="1125"/>
      <c r="K82" s="1125"/>
      <c r="L82" s="1125"/>
      <c r="M82" s="1182"/>
      <c r="N82" s="1178"/>
      <c r="O82" s="1178"/>
      <c r="P82" s="1397"/>
      <c r="Q82" s="1164"/>
    </row>
    <row r="83" spans="1:17" ht="15">
      <c r="A83" s="1119"/>
      <c r="B83" s="1126" t="s">
        <v>669</v>
      </c>
      <c r="C83" s="1146" t="s">
        <v>999</v>
      </c>
      <c r="D83" s="1146" t="s">
        <v>1000</v>
      </c>
      <c r="E83" s="1146" t="s">
        <v>1001</v>
      </c>
      <c r="F83" s="1146" t="s">
        <v>1002</v>
      </c>
      <c r="G83" s="1146" t="s">
        <v>1003</v>
      </c>
      <c r="H83" s="1123"/>
      <c r="I83" s="1123"/>
      <c r="J83" s="1123"/>
      <c r="K83" s="1123"/>
      <c r="L83" s="1123"/>
      <c r="M83" s="1294"/>
      <c r="N83" s="1178"/>
      <c r="O83" s="1178"/>
      <c r="P83" s="1397"/>
      <c r="Q83" s="1164"/>
    </row>
    <row r="84" spans="1:17" ht="15">
      <c r="A84" s="1119"/>
      <c r="B84" s="1126"/>
      <c r="C84" s="1125">
        <v>100</v>
      </c>
      <c r="D84" s="1125">
        <f>C84-$K21</f>
        <v>100</v>
      </c>
      <c r="E84" s="1125">
        <f>D84-$K21</f>
        <v>100</v>
      </c>
      <c r="F84" s="1125">
        <f>E84-$K21</f>
        <v>100</v>
      </c>
      <c r="G84" s="1125">
        <f>F84-$K21</f>
        <v>100</v>
      </c>
      <c r="H84" s="1146"/>
      <c r="I84" s="1146"/>
      <c r="J84" s="1146"/>
      <c r="K84" s="1146"/>
      <c r="L84" s="1146"/>
      <c r="M84" s="941"/>
      <c r="N84" s="1178"/>
      <c r="O84" s="1178"/>
      <c r="P84" s="1397"/>
      <c r="Q84" s="1164"/>
    </row>
    <row r="85" spans="1:17" ht="15">
      <c r="A85" s="1119"/>
      <c r="B85" s="1122" t="s">
        <v>1494</v>
      </c>
      <c r="C85" s="1141" t="s">
        <v>994</v>
      </c>
      <c r="D85" s="1141" t="s">
        <v>995</v>
      </c>
      <c r="E85" s="1141" t="s">
        <v>996</v>
      </c>
      <c r="F85" s="1141" t="s">
        <v>997</v>
      </c>
      <c r="G85" s="1141" t="s">
        <v>998</v>
      </c>
      <c r="H85" s="1123"/>
      <c r="I85" s="1123"/>
      <c r="J85" s="1123"/>
      <c r="K85" s="1179"/>
      <c r="L85" s="1180"/>
      <c r="M85" s="1181"/>
      <c r="N85" s="1175"/>
      <c r="O85" s="1175"/>
      <c r="P85" s="1397"/>
      <c r="Q85" s="1164"/>
    </row>
    <row r="86" spans="1:17" ht="15">
      <c r="A86" s="1119"/>
      <c r="B86" s="1124"/>
      <c r="C86" s="1125">
        <v>100</v>
      </c>
      <c r="D86" s="1125">
        <f>C86-$K23</f>
        <v>100</v>
      </c>
      <c r="E86" s="1125">
        <f>D86-$K23</f>
        <v>100</v>
      </c>
      <c r="F86" s="1125">
        <f>E86-$K23</f>
        <v>100</v>
      </c>
      <c r="G86" s="1125">
        <f>F86-$K23</f>
        <v>100</v>
      </c>
      <c r="H86" s="1125"/>
      <c r="I86" s="1125"/>
      <c r="J86" s="1125"/>
      <c r="K86" s="1125"/>
      <c r="L86" s="1125"/>
      <c r="M86" s="1182"/>
      <c r="N86" s="1178"/>
      <c r="O86" s="1178"/>
      <c r="P86" s="1397"/>
      <c r="Q86" s="1164"/>
    </row>
    <row r="87" spans="1:17" s="874" customFormat="1" ht="27">
      <c r="A87" s="1142"/>
      <c r="B87" s="1122" t="s">
        <v>675</v>
      </c>
      <c r="C87" s="1130"/>
      <c r="D87" s="1130"/>
      <c r="E87" s="1130"/>
      <c r="F87" s="1130"/>
      <c r="G87" s="1130"/>
      <c r="H87" s="1130"/>
      <c r="I87" s="1130"/>
      <c r="J87" s="1130"/>
      <c r="K87" s="1130"/>
      <c r="L87" s="1295"/>
      <c r="M87" s="1296"/>
      <c r="N87" s="1169"/>
      <c r="O87" s="1169"/>
      <c r="P87" s="1397"/>
      <c r="Q87" s="1164"/>
    </row>
    <row r="88" spans="1:17" s="874" customFormat="1" ht="15">
      <c r="A88" s="1142"/>
      <c r="B88" s="1124"/>
      <c r="C88" s="1143">
        <v>100</v>
      </c>
      <c r="D88" s="1125">
        <f t="shared" ref="D88:M88" si="19">C88-$K25</f>
        <v>100</v>
      </c>
      <c r="E88" s="1125">
        <f t="shared" si="19"/>
        <v>100</v>
      </c>
      <c r="F88" s="1125">
        <f t="shared" si="19"/>
        <v>100</v>
      </c>
      <c r="G88" s="1125">
        <f t="shared" si="19"/>
        <v>100</v>
      </c>
      <c r="H88" s="1125">
        <f t="shared" si="19"/>
        <v>100</v>
      </c>
      <c r="I88" s="1125">
        <f t="shared" si="19"/>
        <v>100</v>
      </c>
      <c r="J88" s="1125">
        <f t="shared" si="19"/>
        <v>100</v>
      </c>
      <c r="K88" s="1125">
        <f t="shared" si="19"/>
        <v>100</v>
      </c>
      <c r="L88" s="1125">
        <f t="shared" si="19"/>
        <v>100</v>
      </c>
      <c r="M88" s="1125">
        <f t="shared" si="19"/>
        <v>100</v>
      </c>
      <c r="N88" s="1178"/>
      <c r="O88" s="1178"/>
      <c r="P88" s="1397"/>
      <c r="Q88" s="1164"/>
    </row>
    <row r="89" spans="1:17" s="874" customFormat="1" ht="15">
      <c r="A89" s="1142"/>
      <c r="B89" s="1122" t="str">
        <f>B27</f>
        <v>楼层</v>
      </c>
      <c r="C89" s="1130"/>
      <c r="D89" s="1130"/>
      <c r="E89" s="1130"/>
      <c r="F89" s="1403"/>
      <c r="G89" s="1130"/>
      <c r="H89" s="1130"/>
      <c r="I89" s="1130"/>
      <c r="J89" s="1130"/>
      <c r="K89" s="1130"/>
      <c r="L89" s="1130"/>
      <c r="M89" s="1296"/>
      <c r="N89" s="1169"/>
      <c r="O89" s="1169"/>
      <c r="P89" s="1397"/>
      <c r="Q89" s="1164"/>
    </row>
    <row r="90" spans="1:17" s="874" customFormat="1" ht="15">
      <c r="A90" s="1142"/>
      <c r="B90" s="1124"/>
      <c r="C90" s="1143">
        <v>100</v>
      </c>
      <c r="D90" s="1125">
        <f>C90-$K27</f>
        <v>100</v>
      </c>
      <c r="E90" s="1125">
        <f t="shared" ref="E90:M90" si="20">D90-$K27</f>
        <v>100</v>
      </c>
      <c r="F90" s="1125">
        <f t="shared" si="20"/>
        <v>100</v>
      </c>
      <c r="G90" s="1125">
        <f t="shared" si="20"/>
        <v>100</v>
      </c>
      <c r="H90" s="1125">
        <f t="shared" si="20"/>
        <v>100</v>
      </c>
      <c r="I90" s="1125">
        <f t="shared" si="20"/>
        <v>100</v>
      </c>
      <c r="J90" s="1125">
        <f t="shared" si="20"/>
        <v>100</v>
      </c>
      <c r="K90" s="1125">
        <f t="shared" si="20"/>
        <v>100</v>
      </c>
      <c r="L90" s="1125">
        <f t="shared" si="20"/>
        <v>100</v>
      </c>
      <c r="M90" s="1125">
        <f t="shared" si="20"/>
        <v>100</v>
      </c>
      <c r="N90" s="1178"/>
      <c r="O90" s="1178"/>
      <c r="P90" s="1397"/>
      <c r="Q90" s="1164"/>
    </row>
    <row r="91" spans="1:17" s="876" customFormat="1" ht="15">
      <c r="A91" s="1129"/>
      <c r="B91" s="1122" t="str">
        <f>B28</f>
        <v>朝向</v>
      </c>
      <c r="C91" s="1130"/>
      <c r="D91" s="1130"/>
      <c r="E91" s="1130"/>
      <c r="F91" s="1130"/>
      <c r="G91" s="1130"/>
      <c r="H91" s="1131"/>
      <c r="I91" s="1131"/>
      <c r="J91" s="1131"/>
      <c r="K91" s="1131"/>
      <c r="L91" s="1186"/>
      <c r="M91" s="1187"/>
      <c r="N91" s="1188"/>
      <c r="O91" s="1188"/>
      <c r="P91" s="1404"/>
      <c r="Q91" s="1217"/>
    </row>
    <row r="92" spans="1:17" s="876" customFormat="1" ht="15">
      <c r="A92" s="1129"/>
      <c r="B92" s="1124"/>
      <c r="C92" s="1143">
        <v>100</v>
      </c>
      <c r="D92" s="1125">
        <f t="shared" ref="D92:M92" si="21">C92-$K28</f>
        <v>100</v>
      </c>
      <c r="E92" s="1125">
        <f t="shared" si="21"/>
        <v>100</v>
      </c>
      <c r="F92" s="1125">
        <f t="shared" si="21"/>
        <v>100</v>
      </c>
      <c r="G92" s="1125">
        <f t="shared" si="21"/>
        <v>100</v>
      </c>
      <c r="H92" s="1125">
        <f t="shared" si="21"/>
        <v>100</v>
      </c>
      <c r="I92" s="1125">
        <f t="shared" si="21"/>
        <v>100</v>
      </c>
      <c r="J92" s="1125">
        <f t="shared" si="21"/>
        <v>100</v>
      </c>
      <c r="K92" s="1125">
        <f t="shared" si="21"/>
        <v>100</v>
      </c>
      <c r="L92" s="1125">
        <f t="shared" si="21"/>
        <v>100</v>
      </c>
      <c r="M92" s="1125">
        <f t="shared" si="21"/>
        <v>100</v>
      </c>
      <c r="N92" s="1188"/>
      <c r="O92" s="1188"/>
      <c r="P92" s="1404"/>
      <c r="Q92" s="1217"/>
    </row>
    <row r="93" spans="1:17" ht="15">
      <c r="A93" s="1119"/>
      <c r="B93" s="1122">
        <f>B29</f>
        <v>111</v>
      </c>
      <c r="C93" s="1130"/>
      <c r="D93" s="1130"/>
      <c r="E93" s="1130"/>
      <c r="F93" s="1130"/>
      <c r="G93" s="1130"/>
      <c r="H93" s="1130"/>
      <c r="I93" s="1130"/>
      <c r="J93" s="1130"/>
      <c r="K93" s="1130"/>
      <c r="L93" s="1295"/>
      <c r="M93" s="1296"/>
      <c r="N93" s="1175"/>
      <c r="O93" s="1175"/>
      <c r="P93" s="1397"/>
      <c r="Q93" s="1164"/>
    </row>
    <row r="94" spans="1:17" ht="15">
      <c r="A94" s="1119"/>
      <c r="B94" s="1124"/>
      <c r="C94" s="1132"/>
      <c r="D94" s="1121"/>
      <c r="E94" s="1121"/>
      <c r="F94" s="1121"/>
      <c r="G94" s="1121"/>
      <c r="H94" s="1121"/>
      <c r="I94" s="1121"/>
      <c r="J94" s="1121"/>
      <c r="K94" s="1121"/>
      <c r="L94" s="1121"/>
      <c r="M94" s="1177"/>
      <c r="N94" s="1178"/>
      <c r="O94" s="1178"/>
      <c r="P94" s="1397"/>
      <c r="Q94" s="1164"/>
    </row>
    <row r="95" spans="1:17" ht="15">
      <c r="A95" s="1119"/>
      <c r="B95" s="1122">
        <f>B30</f>
        <v>111</v>
      </c>
      <c r="C95" s="1130"/>
      <c r="D95" s="1130"/>
      <c r="E95" s="1130"/>
      <c r="F95" s="1130"/>
      <c r="G95" s="1147"/>
      <c r="H95" s="1147"/>
      <c r="I95" s="1147"/>
      <c r="J95" s="1147"/>
      <c r="K95" s="1206"/>
      <c r="L95" s="1207"/>
      <c r="M95" s="1208"/>
      <c r="N95" s="1175"/>
      <c r="O95" s="1175"/>
      <c r="P95" s="1397"/>
      <c r="Q95" s="1164"/>
    </row>
    <row r="96" spans="1:17" ht="15">
      <c r="A96" s="1119"/>
      <c r="B96" s="1124"/>
      <c r="C96" s="1132"/>
      <c r="D96" s="1132"/>
      <c r="E96" s="1132"/>
      <c r="F96" s="1132"/>
      <c r="G96" s="1121"/>
      <c r="H96" s="1121"/>
      <c r="I96" s="1121"/>
      <c r="J96" s="1121"/>
      <c r="K96" s="1121"/>
      <c r="L96" s="1121"/>
      <c r="M96" s="1177"/>
      <c r="N96" s="1178"/>
      <c r="O96" s="1178"/>
      <c r="P96" s="1397"/>
      <c r="Q96" s="1164"/>
    </row>
    <row r="97" spans="1:17" ht="15">
      <c r="A97" s="1119"/>
      <c r="B97" s="1122">
        <f>B31</f>
        <v>111</v>
      </c>
      <c r="C97" s="1130"/>
      <c r="D97" s="1130"/>
      <c r="E97" s="1130"/>
      <c r="F97" s="1130"/>
      <c r="G97" s="1147"/>
      <c r="H97" s="1147"/>
      <c r="I97" s="1147"/>
      <c r="J97" s="1147"/>
      <c r="K97" s="1206"/>
      <c r="L97" s="1207"/>
      <c r="M97" s="1208"/>
      <c r="N97" s="1175"/>
      <c r="O97" s="1175"/>
      <c r="P97" s="1397"/>
      <c r="Q97" s="1164"/>
    </row>
    <row r="98" spans="1:17" ht="15">
      <c r="A98" s="1119"/>
      <c r="B98" s="1124"/>
      <c r="C98" s="1132"/>
      <c r="D98" s="1121"/>
      <c r="E98" s="1121"/>
      <c r="F98" s="1121"/>
      <c r="G98" s="1121"/>
      <c r="H98" s="1121"/>
      <c r="I98" s="1121"/>
      <c r="J98" s="1121"/>
      <c r="K98" s="1121"/>
      <c r="L98" s="1121"/>
      <c r="M98" s="1177"/>
      <c r="N98" s="1178"/>
      <c r="O98" s="1178"/>
      <c r="P98" s="1397"/>
      <c r="Q98" s="1164"/>
    </row>
    <row r="99" spans="1:17" ht="15">
      <c r="A99" s="1119"/>
      <c r="B99" s="1126">
        <f>B32</f>
        <v>111</v>
      </c>
      <c r="C99" s="1114"/>
      <c r="D99" s="1114"/>
      <c r="E99" s="1114"/>
      <c r="F99" s="1114"/>
      <c r="G99" s="1148"/>
      <c r="H99" s="1148"/>
      <c r="I99" s="1148"/>
      <c r="J99" s="1148"/>
      <c r="K99" s="1209"/>
      <c r="L99" s="1210"/>
      <c r="M99" s="1211"/>
      <c r="N99" s="1175"/>
      <c r="O99" s="1175"/>
      <c r="P99" s="1397"/>
      <c r="Q99" s="1164"/>
    </row>
    <row r="100" spans="1:17" ht="15">
      <c r="A100" s="1378"/>
      <c r="B100" s="1136"/>
      <c r="C100" s="1137"/>
      <c r="D100" s="1137"/>
      <c r="E100" s="1137"/>
      <c r="F100" s="1137"/>
      <c r="G100" s="1149"/>
      <c r="H100" s="1149"/>
      <c r="I100" s="1149"/>
      <c r="J100" s="1149"/>
      <c r="K100" s="1149"/>
      <c r="L100" s="1149"/>
      <c r="M100" s="1212"/>
      <c r="N100" s="1178"/>
      <c r="O100" s="1178"/>
      <c r="P100" s="1397"/>
      <c r="Q100" s="1164"/>
    </row>
    <row r="101" spans="1:17">
      <c r="A101" s="1117" t="s">
        <v>952</v>
      </c>
      <c r="B101" s="1118" t="s">
        <v>1444</v>
      </c>
      <c r="C101" s="1051"/>
      <c r="D101" s="1051"/>
      <c r="E101" s="1051"/>
      <c r="F101" s="1051"/>
      <c r="G101" s="1051"/>
      <c r="H101" s="1051"/>
      <c r="I101" s="1051"/>
      <c r="J101" s="1051"/>
      <c r="K101" s="1172"/>
      <c r="L101" s="1173"/>
      <c r="M101" s="1174"/>
      <c r="N101" s="1175"/>
      <c r="O101" s="1175"/>
      <c r="P101" s="1397"/>
      <c r="Q101" s="1164"/>
    </row>
    <row r="102" spans="1:17" ht="15">
      <c r="A102" s="1119"/>
      <c r="B102" s="1124"/>
      <c r="C102" s="1125">
        <v>100</v>
      </c>
      <c r="D102" s="1125">
        <f t="shared" ref="D102:M102" si="22">C102-$K33</f>
        <v>100</v>
      </c>
      <c r="E102" s="1125">
        <f t="shared" si="22"/>
        <v>100</v>
      </c>
      <c r="F102" s="1125">
        <f t="shared" si="22"/>
        <v>100</v>
      </c>
      <c r="G102" s="1125">
        <f t="shared" si="22"/>
        <v>100</v>
      </c>
      <c r="H102" s="1125">
        <f t="shared" si="22"/>
        <v>100</v>
      </c>
      <c r="I102" s="1125">
        <f t="shared" si="22"/>
        <v>100</v>
      </c>
      <c r="J102" s="1125">
        <f t="shared" si="22"/>
        <v>100</v>
      </c>
      <c r="K102" s="1125">
        <f t="shared" si="22"/>
        <v>100</v>
      </c>
      <c r="L102" s="1125">
        <f t="shared" si="22"/>
        <v>100</v>
      </c>
      <c r="M102" s="1182">
        <f t="shared" si="22"/>
        <v>100</v>
      </c>
      <c r="N102" s="1178"/>
      <c r="O102" s="1178"/>
      <c r="P102" s="1397"/>
      <c r="Q102" s="1164"/>
    </row>
    <row r="103" spans="1:17" ht="15">
      <c r="A103" s="1119"/>
      <c r="B103" s="1122" t="s">
        <v>1445</v>
      </c>
      <c r="C103" s="1141" t="str">
        <f>C104&amp;"(含)"&amp;"-"&amp;D104</f>
        <v>(含)-</v>
      </c>
      <c r="D103" s="1141" t="str">
        <f t="shared" ref="D103:L103" si="23">D104&amp;"(含)"&amp;"-"&amp;E104</f>
        <v>(含)-</v>
      </c>
      <c r="E103" s="1141" t="str">
        <f t="shared" si="23"/>
        <v>(含)-</v>
      </c>
      <c r="F103" s="1141" t="str">
        <f t="shared" si="23"/>
        <v>(含)-</v>
      </c>
      <c r="G103" s="1141" t="str">
        <f t="shared" si="23"/>
        <v>(含)-</v>
      </c>
      <c r="H103" s="1141" t="str">
        <f t="shared" si="23"/>
        <v>(含)-</v>
      </c>
      <c r="I103" s="1141" t="str">
        <f t="shared" si="23"/>
        <v>(含)-</v>
      </c>
      <c r="J103" s="1141" t="str">
        <f t="shared" si="23"/>
        <v>(含)-</v>
      </c>
      <c r="K103" s="1141" t="str">
        <f t="shared" si="23"/>
        <v>(含)-</v>
      </c>
      <c r="L103" s="1141" t="str">
        <f t="shared" si="23"/>
        <v>(含)-</v>
      </c>
      <c r="M103" s="1201" t="str">
        <f>M104&amp;"(含)"&amp;"-"&amp;P104</f>
        <v>(含)-</v>
      </c>
      <c r="N103" s="1169"/>
      <c r="O103" s="1169"/>
      <c r="P103" s="1397"/>
      <c r="Q103" s="1164"/>
    </row>
    <row r="104" spans="1:17" s="876" customFormat="1">
      <c r="A104" s="1150"/>
      <c r="B104" s="1151"/>
      <c r="C104" s="1106"/>
      <c r="D104" s="1106"/>
      <c r="E104" s="1106"/>
      <c r="F104" s="1106"/>
      <c r="G104" s="1106"/>
      <c r="H104" s="1106"/>
      <c r="I104" s="1106"/>
      <c r="J104" s="1213"/>
      <c r="K104" s="1213"/>
      <c r="L104" s="1214"/>
      <c r="M104" s="1215"/>
      <c r="N104" s="1188"/>
      <c r="O104" s="1188"/>
      <c r="P104" s="1404"/>
      <c r="Q104" s="1217"/>
    </row>
    <row r="105" spans="1:17" s="876" customFormat="1" ht="15">
      <c r="A105" s="1129"/>
      <c r="B105" s="1124"/>
      <c r="C105" s="1132"/>
      <c r="D105" s="1121"/>
      <c r="E105" s="1121"/>
      <c r="F105" s="1121"/>
      <c r="G105" s="1121"/>
      <c r="H105" s="1121"/>
      <c r="I105" s="1121"/>
      <c r="J105" s="1121"/>
      <c r="K105" s="1121"/>
      <c r="L105" s="1121"/>
      <c r="M105" s="1177"/>
      <c r="N105" s="1178"/>
      <c r="O105" s="1178"/>
      <c r="P105" s="1404"/>
      <c r="Q105" s="1217"/>
    </row>
    <row r="106" spans="1:17">
      <c r="A106" s="1153"/>
      <c r="B106" s="1122" t="s">
        <v>1446</v>
      </c>
      <c r="C106" s="1130"/>
      <c r="D106" s="1130"/>
      <c r="E106" s="1147"/>
      <c r="F106" s="1147"/>
      <c r="G106" s="1147"/>
      <c r="H106" s="1147"/>
      <c r="I106" s="1147"/>
      <c r="J106" s="1147"/>
      <c r="K106" s="1206"/>
      <c r="L106" s="1207"/>
      <c r="M106" s="1208"/>
      <c r="N106" s="1175"/>
      <c r="O106" s="1175"/>
      <c r="P106" s="1397"/>
      <c r="Q106" s="1164"/>
    </row>
    <row r="107" spans="1:17" ht="15">
      <c r="A107" s="1119"/>
      <c r="B107" s="1124"/>
      <c r="C107" s="1125">
        <v>100</v>
      </c>
      <c r="D107" s="1125">
        <f t="shared" ref="D107:M107" si="24">C107-$K35</f>
        <v>100</v>
      </c>
      <c r="E107" s="1125">
        <f t="shared" si="24"/>
        <v>100</v>
      </c>
      <c r="F107" s="1125">
        <f t="shared" si="24"/>
        <v>100</v>
      </c>
      <c r="G107" s="1125">
        <f t="shared" si="24"/>
        <v>100</v>
      </c>
      <c r="H107" s="1125">
        <f t="shared" si="24"/>
        <v>100</v>
      </c>
      <c r="I107" s="1125">
        <f t="shared" si="24"/>
        <v>100</v>
      </c>
      <c r="J107" s="1125">
        <f t="shared" si="24"/>
        <v>100</v>
      </c>
      <c r="K107" s="1125">
        <f t="shared" si="24"/>
        <v>100</v>
      </c>
      <c r="L107" s="1125">
        <f t="shared" si="24"/>
        <v>100</v>
      </c>
      <c r="M107" s="1182">
        <f t="shared" si="24"/>
        <v>100</v>
      </c>
      <c r="N107" s="1178"/>
      <c r="O107" s="1178"/>
      <c r="P107" s="1397"/>
      <c r="Q107" s="1164"/>
    </row>
    <row r="108" spans="1:17">
      <c r="A108" s="1153"/>
      <c r="B108" s="1122" t="s">
        <v>1448</v>
      </c>
      <c r="C108" s="1130"/>
      <c r="D108" s="1130"/>
      <c r="E108" s="1130"/>
      <c r="F108" s="1147"/>
      <c r="G108" s="1147"/>
      <c r="H108" s="1147"/>
      <c r="I108" s="1147"/>
      <c r="J108" s="1147"/>
      <c r="K108" s="1206"/>
      <c r="L108" s="1207"/>
      <c r="M108" s="1208"/>
      <c r="N108" s="1175"/>
      <c r="O108" s="1175"/>
      <c r="P108" s="1397"/>
      <c r="Q108" s="1164"/>
    </row>
    <row r="109" spans="1:17" ht="15">
      <c r="A109" s="1119"/>
      <c r="B109" s="1124"/>
      <c r="C109" s="1125">
        <v>100</v>
      </c>
      <c r="D109" s="1125">
        <f t="shared" ref="D109:M109" si="25">C109-$K36</f>
        <v>100</v>
      </c>
      <c r="E109" s="1125">
        <f t="shared" si="25"/>
        <v>100</v>
      </c>
      <c r="F109" s="1125">
        <f t="shared" si="25"/>
        <v>100</v>
      </c>
      <c r="G109" s="1125">
        <f t="shared" si="25"/>
        <v>100</v>
      </c>
      <c r="H109" s="1125">
        <f t="shared" si="25"/>
        <v>100</v>
      </c>
      <c r="I109" s="1125">
        <f t="shared" si="25"/>
        <v>100</v>
      </c>
      <c r="J109" s="1125">
        <f t="shared" si="25"/>
        <v>100</v>
      </c>
      <c r="K109" s="1125">
        <f t="shared" si="25"/>
        <v>100</v>
      </c>
      <c r="L109" s="1125">
        <f t="shared" si="25"/>
        <v>100</v>
      </c>
      <c r="M109" s="1182">
        <f t="shared" si="25"/>
        <v>100</v>
      </c>
      <c r="N109" s="1178"/>
      <c r="O109" s="1178"/>
      <c r="P109" s="1397"/>
      <c r="Q109" s="1164"/>
    </row>
    <row r="110" spans="1:17">
      <c r="A110" s="1153"/>
      <c r="B110" s="1122" t="s">
        <v>570</v>
      </c>
      <c r="C110" s="1141" t="str">
        <f>C111&amp;"(含)"&amp;"-"&amp;D111</f>
        <v>0.5(含)-0.6</v>
      </c>
      <c r="D110" s="1141" t="str">
        <f>D111&amp;"(含)"&amp;"-"&amp;E111</f>
        <v>0.6(含)-0.7</v>
      </c>
      <c r="E110" s="1141" t="str">
        <f>E111&amp;"(含)"&amp;"-"&amp;F111</f>
        <v>0.7(含)-0.8</v>
      </c>
      <c r="F110" s="1141" t="str">
        <f>F111&amp;"(含)"&amp;"-"&amp;G111</f>
        <v>0.8(含)-0.9</v>
      </c>
      <c r="G110" s="1141" t="str">
        <f>G111&amp;"(含)"&amp;"-"&amp;ROUND(H111,0)&amp;"(含)"</f>
        <v>0.9(含)-1(含)</v>
      </c>
      <c r="H110" s="1141"/>
      <c r="I110" s="1147"/>
      <c r="J110" s="1147"/>
      <c r="K110" s="1206"/>
      <c r="L110" s="1207"/>
      <c r="M110" s="1208"/>
      <c r="N110" s="1175"/>
      <c r="O110" s="1175"/>
      <c r="P110" s="1397"/>
      <c r="Q110" s="1164"/>
    </row>
    <row r="111" spans="1:17">
      <c r="A111" s="1153"/>
      <c r="B111" s="1126"/>
      <c r="C111" s="809">
        <v>0.5</v>
      </c>
      <c r="D111" s="809">
        <v>0.6</v>
      </c>
      <c r="E111" s="809">
        <v>0.7</v>
      </c>
      <c r="F111" s="809">
        <v>0.8</v>
      </c>
      <c r="G111" s="809">
        <v>0.9</v>
      </c>
      <c r="H111" s="809">
        <v>1.0001</v>
      </c>
      <c r="I111" s="1368"/>
      <c r="J111" s="1368"/>
      <c r="K111" s="1369"/>
      <c r="L111" s="1370"/>
      <c r="M111" s="1371"/>
      <c r="N111" s="1175"/>
      <c r="O111" s="1175"/>
      <c r="P111" s="1397"/>
      <c r="Q111" s="1164"/>
    </row>
    <row r="112" spans="1:17" ht="15">
      <c r="A112" s="1119"/>
      <c r="B112" s="1124"/>
      <c r="C112" s="1143">
        <v>100</v>
      </c>
      <c r="D112" s="1125">
        <f>C112+$K37</f>
        <v>100</v>
      </c>
      <c r="E112" s="1125">
        <f t="shared" ref="E112:M112" si="26">D112+$K37</f>
        <v>100</v>
      </c>
      <c r="F112" s="1125">
        <f t="shared" si="26"/>
        <v>100</v>
      </c>
      <c r="G112" s="1125">
        <f t="shared" si="26"/>
        <v>100</v>
      </c>
      <c r="H112" s="1125">
        <f t="shared" si="26"/>
        <v>100</v>
      </c>
      <c r="I112" s="1125">
        <f t="shared" si="26"/>
        <v>100</v>
      </c>
      <c r="J112" s="1125">
        <f t="shared" si="26"/>
        <v>100</v>
      </c>
      <c r="K112" s="1125">
        <f t="shared" si="26"/>
        <v>100</v>
      </c>
      <c r="L112" s="1125">
        <f t="shared" si="26"/>
        <v>100</v>
      </c>
      <c r="M112" s="1125">
        <f t="shared" si="26"/>
        <v>100</v>
      </c>
      <c r="N112" s="1178"/>
      <c r="O112" s="1178"/>
      <c r="P112" s="1397"/>
      <c r="Q112" s="1164"/>
    </row>
    <row r="113" spans="1:17" s="876" customFormat="1">
      <c r="A113" s="1150"/>
      <c r="B113" s="1122" t="s">
        <v>1495</v>
      </c>
      <c r="C113" s="1130"/>
      <c r="D113" s="1130"/>
      <c r="E113" s="1130"/>
      <c r="F113" s="1130"/>
      <c r="G113" s="1130"/>
      <c r="H113" s="1147"/>
      <c r="I113" s="1147"/>
      <c r="J113" s="1147"/>
      <c r="K113" s="1206"/>
      <c r="L113" s="1207"/>
      <c r="M113" s="1208"/>
      <c r="N113" s="1188"/>
      <c r="O113" s="1188"/>
      <c r="P113" s="1404"/>
      <c r="Q113" s="1217"/>
    </row>
    <row r="114" spans="1:17" s="876" customFormat="1" ht="15">
      <c r="A114" s="1129"/>
      <c r="B114" s="1124"/>
      <c r="C114" s="1125">
        <v>100</v>
      </c>
      <c r="D114" s="1125">
        <f>C114-$K38</f>
        <v>100</v>
      </c>
      <c r="E114" s="1125">
        <f t="shared" ref="E114:M114" si="27">D114-$K38</f>
        <v>100</v>
      </c>
      <c r="F114" s="1125">
        <f t="shared" si="27"/>
        <v>100</v>
      </c>
      <c r="G114" s="1125">
        <f t="shared" si="27"/>
        <v>100</v>
      </c>
      <c r="H114" s="1125">
        <f t="shared" si="27"/>
        <v>100</v>
      </c>
      <c r="I114" s="1125">
        <f t="shared" si="27"/>
        <v>100</v>
      </c>
      <c r="J114" s="1125">
        <f t="shared" si="27"/>
        <v>100</v>
      </c>
      <c r="K114" s="1125">
        <f t="shared" si="27"/>
        <v>100</v>
      </c>
      <c r="L114" s="1125">
        <f t="shared" si="27"/>
        <v>100</v>
      </c>
      <c r="M114" s="1125">
        <f t="shared" si="27"/>
        <v>100</v>
      </c>
      <c r="N114" s="1188"/>
      <c r="O114" s="1188"/>
      <c r="P114" s="1404"/>
      <c r="Q114" s="1217"/>
    </row>
    <row r="115" spans="1:17">
      <c r="A115" s="1153"/>
      <c r="B115" s="1122" t="s">
        <v>1449</v>
      </c>
      <c r="C115" s="1130"/>
      <c r="D115" s="1130"/>
      <c r="E115" s="1147"/>
      <c r="F115" s="1147"/>
      <c r="G115" s="1147"/>
      <c r="H115" s="1147"/>
      <c r="I115" s="1147"/>
      <c r="J115" s="1147"/>
      <c r="K115" s="1206"/>
      <c r="L115" s="1207"/>
      <c r="M115" s="1208"/>
      <c r="N115" s="1175"/>
      <c r="O115" s="1175"/>
      <c r="P115" s="1397"/>
      <c r="Q115" s="1164"/>
    </row>
    <row r="116" spans="1:17" ht="15">
      <c r="A116" s="1119"/>
      <c r="B116" s="1124"/>
      <c r="C116" s="1125">
        <v>100</v>
      </c>
      <c r="D116" s="1125">
        <f t="shared" ref="D116:M116" si="28">C116-$K39</f>
        <v>100</v>
      </c>
      <c r="E116" s="1125">
        <f t="shared" si="28"/>
        <v>100</v>
      </c>
      <c r="F116" s="1125">
        <f t="shared" si="28"/>
        <v>100</v>
      </c>
      <c r="G116" s="1125">
        <f t="shared" si="28"/>
        <v>100</v>
      </c>
      <c r="H116" s="1125">
        <f t="shared" si="28"/>
        <v>100</v>
      </c>
      <c r="I116" s="1125">
        <f t="shared" si="28"/>
        <v>100</v>
      </c>
      <c r="J116" s="1125">
        <f t="shared" si="28"/>
        <v>100</v>
      </c>
      <c r="K116" s="1125">
        <f t="shared" si="28"/>
        <v>100</v>
      </c>
      <c r="L116" s="1125">
        <f t="shared" si="28"/>
        <v>100</v>
      </c>
      <c r="M116" s="1182">
        <f t="shared" si="28"/>
        <v>100</v>
      </c>
      <c r="N116" s="1178"/>
      <c r="O116" s="1178"/>
      <c r="P116" s="1397"/>
      <c r="Q116" s="1164"/>
    </row>
    <row r="117" spans="1:17">
      <c r="A117" s="1153"/>
      <c r="B117" s="1122" t="s">
        <v>1450</v>
      </c>
      <c r="C117" s="1130"/>
      <c r="D117" s="1130"/>
      <c r="E117" s="1130"/>
      <c r="F117" s="1130"/>
      <c r="G117" s="1130"/>
      <c r="H117" s="1147"/>
      <c r="I117" s="1147"/>
      <c r="J117" s="1147"/>
      <c r="K117" s="1206"/>
      <c r="L117" s="1207"/>
      <c r="M117" s="1208"/>
      <c r="N117" s="1175"/>
      <c r="O117" s="1175"/>
      <c r="P117" s="1397"/>
      <c r="Q117" s="1164"/>
    </row>
    <row r="118" spans="1:17" ht="15">
      <c r="A118" s="1119"/>
      <c r="B118" s="1124"/>
      <c r="C118" s="1125">
        <v>100</v>
      </c>
      <c r="D118" s="1125">
        <f>C118-$K40</f>
        <v>100</v>
      </c>
      <c r="E118" s="1125">
        <f>D118-$K40</f>
        <v>100</v>
      </c>
      <c r="F118" s="1125">
        <f>E118-$K40</f>
        <v>100</v>
      </c>
      <c r="G118" s="1125">
        <f>F118-$K40</f>
        <v>100</v>
      </c>
      <c r="H118" s="1125"/>
      <c r="I118" s="1125"/>
      <c r="J118" s="1125"/>
      <c r="K118" s="1125"/>
      <c r="L118" s="1125"/>
      <c r="M118" s="1182"/>
      <c r="N118" s="1178"/>
      <c r="O118" s="1178"/>
      <c r="P118" s="1397"/>
      <c r="Q118" s="1164"/>
    </row>
    <row r="119" spans="1:17">
      <c r="A119" s="1153"/>
      <c r="B119" s="1292" t="s">
        <v>1497</v>
      </c>
      <c r="C119" s="1147"/>
      <c r="D119" s="1147"/>
      <c r="E119" s="1147"/>
      <c r="F119" s="1147"/>
      <c r="G119" s="1147"/>
      <c r="H119" s="1147"/>
      <c r="I119" s="1147"/>
      <c r="J119" s="1147"/>
      <c r="K119" s="1147"/>
      <c r="L119" s="1408"/>
      <c r="M119" s="1409"/>
      <c r="N119" s="1178"/>
      <c r="O119" s="1178"/>
      <c r="P119" s="1410"/>
      <c r="Q119" s="1303"/>
    </row>
    <row r="120" spans="1:17" ht="15">
      <c r="A120" s="1119"/>
      <c r="B120" s="1124"/>
      <c r="C120" s="1143">
        <v>100</v>
      </c>
      <c r="D120" s="1125">
        <f>C120-$K41</f>
        <v>100</v>
      </c>
      <c r="E120" s="1125">
        <f t="shared" ref="E120:M120" si="29">D120-$K41</f>
        <v>100</v>
      </c>
      <c r="F120" s="1125">
        <f t="shared" si="29"/>
        <v>100</v>
      </c>
      <c r="G120" s="1125">
        <f t="shared" si="29"/>
        <v>100</v>
      </c>
      <c r="H120" s="1125">
        <f t="shared" si="29"/>
        <v>100</v>
      </c>
      <c r="I120" s="1125">
        <f t="shared" si="29"/>
        <v>100</v>
      </c>
      <c r="J120" s="1125">
        <f t="shared" si="29"/>
        <v>100</v>
      </c>
      <c r="K120" s="1125">
        <f t="shared" si="29"/>
        <v>100</v>
      </c>
      <c r="L120" s="1125">
        <f t="shared" si="29"/>
        <v>100</v>
      </c>
      <c r="M120" s="1125">
        <f t="shared" si="29"/>
        <v>100</v>
      </c>
      <c r="N120" s="1178"/>
      <c r="O120" s="1178"/>
      <c r="P120" s="1397"/>
      <c r="Q120" s="1164"/>
    </row>
    <row r="121" spans="1:17" s="876" customFormat="1">
      <c r="A121" s="1150"/>
      <c r="B121" s="1122" t="s">
        <v>1490</v>
      </c>
      <c r="C121" s="1130"/>
      <c r="D121" s="1130"/>
      <c r="E121" s="1130"/>
      <c r="F121" s="1147"/>
      <c r="G121" s="1131"/>
      <c r="H121" s="1131"/>
      <c r="I121" s="1131"/>
      <c r="J121" s="1131"/>
      <c r="K121" s="1131"/>
      <c r="L121" s="1186"/>
      <c r="M121" s="1187"/>
      <c r="N121" s="1188"/>
      <c r="O121" s="1188"/>
      <c r="P121" s="1404"/>
      <c r="Q121" s="1217"/>
    </row>
    <row r="122" spans="1:17" s="876" customFormat="1" ht="15">
      <c r="A122" s="1129"/>
      <c r="B122" s="1120"/>
      <c r="C122" s="1132"/>
      <c r="D122" s="1132"/>
      <c r="E122" s="1132"/>
      <c r="F122" s="1132"/>
      <c r="G122" s="1132"/>
      <c r="H122" s="1132"/>
      <c r="I122" s="1132"/>
      <c r="J122" s="1132"/>
      <c r="K122" s="1132"/>
      <c r="L122" s="1132"/>
      <c r="M122" s="1132"/>
      <c r="N122" s="1188"/>
      <c r="O122" s="1188"/>
      <c r="P122" s="1404"/>
      <c r="Q122" s="1217"/>
    </row>
    <row r="123" spans="1:17">
      <c r="A123" s="1153"/>
      <c r="B123" s="1122" t="s">
        <v>1453</v>
      </c>
      <c r="C123" s="1130"/>
      <c r="D123" s="1130"/>
      <c r="E123" s="1130"/>
      <c r="F123" s="1147"/>
      <c r="G123" s="1147"/>
      <c r="H123" s="1147"/>
      <c r="I123" s="1147"/>
      <c r="J123" s="1147"/>
      <c r="K123" s="1206"/>
      <c r="L123" s="1207"/>
      <c r="M123" s="1208"/>
      <c r="N123" s="1175"/>
      <c r="O123" s="1175"/>
      <c r="P123" s="1397"/>
      <c r="Q123" s="1164"/>
    </row>
    <row r="124" spans="1:17" ht="15">
      <c r="A124" s="1119"/>
      <c r="B124" s="1124"/>
      <c r="C124" s="1125">
        <v>100</v>
      </c>
      <c r="D124" s="1125">
        <f t="shared" ref="D124:M124" si="30">C124-$K43</f>
        <v>100</v>
      </c>
      <c r="E124" s="1125">
        <f t="shared" si="30"/>
        <v>100</v>
      </c>
      <c r="F124" s="1125">
        <f t="shared" si="30"/>
        <v>100</v>
      </c>
      <c r="G124" s="1125">
        <f t="shared" si="30"/>
        <v>100</v>
      </c>
      <c r="H124" s="1125">
        <f t="shared" si="30"/>
        <v>100</v>
      </c>
      <c r="I124" s="1125">
        <f t="shared" si="30"/>
        <v>100</v>
      </c>
      <c r="J124" s="1125">
        <f t="shared" si="30"/>
        <v>100</v>
      </c>
      <c r="K124" s="1125">
        <f t="shared" si="30"/>
        <v>100</v>
      </c>
      <c r="L124" s="1125">
        <f t="shared" si="30"/>
        <v>100</v>
      </c>
      <c r="M124" s="1182">
        <f t="shared" si="30"/>
        <v>100</v>
      </c>
      <c r="N124" s="1178"/>
      <c r="O124" s="1178"/>
      <c r="P124" s="1397"/>
      <c r="Q124" s="1164"/>
    </row>
    <row r="125" spans="1:17">
      <c r="A125" s="1153"/>
      <c r="B125" s="1122" t="s">
        <v>1454</v>
      </c>
      <c r="C125" s="1141" t="s">
        <v>994</v>
      </c>
      <c r="D125" s="1141" t="s">
        <v>995</v>
      </c>
      <c r="E125" s="1141" t="s">
        <v>996</v>
      </c>
      <c r="F125" s="1141" t="s">
        <v>997</v>
      </c>
      <c r="G125" s="1141" t="s">
        <v>998</v>
      </c>
      <c r="H125" s="1123"/>
      <c r="I125" s="1123"/>
      <c r="J125" s="1123"/>
      <c r="K125" s="1179"/>
      <c r="L125" s="1180"/>
      <c r="M125" s="1181"/>
      <c r="N125" s="1175"/>
      <c r="O125" s="1175"/>
      <c r="P125" s="1404"/>
      <c r="Q125" s="1164"/>
    </row>
    <row r="126" spans="1:17" ht="15">
      <c r="A126" s="1119"/>
      <c r="B126" s="1124"/>
      <c r="C126" s="1125">
        <v>100</v>
      </c>
      <c r="D126" s="1125">
        <f>C126-$K44</f>
        <v>100</v>
      </c>
      <c r="E126" s="1125">
        <f>D126-$K44</f>
        <v>100</v>
      </c>
      <c r="F126" s="1125">
        <f>E126-$K44</f>
        <v>100</v>
      </c>
      <c r="G126" s="1125">
        <f>F126-$K44</f>
        <v>100</v>
      </c>
      <c r="H126" s="1125"/>
      <c r="I126" s="1125"/>
      <c r="J126" s="1125"/>
      <c r="K126" s="1125"/>
      <c r="L126" s="1125"/>
      <c r="M126" s="1182"/>
      <c r="N126" s="1178"/>
      <c r="O126" s="1178"/>
      <c r="P126" s="1397"/>
      <c r="Q126" s="1164"/>
    </row>
    <row r="127" spans="1:17" s="876" customFormat="1">
      <c r="A127" s="1150"/>
      <c r="B127" s="1122">
        <f>B45</f>
        <v>111</v>
      </c>
      <c r="C127" s="1130"/>
      <c r="D127" s="1130"/>
      <c r="E127" s="1130"/>
      <c r="F127" s="1130"/>
      <c r="G127" s="1130"/>
      <c r="H127" s="1131"/>
      <c r="I127" s="1131"/>
      <c r="J127" s="1131"/>
      <c r="K127" s="1131"/>
      <c r="L127" s="1186"/>
      <c r="M127" s="1187"/>
      <c r="N127" s="1188"/>
      <c r="O127" s="1188"/>
      <c r="P127" s="1404"/>
      <c r="Q127" s="1217"/>
    </row>
    <row r="128" spans="1:17" s="876" customFormat="1" ht="15">
      <c r="A128" s="1129"/>
      <c r="B128" s="1124"/>
      <c r="C128" s="1132"/>
      <c r="D128" s="1121"/>
      <c r="E128" s="1121"/>
      <c r="F128" s="1121"/>
      <c r="G128" s="1132"/>
      <c r="H128" s="1133"/>
      <c r="I128" s="1133"/>
      <c r="J128" s="1133"/>
      <c r="K128" s="1133"/>
      <c r="L128" s="1133"/>
      <c r="M128" s="1191"/>
      <c r="N128" s="1188"/>
      <c r="O128" s="1188"/>
      <c r="P128" s="1404"/>
      <c r="Q128" s="1217"/>
    </row>
    <row r="129" spans="1:17">
      <c r="A129" s="1153"/>
      <c r="B129" s="1122">
        <f>B46</f>
        <v>111</v>
      </c>
      <c r="C129" s="1130"/>
      <c r="D129" s="1130"/>
      <c r="E129" s="1130"/>
      <c r="F129" s="1130"/>
      <c r="G129" s="1147"/>
      <c r="H129" s="1147"/>
      <c r="I129" s="1147"/>
      <c r="J129" s="1147"/>
      <c r="K129" s="1206"/>
      <c r="L129" s="1207"/>
      <c r="M129" s="1208"/>
      <c r="N129" s="1175"/>
      <c r="O129" s="1175"/>
      <c r="P129" s="1397"/>
      <c r="Q129" s="1164"/>
    </row>
    <row r="130" spans="1:17" ht="15">
      <c r="A130" s="1119"/>
      <c r="B130" s="1124"/>
      <c r="C130" s="1132"/>
      <c r="D130" s="1132"/>
      <c r="E130" s="1132"/>
      <c r="F130" s="1132"/>
      <c r="G130" s="1121"/>
      <c r="H130" s="1121"/>
      <c r="I130" s="1121"/>
      <c r="J130" s="1121"/>
      <c r="K130" s="1121"/>
      <c r="L130" s="1121"/>
      <c r="M130" s="1177"/>
      <c r="N130" s="1178"/>
      <c r="O130" s="1178"/>
      <c r="P130" s="1397"/>
      <c r="Q130" s="1164"/>
    </row>
    <row r="131" spans="1:17">
      <c r="A131" s="1153"/>
      <c r="B131" s="1126">
        <f>B47</f>
        <v>111</v>
      </c>
      <c r="C131" s="1114"/>
      <c r="D131" s="1114"/>
      <c r="E131" s="1114"/>
      <c r="F131" s="1114"/>
      <c r="G131" s="1148"/>
      <c r="H131" s="1148"/>
      <c r="I131" s="1148"/>
      <c r="J131" s="1148"/>
      <c r="K131" s="1114"/>
      <c r="L131" s="1167"/>
      <c r="M131" s="1211"/>
      <c r="N131" s="1175"/>
      <c r="O131" s="1175"/>
      <c r="P131" s="1397"/>
      <c r="Q131" s="1164"/>
    </row>
    <row r="132" spans="1:17" ht="15">
      <c r="A132" s="1378"/>
      <c r="B132" s="1136"/>
      <c r="C132" s="1137"/>
      <c r="D132" s="1137"/>
      <c r="E132" s="1137"/>
      <c r="F132" s="1137"/>
      <c r="G132" s="1149"/>
      <c r="H132" s="1149"/>
      <c r="I132" s="1149"/>
      <c r="J132" s="1149"/>
      <c r="K132" s="1149"/>
      <c r="L132" s="1149"/>
      <c r="M132" s="1212"/>
      <c r="N132" s="1178"/>
      <c r="O132" s="1178"/>
      <c r="P132" s="1397"/>
      <c r="Q132" s="116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29" t="s">
        <v>82</v>
      </c>
    </row>
    <row r="2" spans="1:1">
      <c r="A2" s="2930"/>
    </row>
    <row r="3" spans="1:1" ht="18">
      <c r="A3" s="2931" t="str">
        <f>项目基本情况!B5&amp;"："</f>
        <v>朝阳通美晶体科技有限公司：</v>
      </c>
    </row>
    <row r="4" spans="1:1" ht="36">
      <c r="A4" s="2932" t="str">
        <f>"受贵公司委托，我公司对"&amp;项目基本情况!S1&amp;"进行了预评估。"</f>
        <v>受贵公司委托，我公司对辽宁省朝阳市朝阳喀左经济开发区房地产抵押价值进行了预评估。</v>
      </c>
    </row>
    <row r="5" spans="1:1" ht="18.75">
      <c r="A5" s="2933" t="s">
        <v>83</v>
      </c>
    </row>
    <row r="6" spans="1:1" ht="18.75">
      <c r="A6" s="2934" t="s">
        <v>84</v>
      </c>
    </row>
    <row r="7" spans="1:1" ht="72">
      <c r="A7" s="2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朝阳市朝阳喀左经济开发区房地产，为所有。根据《国有土地使用证》[]，估价对象（分摊）出让国有建设用地使用权面积为50693.68平方米。根据《房屋所有权证》[]、《测绘报告》[]，估价对象建筑面积为34364.59平方米。</v>
      </c>
    </row>
    <row r="8" spans="1:1" ht="57.75">
      <c r="A8" s="2935" t="s">
        <v>85</v>
      </c>
    </row>
    <row r="9" spans="1:1" ht="18.75">
      <c r="A9" s="2934" t="s">
        <v>86</v>
      </c>
    </row>
    <row r="10" spans="1:1" ht="72">
      <c r="A10" s="2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朝阳市朝阳喀左经济开发区房地产,为开发建设的工业项目，该项目尚在开发建设中。根据《国有土地使用证》[]，估价对象（分摊）出让国有建设用地使用权面积为50693.68平方米。根据《房屋所有权证》[]、《测绘报告》[]，估价对象规划建筑面积为34364.59平方米。</v>
      </c>
    </row>
    <row r="11" spans="1:1" ht="76.5">
      <c r="A11" s="2935" t="s">
        <v>87</v>
      </c>
    </row>
    <row r="12" spans="1:1" ht="18.75">
      <c r="A12" s="2933" t="s">
        <v>88</v>
      </c>
    </row>
    <row r="13" spans="1:1" ht="38.25" customHeight="1">
      <c r="A13" s="2936"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7" t="s">
        <v>89</v>
      </c>
    </row>
    <row r="15" spans="1:1" ht="18">
      <c r="A15" s="2938" t="str">
        <f>TEXT(项目基本情况!D3,"yyyy年m月d日;;")&amp;IF(项目基本情况!D3=项目基本情况!B3,"（评估专业人员实地查勘之日）","")</f>
        <v>2021年7月16日（评估专业人员实地查勘之日）</v>
      </c>
    </row>
    <row r="16" spans="1:1" ht="18.75">
      <c r="A16" s="2937" t="s">
        <v>90</v>
      </c>
    </row>
    <row r="17" spans="1:1" ht="75">
      <c r="A17" s="2932" t="s">
        <v>91</v>
      </c>
    </row>
    <row r="18" spans="1:1" ht="54">
      <c r="A18" s="2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16日，估价对象规划用途为，土地取得方式为出让，出让国有建设用地使用权剩余土地使用年限为，假定未设立法定优先受偿款下的房地产市场价值。</v>
      </c>
    </row>
    <row r="19" spans="1:1" ht="157.5" customHeight="1">
      <c r="A19" s="2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2" t="str">
        <f>IF(项目基本情况!B9="房地产市场价值","——",IF(项目基本情况!E9="——","",定义!C57))</f>
        <v/>
      </c>
    </row>
    <row r="23" spans="1:1" ht="18.75">
      <c r="A23" s="2937" t="s">
        <v>92</v>
      </c>
    </row>
    <row r="24" spans="1:1" ht="18">
      <c r="A24" s="2904" t="str">
        <f>"本次评估采用的主估价方法为"&amp;结果表!K4&amp;"和"&amp;结果表!L4&amp;"。"</f>
        <v>本次评估采用的主估价方法为比较法和假设开发法。</v>
      </c>
    </row>
    <row r="25" spans="1:1" ht="18">
      <c r="A25" s="2904"/>
    </row>
    <row r="26" spans="1:1" ht="18.75">
      <c r="A26" s="2939" t="s">
        <v>93</v>
      </c>
    </row>
    <row r="27" spans="1:1">
      <c r="A27" s="2902"/>
    </row>
    <row r="28" spans="1:1">
      <c r="A28" s="2902"/>
    </row>
    <row r="29" spans="1:1">
      <c r="A29" s="2902"/>
    </row>
    <row r="30" spans="1:1">
      <c r="A30" s="2902"/>
    </row>
    <row r="31" spans="1:1">
      <c r="A31" s="2902"/>
    </row>
    <row r="32" spans="1:1">
      <c r="A32" s="2902"/>
    </row>
    <row r="33" spans="1:1">
      <c r="A33" s="2902"/>
    </row>
    <row r="34" spans="1:1">
      <c r="A34" s="2902"/>
    </row>
    <row r="35" spans="1:1">
      <c r="A35" s="2902"/>
    </row>
    <row r="36" spans="1:1">
      <c r="A36" s="2902"/>
    </row>
    <row r="37" spans="1:1">
      <c r="A37" s="2902"/>
    </row>
    <row r="38" spans="1:1">
      <c r="A38" s="2902"/>
    </row>
    <row r="39" spans="1:1">
      <c r="A39" s="2902"/>
    </row>
    <row r="40" spans="1:1">
      <c r="A40" s="2902"/>
    </row>
    <row r="41" spans="1:1">
      <c r="A41" s="2902"/>
    </row>
    <row r="42" spans="1:1">
      <c r="A42" s="2902"/>
    </row>
    <row r="43" spans="1:1">
      <c r="A43" s="2902"/>
    </row>
    <row r="44" spans="1:1">
      <c r="A44" s="2902"/>
    </row>
    <row r="45" spans="1:1">
      <c r="A45" s="2902"/>
    </row>
    <row r="46" spans="1:1">
      <c r="A46" s="2902"/>
    </row>
    <row r="47" spans="1:1">
      <c r="A47" s="2902"/>
    </row>
    <row r="48" spans="1:1">
      <c r="A48" s="2902"/>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1434</v>
      </c>
      <c r="B1" s="1374" t="s">
        <v>923</v>
      </c>
      <c r="C1" s="1223" t="s">
        <v>1436</v>
      </c>
      <c r="D1" s="1224"/>
      <c r="E1" s="1225"/>
      <c r="F1" s="1226"/>
      <c r="G1" s="1227" t="s">
        <v>924</v>
      </c>
      <c r="H1" s="1225"/>
      <c r="I1" s="1225"/>
      <c r="J1" s="1225"/>
      <c r="K1" s="1280"/>
      <c r="L1" s="1281"/>
      <c r="M1" s="1282"/>
      <c r="N1" s="1282"/>
      <c r="O1" s="1282"/>
      <c r="P1" s="1223"/>
      <c r="Q1" s="1223"/>
      <c r="R1" s="1223"/>
      <c r="S1" s="1223"/>
      <c r="T1" s="1223"/>
      <c r="U1" s="1223"/>
      <c r="V1" s="1223"/>
      <c r="W1" s="1223"/>
      <c r="X1" s="1223"/>
      <c r="Y1" s="1223"/>
      <c r="Z1" s="1223"/>
      <c r="AA1" s="1223"/>
      <c r="AB1" s="1223"/>
      <c r="AC1" s="1291"/>
    </row>
    <row r="2" spans="1:29" s="873" customFormat="1" ht="28.5" customHeight="1">
      <c r="A2" s="1228" t="s">
        <v>925</v>
      </c>
      <c r="B2" s="1229" t="e">
        <f ca="1">IF(C2="——",ROUND(C43*D3/10000,0),ROUND(C43*D3/10000,0)-D2)</f>
        <v>#DIV/0!</v>
      </c>
      <c r="C2" s="1230"/>
      <c r="D2" s="889" t="e">
        <f ca="1">SUMIF(INDIRECT("'"&amp;F2&amp;"'"&amp;"!A:A"),"承租人权益价值",INDIRECT("'"&amp;F2&amp;"'"&amp;"!c:c"))</f>
        <v>#REF!</v>
      </c>
      <c r="E2" s="1231" t="s">
        <v>1011</v>
      </c>
      <c r="F2" s="1232"/>
      <c r="G2" s="890"/>
      <c r="H2" s="890"/>
      <c r="I2" s="890"/>
      <c r="J2" s="890"/>
      <c r="K2" s="890"/>
      <c r="L2" s="1026"/>
      <c r="M2" s="1027"/>
      <c r="N2" s="1027"/>
      <c r="O2" s="1027"/>
      <c r="P2" s="1024"/>
      <c r="Q2" s="1024"/>
      <c r="R2" s="1024"/>
      <c r="S2" s="1024"/>
      <c r="T2" s="1024"/>
      <c r="U2" s="1024"/>
      <c r="V2" s="1024"/>
      <c r="W2" s="1024"/>
      <c r="X2" s="1024"/>
      <c r="Y2" s="1024"/>
      <c r="Z2" s="1024"/>
      <c r="AA2" s="1024"/>
      <c r="AB2" s="1024"/>
      <c r="AC2" s="1085"/>
    </row>
    <row r="3" spans="1:29" s="873" customFormat="1" ht="28.5" customHeight="1">
      <c r="A3" s="147" t="s">
        <v>926</v>
      </c>
      <c r="B3" s="892" t="e">
        <f ca="1">IF(C2="——",C43,ROUND(B2*10000/D3,0))</f>
        <v>#DIV/0!</v>
      </c>
      <c r="C3" s="1233" t="s">
        <v>927</v>
      </c>
      <c r="D3" s="1234">
        <f>IF(D1="",'数据-汇总表'!E3,SUMIF('数据-汇总表'!$C19:$C33,D1,'数据-汇总表'!$E19:$E33))</f>
        <v>34364.589999999997</v>
      </c>
      <c r="E3" s="890"/>
      <c r="F3" s="891"/>
      <c r="G3" s="890"/>
      <c r="H3" s="890"/>
      <c r="I3" s="890"/>
      <c r="J3" s="890"/>
      <c r="K3" s="1025"/>
      <c r="L3" s="1026"/>
      <c r="M3" s="1027"/>
      <c r="N3" s="1027"/>
      <c r="O3" s="1027"/>
      <c r="P3" s="1024"/>
      <c r="Q3" s="1024"/>
      <c r="R3" s="1024"/>
      <c r="S3" s="1024"/>
      <c r="T3" s="1024"/>
      <c r="U3" s="1024"/>
      <c r="V3" s="1024"/>
      <c r="W3" s="1024"/>
      <c r="X3" s="1024"/>
      <c r="Y3" s="1024"/>
      <c r="Z3" s="1024"/>
      <c r="AA3" s="1024"/>
      <c r="AB3" s="1084"/>
      <c r="AC3" s="1085"/>
    </row>
    <row r="4" spans="1:29"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6" t="s">
        <v>931</v>
      </c>
      <c r="AC4" s="3195" t="s">
        <v>932</v>
      </c>
    </row>
    <row r="5" spans="1:29" ht="15">
      <c r="A5" s="896"/>
      <c r="B5" s="897"/>
      <c r="C5" s="3171" t="s">
        <v>935</v>
      </c>
      <c r="D5" s="3172"/>
      <c r="E5" s="3173" t="s">
        <v>1438</v>
      </c>
      <c r="F5" s="3174"/>
      <c r="G5" s="3171" t="s">
        <v>1439</v>
      </c>
      <c r="H5" s="3172"/>
      <c r="I5" s="3171" t="s">
        <v>1440</v>
      </c>
      <c r="J5" s="3172"/>
      <c r="K5" s="1028"/>
      <c r="L5" s="1029"/>
      <c r="M5" s="1030"/>
      <c r="N5" s="1030"/>
      <c r="O5" s="1030"/>
      <c r="P5" s="3200"/>
      <c r="Q5" s="3201"/>
      <c r="R5" s="3206"/>
      <c r="S5" s="3207"/>
      <c r="T5" s="3206"/>
      <c r="U5" s="3207"/>
      <c r="V5" s="3183"/>
      <c r="W5" s="3183"/>
      <c r="X5" s="1070"/>
      <c r="Y5" s="3206"/>
      <c r="Z5" s="3207"/>
      <c r="AA5" s="3196"/>
      <c r="AB5" s="3196"/>
      <c r="AC5" s="3196"/>
    </row>
    <row r="6" spans="1:29" ht="15">
      <c r="A6" s="898"/>
      <c r="B6" s="899"/>
      <c r="C6" s="3240" t="s">
        <v>1441</v>
      </c>
      <c r="D6" s="3241"/>
      <c r="E6" s="3242" t="s">
        <v>1441</v>
      </c>
      <c r="F6" s="3243"/>
      <c r="G6" s="3240" t="s">
        <v>1441</v>
      </c>
      <c r="H6" s="3241"/>
      <c r="I6" s="3240" t="s">
        <v>1441</v>
      </c>
      <c r="J6" s="3241"/>
      <c r="K6" s="1028" t="s">
        <v>937</v>
      </c>
      <c r="L6" s="1029"/>
      <c r="M6" s="1030"/>
      <c r="N6" s="1030"/>
      <c r="O6" s="1030"/>
      <c r="P6" s="3202"/>
      <c r="Q6" s="3203"/>
      <c r="R6" s="3206"/>
      <c r="S6" s="3207"/>
      <c r="T6" s="3208"/>
      <c r="U6" s="3209"/>
      <c r="V6" s="3183"/>
      <c r="W6" s="3183"/>
      <c r="X6" s="1070"/>
      <c r="Y6" s="3208"/>
      <c r="Z6" s="3209"/>
      <c r="AA6" s="3197"/>
      <c r="AB6" s="3197"/>
      <c r="AC6" s="3197"/>
    </row>
    <row r="7" spans="1:29" s="874" customFormat="1" ht="15">
      <c r="A7" s="900" t="s">
        <v>938</v>
      </c>
      <c r="B7" s="901"/>
      <c r="C7" s="902">
        <f>'数据-取费表'!B2</f>
        <v>44393</v>
      </c>
      <c r="D7" s="903">
        <v>100</v>
      </c>
      <c r="E7" s="904"/>
      <c r="F7" s="905">
        <f>SUMIF(52:52,YEAR(E7)&amp;"-"&amp;MONTH(E7),53:53)</f>
        <v>0</v>
      </c>
      <c r="G7" s="904"/>
      <c r="H7" s="903">
        <f>SUMIF(52:52,YEAR(G7)&amp;"-"&amp;MONTH(G7),53:53)</f>
        <v>0</v>
      </c>
      <c r="I7" s="904"/>
      <c r="J7" s="903">
        <f>SUMIF(52:52,YEAR(I7)&amp;"-"&amp;MONTH(I7),53:53)</f>
        <v>0</v>
      </c>
      <c r="K7" s="1031"/>
      <c r="L7" s="1032"/>
      <c r="M7" s="1033"/>
      <c r="N7" s="1033"/>
      <c r="O7" s="1033"/>
      <c r="P7" s="3179" t="s">
        <v>939</v>
      </c>
      <c r="Q7" s="3180"/>
      <c r="R7" s="1071" t="s">
        <v>940</v>
      </c>
      <c r="S7" s="1072">
        <f t="shared" ref="S7:S15" si="0">F7</f>
        <v>0</v>
      </c>
      <c r="T7" s="1071" t="s">
        <v>940</v>
      </c>
      <c r="U7" s="1072">
        <f t="shared" ref="U7:U15" si="1">H7</f>
        <v>0</v>
      </c>
      <c r="V7" s="1071" t="s">
        <v>940</v>
      </c>
      <c r="W7" s="1072">
        <f t="shared" ref="W7:W15" si="2">J7</f>
        <v>0</v>
      </c>
      <c r="X7" s="1073"/>
      <c r="Y7" s="3179" t="s">
        <v>939</v>
      </c>
      <c r="Z7" s="3181"/>
      <c r="AA7" s="1086" t="e">
        <f>D7/F7</f>
        <v>#DIV/0!</v>
      </c>
      <c r="AB7" s="1086" t="e">
        <f>D7/H7</f>
        <v>#DIV/0!</v>
      </c>
      <c r="AC7" s="1086" t="e">
        <f>D7/J7</f>
        <v>#DIV/0!</v>
      </c>
    </row>
    <row r="8" spans="1:29" s="874" customFormat="1" ht="15">
      <c r="A8" s="900" t="s">
        <v>941</v>
      </c>
      <c r="B8" s="901"/>
      <c r="C8" s="907" t="s">
        <v>942</v>
      </c>
      <c r="D8" s="903">
        <v>100</v>
      </c>
      <c r="E8" s="907"/>
      <c r="F8" s="905">
        <f>SUMIF(55:55,E8,56:56)-SUMIF(55:55,C8,56:56)+100</f>
        <v>0</v>
      </c>
      <c r="G8" s="907"/>
      <c r="H8" s="903">
        <f>SUMIF(55:55,G8,56:56)-SUMIF(55:55,C8,56:56)+100</f>
        <v>0</v>
      </c>
      <c r="I8" s="907"/>
      <c r="J8" s="903">
        <f>SUMIF(55:55,I8,56:56)-SUMIF(55:55,C8,56:56)+100</f>
        <v>0</v>
      </c>
      <c r="K8" s="1031"/>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40" si="3">D8/F8</f>
        <v>#DIV/0!</v>
      </c>
      <c r="AB8" s="1086" t="e">
        <f t="shared" ref="AB8:AB40" si="4">D8/H8</f>
        <v>#DIV/0!</v>
      </c>
      <c r="AC8" s="1086" t="e">
        <f t="shared" ref="AC8:AC40" si="5">D8/J8</f>
        <v>#DIV/0!</v>
      </c>
    </row>
    <row r="9" spans="1:29" s="874" customFormat="1">
      <c r="A9" s="908" t="s">
        <v>944</v>
      </c>
      <c r="B9" s="909" t="s">
        <v>349</v>
      </c>
      <c r="C9" s="1235"/>
      <c r="D9" s="911">
        <v>100</v>
      </c>
      <c r="E9" s="1236"/>
      <c r="F9" s="911">
        <f>SUMIF(57:57,E9,58:58)-SUMIF(57:57,C9,58:58)+100</f>
        <v>100</v>
      </c>
      <c r="G9" s="1309"/>
      <c r="H9" s="911">
        <f>SUMIF(57:57,G9,58:58)-SUMIF(57:57,C9,58:58)+100</f>
        <v>100</v>
      </c>
      <c r="I9" s="1309"/>
      <c r="J9" s="911">
        <f>SUMIF(57:57,I9,58:58)-SUMIF(57:57,C9,58:58)+100</f>
        <v>100</v>
      </c>
      <c r="K9" s="1031"/>
      <c r="L9" s="1032"/>
      <c r="M9" s="1033"/>
      <c r="N9" s="1033"/>
      <c r="O9" s="1034"/>
      <c r="P9" s="3182"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086">
        <f t="shared" si="5"/>
        <v>1</v>
      </c>
    </row>
    <row r="10" spans="1:29" s="875" customFormat="1" ht="27">
      <c r="A10" s="912"/>
      <c r="B10" s="913" t="s">
        <v>947</v>
      </c>
      <c r="C10" s="1238"/>
      <c r="D10" s="915">
        <v>100</v>
      </c>
      <c r="E10" s="1238"/>
      <c r="F10" s="915">
        <f>SUMIF(59:59,E10,60:60)-SUMIF(59:59,C10,60:60)+100</f>
        <v>100</v>
      </c>
      <c r="G10" s="1312"/>
      <c r="H10" s="915">
        <f>SUMIF(59:59,G10,60:60)-SUMIF(59:59,C10,60:60)+100</f>
        <v>100</v>
      </c>
      <c r="I10" s="1238"/>
      <c r="J10" s="915">
        <f>SUMIF(59:59,I10,60:60)-SUMIF(59:59,C10,60:60)+100</f>
        <v>100</v>
      </c>
      <c r="K10" s="1048"/>
      <c r="L10" s="1036"/>
      <c r="M10" s="1037"/>
      <c r="N10" s="1037"/>
      <c r="O10" s="1038"/>
      <c r="P10" s="3182"/>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086">
        <f t="shared" si="5"/>
        <v>1</v>
      </c>
    </row>
    <row r="11" spans="1:29" ht="15">
      <c r="A11" s="918"/>
      <c r="B11" s="913" t="s">
        <v>948</v>
      </c>
      <c r="C11" s="919"/>
      <c r="D11" s="915">
        <v>100</v>
      </c>
      <c r="E11" s="919"/>
      <c r="F11" s="915" t="e">
        <f>LOOKUP(E11,62:62,63:63)-LOOKUP(C11,62:62,63:63)+100</f>
        <v>#N/A</v>
      </c>
      <c r="G11" s="920"/>
      <c r="H11" s="915" t="e">
        <f>LOOKUP(G11,62:62,63:63)-LOOKUP(C11,62:62,63:63)+100</f>
        <v>#N/A</v>
      </c>
      <c r="I11" s="919"/>
      <c r="J11" s="915" t="e">
        <f>LOOKUP(I11,62:62,63:63)-LOOKUP(C11,62:62,63:63)+100</f>
        <v>#N/A</v>
      </c>
      <c r="K11" s="1048"/>
      <c r="L11" s="1040"/>
      <c r="M11" s="1030"/>
      <c r="N11" s="1030"/>
      <c r="O11" s="1041"/>
      <c r="P11" s="3182"/>
      <c r="Q11" s="1075" t="str">
        <f t="shared" si="6"/>
        <v>容积率</v>
      </c>
      <c r="R11" s="1071" t="s">
        <v>940</v>
      </c>
      <c r="S11" s="1072" t="e">
        <f t="shared" si="0"/>
        <v>#N/A</v>
      </c>
      <c r="T11" s="1071" t="s">
        <v>940</v>
      </c>
      <c r="U11" s="1072" t="e">
        <f t="shared" si="1"/>
        <v>#N/A</v>
      </c>
      <c r="V11" s="1071" t="s">
        <v>940</v>
      </c>
      <c r="W11" s="1072" t="e">
        <f t="shared" si="2"/>
        <v>#N/A</v>
      </c>
      <c r="X11" s="1073"/>
      <c r="Y11" s="3047"/>
      <c r="Z11" s="1087" t="str">
        <f t="shared" si="7"/>
        <v>容积率</v>
      </c>
      <c r="AA11" s="1086" t="e">
        <f t="shared" si="3"/>
        <v>#N/A</v>
      </c>
      <c r="AB11" s="1086" t="e">
        <f t="shared" si="4"/>
        <v>#N/A</v>
      </c>
      <c r="AC11" s="1086" t="e">
        <f t="shared" si="5"/>
        <v>#N/A</v>
      </c>
    </row>
    <row r="12" spans="1:29" s="874" customFormat="1" ht="15">
      <c r="A12" s="921"/>
      <c r="B12" s="922">
        <v>111</v>
      </c>
      <c r="C12" s="914"/>
      <c r="D12" s="923">
        <v>100</v>
      </c>
      <c r="E12" s="924"/>
      <c r="F12" s="915">
        <f>SUMIF(64:64,E12,65:65)-SUMIF(64:64,C12,65:65)+100</f>
        <v>100</v>
      </c>
      <c r="G12" s="1375"/>
      <c r="H12" s="915">
        <f>SUMIF(64:64,G12,65:65)-SUMIF(64:64,C12,65:65)+100</f>
        <v>100</v>
      </c>
      <c r="I12" s="1240"/>
      <c r="J12" s="915">
        <f>SUMIF(64:64,I12,65:65)-SUMIF(64:64,C12,65:65)+100</f>
        <v>100</v>
      </c>
      <c r="K12" s="1047"/>
      <c r="L12" s="1032"/>
      <c r="M12" s="1033"/>
      <c r="N12" s="1033"/>
      <c r="O12" s="1034"/>
      <c r="P12" s="3182"/>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c r="A13" s="918"/>
      <c r="B13" s="922">
        <v>111</v>
      </c>
      <c r="C13" s="924"/>
      <c r="D13" s="925">
        <v>100</v>
      </c>
      <c r="E13" s="924"/>
      <c r="F13" s="915">
        <f>SUMIF(66:66,E13,67:67)-SUMIF(66:66,C13,67:67)+100</f>
        <v>100</v>
      </c>
      <c r="G13" s="1375"/>
      <c r="H13" s="925">
        <f>SUMIF(66:66,G13,67:67)-SUMIF(66:66,C13,67:67)+100</f>
        <v>100</v>
      </c>
      <c r="I13" s="1240"/>
      <c r="J13" s="925">
        <f>SUMIF(66:66,I13,67:67)-SUMIF(66:66,C13,67:67)+100</f>
        <v>100</v>
      </c>
      <c r="K13" s="1047"/>
      <c r="L13" s="1042"/>
      <c r="M13" s="1030"/>
      <c r="N13" s="1030"/>
      <c r="O13" s="1041"/>
      <c r="P13" s="3182"/>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15">
      <c r="A14" s="928"/>
      <c r="B14" s="929">
        <v>111</v>
      </c>
      <c r="C14" s="930"/>
      <c r="D14" s="931">
        <v>100</v>
      </c>
      <c r="E14" s="930"/>
      <c r="F14" s="931">
        <f>SUMIF(68:68,E14,69:69)-SUMIF(68:68,C14,69:69)+100</f>
        <v>100</v>
      </c>
      <c r="G14" s="1375"/>
      <c r="H14" s="931">
        <f>SUMIF(68:68,G14,69:69)-SUMIF(68:68,C14,69:69)+100</f>
        <v>100</v>
      </c>
      <c r="I14" s="1240"/>
      <c r="J14" s="931">
        <f>SUMIF(68:68,I14,69:69)-SUMIF(68:68,C14,69:69)+100</f>
        <v>100</v>
      </c>
      <c r="K14" s="1047"/>
      <c r="L14" s="1042"/>
      <c r="M14" s="1030"/>
      <c r="N14" s="1030"/>
      <c r="O14" s="1041"/>
      <c r="P14" s="3182"/>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086">
        <f t="shared" si="5"/>
        <v>1</v>
      </c>
    </row>
    <row r="15" spans="1:29" ht="15">
      <c r="A15" s="932" t="s">
        <v>949</v>
      </c>
      <c r="B15" s="933" t="s">
        <v>659</v>
      </c>
      <c r="C15" s="1242" t="str">
        <f>估价对象房地状况!G3</f>
        <v>较好</v>
      </c>
      <c r="D15" s="935">
        <v>100</v>
      </c>
      <c r="E15" s="936"/>
      <c r="F15" s="1243">
        <f>SUMIF(70:70,E16,71:71)-SUMIF(70:70,C16,71:71)+100</f>
        <v>100</v>
      </c>
      <c r="G15" s="1043"/>
      <c r="H15" s="935">
        <f>SUMIF(70:70,G16,71:71)-SUMIF(70:70,C16,71:71)+100</f>
        <v>100</v>
      </c>
      <c r="I15" s="936"/>
      <c r="J15" s="935">
        <f>SUMIF(70:70,I16,71:71)-SUMIF(70:70,C16,71:71)+100</f>
        <v>100</v>
      </c>
      <c r="K15" s="1283"/>
      <c r="L15" s="1042"/>
      <c r="M15" s="1030"/>
      <c r="N15" s="1030"/>
      <c r="O15" s="1041"/>
      <c r="P15" s="3185" t="s">
        <v>950</v>
      </c>
      <c r="Q15" s="657" t="str">
        <f t="shared" si="6"/>
        <v>产业集聚程度</v>
      </c>
      <c r="R15" s="1076" t="s">
        <v>940</v>
      </c>
      <c r="S15" s="1077">
        <f t="shared" si="0"/>
        <v>100</v>
      </c>
      <c r="T15" s="1076" t="s">
        <v>940</v>
      </c>
      <c r="U15" s="1077">
        <f t="shared" si="1"/>
        <v>100</v>
      </c>
      <c r="V15" s="1076" t="s">
        <v>940</v>
      </c>
      <c r="W15" s="1077">
        <f t="shared" si="2"/>
        <v>100</v>
      </c>
      <c r="X15" s="1070"/>
      <c r="Y15" s="3185" t="s">
        <v>950</v>
      </c>
      <c r="Z15" s="1069" t="str">
        <f t="shared" si="7"/>
        <v>产业集聚程度</v>
      </c>
      <c r="AA15" s="1088">
        <f t="shared" si="3"/>
        <v>1</v>
      </c>
      <c r="AB15" s="1088">
        <f t="shared" si="4"/>
        <v>1</v>
      </c>
      <c r="AC15" s="1088">
        <f t="shared" si="5"/>
        <v>1</v>
      </c>
    </row>
    <row r="16" spans="1:29" ht="15">
      <c r="A16" s="918"/>
      <c r="B16" s="937"/>
      <c r="C16" s="938"/>
      <c r="D16" s="939"/>
      <c r="E16" s="938"/>
      <c r="F16" s="1244"/>
      <c r="G16" s="938"/>
      <c r="H16" s="941"/>
      <c r="I16" s="938"/>
      <c r="J16" s="939"/>
      <c r="K16" s="1284"/>
      <c r="L16" s="1042"/>
      <c r="M16" s="1030"/>
      <c r="N16" s="1030"/>
      <c r="O16" s="1041"/>
      <c r="P16" s="3186"/>
      <c r="Q16" s="657"/>
      <c r="R16" s="1076"/>
      <c r="S16" s="1077"/>
      <c r="T16" s="1076"/>
      <c r="U16" s="1077"/>
      <c r="V16" s="1076"/>
      <c r="W16" s="1077"/>
      <c r="X16" s="1070"/>
      <c r="Y16" s="3186"/>
      <c r="Z16" s="1069"/>
      <c r="AA16" s="1088">
        <v>1</v>
      </c>
      <c r="AB16" s="1088">
        <v>1</v>
      </c>
      <c r="AC16" s="1088">
        <v>1</v>
      </c>
    </row>
    <row r="17" spans="1:29" ht="15">
      <c r="A17" s="918"/>
      <c r="B17" s="942" t="s">
        <v>663</v>
      </c>
      <c r="C17" s="949" t="str">
        <f>估价对象房地状况!G4</f>
        <v>一般</v>
      </c>
      <c r="D17" s="941">
        <v>100</v>
      </c>
      <c r="E17" s="943"/>
      <c r="F17" s="1246">
        <f>SUMIF(72:72,E18,73:73)-SUMIF(72:72,C18,73:73)+100</f>
        <v>100</v>
      </c>
      <c r="G17" s="952"/>
      <c r="H17" s="944">
        <f>SUMIF(72:72,G18,73:73)-SUMIF(72:72,C18,73:73)+100</f>
        <v>100</v>
      </c>
      <c r="I17" s="943"/>
      <c r="J17" s="944">
        <f>SUMIF(72:72,I18,73:73)-SUMIF(72:72,C18,73:73)+100</f>
        <v>100</v>
      </c>
      <c r="K17" s="1283"/>
      <c r="L17" s="1042"/>
      <c r="M17" s="1030"/>
      <c r="N17" s="1030"/>
      <c r="O17" s="1041"/>
      <c r="P17" s="3186"/>
      <c r="Q17" s="657" t="str">
        <f>B17</f>
        <v>交通便捷度</v>
      </c>
      <c r="R17" s="1076" t="s">
        <v>940</v>
      </c>
      <c r="S17" s="1077">
        <f>F17</f>
        <v>100</v>
      </c>
      <c r="T17" s="1076" t="s">
        <v>940</v>
      </c>
      <c r="U17" s="1077">
        <f>H17</f>
        <v>100</v>
      </c>
      <c r="V17" s="1076" t="s">
        <v>940</v>
      </c>
      <c r="W17" s="1077">
        <f>J17</f>
        <v>100</v>
      </c>
      <c r="X17" s="1070"/>
      <c r="Y17" s="3186"/>
      <c r="Z17" s="1069" t="str">
        <f>Q17</f>
        <v>交通便捷度</v>
      </c>
      <c r="AA17" s="1088">
        <f t="shared" si="3"/>
        <v>1</v>
      </c>
      <c r="AB17" s="1088">
        <f t="shared" si="4"/>
        <v>1</v>
      </c>
      <c r="AC17" s="1088">
        <f t="shared" si="5"/>
        <v>1</v>
      </c>
    </row>
    <row r="18" spans="1:29" ht="15">
      <c r="A18" s="918"/>
      <c r="B18" s="945"/>
      <c r="C18" s="946"/>
      <c r="D18" s="941"/>
      <c r="E18" s="947"/>
      <c r="F18" s="1246"/>
      <c r="G18" s="1044"/>
      <c r="H18" s="939"/>
      <c r="I18" s="947"/>
      <c r="J18" s="939"/>
      <c r="K18" s="1284"/>
      <c r="L18" s="1042"/>
      <c r="M18" s="1030"/>
      <c r="N18" s="1030"/>
      <c r="O18" s="1041"/>
      <c r="P18" s="3186"/>
      <c r="Q18" s="657"/>
      <c r="R18" s="1076"/>
      <c r="S18" s="1077"/>
      <c r="T18" s="1076"/>
      <c r="U18" s="1077"/>
      <c r="V18" s="1076"/>
      <c r="W18" s="1077"/>
      <c r="X18" s="1070"/>
      <c r="Y18" s="3186"/>
      <c r="Z18" s="1069"/>
      <c r="AA18" s="1088">
        <v>1</v>
      </c>
      <c r="AB18" s="1088">
        <v>1</v>
      </c>
      <c r="AC18" s="1088">
        <v>1</v>
      </c>
    </row>
    <row r="19" spans="1:29" ht="15">
      <c r="A19" s="918"/>
      <c r="B19" s="942" t="s">
        <v>667</v>
      </c>
      <c r="C19" s="949" t="str">
        <f>估价对象房地状况!G5</f>
        <v>一般</v>
      </c>
      <c r="D19" s="944">
        <v>100</v>
      </c>
      <c r="E19" s="948"/>
      <c r="F19" s="1245">
        <f>SUMIF(74:74,E20,75:75)-SUMIF(74:74,C20,75:75)+100</f>
        <v>100</v>
      </c>
      <c r="G19" s="1045"/>
      <c r="H19" s="941">
        <f>SUMIF(74:74,G20,75:75)-SUMIF(74:74,C20,75:75)+100</f>
        <v>100</v>
      </c>
      <c r="I19" s="948"/>
      <c r="J19" s="941">
        <f>SUMIF(74:74,I20,75:75)-SUMIF(74:74,C20,75:75)+100</f>
        <v>100</v>
      </c>
      <c r="K19" s="1283"/>
      <c r="L19" s="1042"/>
      <c r="M19" s="1030"/>
      <c r="N19" s="1030"/>
      <c r="O19" s="1041"/>
      <c r="P19" s="3186"/>
      <c r="Q19" s="657" t="str">
        <f>B19</f>
        <v>公共配套设施</v>
      </c>
      <c r="R19" s="1076" t="s">
        <v>940</v>
      </c>
      <c r="S19" s="1077">
        <f>F19</f>
        <v>100</v>
      </c>
      <c r="T19" s="1076" t="s">
        <v>940</v>
      </c>
      <c r="U19" s="1077">
        <f>H19</f>
        <v>100</v>
      </c>
      <c r="V19" s="1076" t="s">
        <v>940</v>
      </c>
      <c r="W19" s="1077">
        <f>J19</f>
        <v>100</v>
      </c>
      <c r="X19" s="1070"/>
      <c r="Y19" s="3186"/>
      <c r="Z19" s="1069" t="str">
        <f>Q19</f>
        <v>公共配套设施</v>
      </c>
      <c r="AA19" s="1088">
        <f t="shared" si="3"/>
        <v>1</v>
      </c>
      <c r="AB19" s="1088">
        <f t="shared" si="4"/>
        <v>1</v>
      </c>
      <c r="AC19" s="1088">
        <f t="shared" si="5"/>
        <v>1</v>
      </c>
    </row>
    <row r="20" spans="1:29" ht="15">
      <c r="A20" s="918"/>
      <c r="B20" s="945"/>
      <c r="C20" s="938"/>
      <c r="D20" s="939"/>
      <c r="E20" s="940"/>
      <c r="F20" s="1244"/>
      <c r="G20" s="954"/>
      <c r="H20" s="939"/>
      <c r="I20" s="940"/>
      <c r="J20" s="939"/>
      <c r="K20" s="1284"/>
      <c r="L20" s="1042"/>
      <c r="M20" s="1030"/>
      <c r="N20" s="1030"/>
      <c r="O20" s="1041"/>
      <c r="P20" s="3186"/>
      <c r="Q20" s="657"/>
      <c r="R20" s="1076"/>
      <c r="S20" s="1077"/>
      <c r="T20" s="1076"/>
      <c r="U20" s="1077"/>
      <c r="V20" s="1076"/>
      <c r="W20" s="1077"/>
      <c r="X20" s="1070"/>
      <c r="Y20" s="3186"/>
      <c r="Z20" s="1069"/>
      <c r="AA20" s="1088">
        <v>1</v>
      </c>
      <c r="AB20" s="1088">
        <v>1</v>
      </c>
      <c r="AC20" s="1088">
        <v>1</v>
      </c>
    </row>
    <row r="21" spans="1:29" ht="15">
      <c r="A21" s="918"/>
      <c r="B21" s="950" t="s">
        <v>669</v>
      </c>
      <c r="C21" s="949" t="str">
        <f>估价对象房地状况!G6</f>
        <v>七通</v>
      </c>
      <c r="D21" s="941">
        <v>100</v>
      </c>
      <c r="E21" s="948"/>
      <c r="F21" s="1245">
        <f>SUMIF(76:76,E22,77:77)-SUMIF(76:76,C22,77:77)+100</f>
        <v>100</v>
      </c>
      <c r="G21" s="1045"/>
      <c r="H21" s="941">
        <f>SUMIF(76:76,G22,77:77)-SUMIF(76:76,C22,77:77)+100</f>
        <v>100</v>
      </c>
      <c r="I21" s="948"/>
      <c r="J21" s="941">
        <f>SUMIF(76:76,I22,77:77)-SUMIF(76:76,C22,77:77)+100</f>
        <v>100</v>
      </c>
      <c r="K21" s="1283"/>
      <c r="L21" s="1042"/>
      <c r="M21" s="1030"/>
      <c r="N21" s="1030"/>
      <c r="O21" s="1041"/>
      <c r="P21" s="3186"/>
      <c r="Q21" s="657" t="str">
        <f>B21</f>
        <v>基础设施水平</v>
      </c>
      <c r="R21" s="1076" t="s">
        <v>940</v>
      </c>
      <c r="S21" s="1077">
        <f>F21</f>
        <v>100</v>
      </c>
      <c r="T21" s="1076" t="s">
        <v>940</v>
      </c>
      <c r="U21" s="1077">
        <f>H21</f>
        <v>100</v>
      </c>
      <c r="V21" s="1076" t="s">
        <v>940</v>
      </c>
      <c r="W21" s="1077">
        <f>J21</f>
        <v>100</v>
      </c>
      <c r="X21" s="1070"/>
      <c r="Y21" s="3186"/>
      <c r="Z21" s="1069" t="str">
        <f>Q21</f>
        <v>基础设施水平</v>
      </c>
      <c r="AA21" s="1088">
        <f t="shared" ref="AA21" si="8">D21/F21</f>
        <v>1</v>
      </c>
      <c r="AB21" s="1088">
        <f t="shared" ref="AB21" si="9">D21/H21</f>
        <v>1</v>
      </c>
      <c r="AC21" s="1088">
        <f t="shared" ref="AC21" si="10">D21/J21</f>
        <v>1</v>
      </c>
    </row>
    <row r="22" spans="1:29" ht="15">
      <c r="A22" s="918"/>
      <c r="B22" s="950"/>
      <c r="C22" s="946"/>
      <c r="D22" s="939"/>
      <c r="E22" s="938"/>
      <c r="F22" s="1244"/>
      <c r="G22" s="938"/>
      <c r="H22" s="939"/>
      <c r="I22" s="938"/>
      <c r="J22" s="939"/>
      <c r="K22" s="1285"/>
      <c r="L22" s="1042"/>
      <c r="M22" s="1030"/>
      <c r="N22" s="1030"/>
      <c r="O22" s="1041"/>
      <c r="P22" s="3186"/>
      <c r="Q22" s="657"/>
      <c r="R22" s="1076"/>
      <c r="S22" s="1077"/>
      <c r="T22" s="1076"/>
      <c r="U22" s="1077"/>
      <c r="V22" s="1076"/>
      <c r="W22" s="1077"/>
      <c r="X22" s="1070"/>
      <c r="Y22" s="3186"/>
      <c r="Z22" s="1069"/>
      <c r="AA22" s="1088">
        <v>1</v>
      </c>
      <c r="AB22" s="1088">
        <v>1</v>
      </c>
      <c r="AC22" s="1088">
        <v>1</v>
      </c>
    </row>
    <row r="23" spans="1:29" ht="15">
      <c r="A23" s="918"/>
      <c r="B23" s="942" t="s">
        <v>1494</v>
      </c>
      <c r="C23" s="949" t="str">
        <f>估价对象房地状况!G7</f>
        <v>一般</v>
      </c>
      <c r="D23" s="941">
        <v>100</v>
      </c>
      <c r="E23" s="943"/>
      <c r="F23" s="1246">
        <f>SUMIF(78:78,E24,79:79)-SUMIF(78:78,C24,79:79)+100</f>
        <v>100</v>
      </c>
      <c r="G23" s="952"/>
      <c r="H23" s="941">
        <f>SUMIF(78:78,G24,79:79)-SUMIF(78:78,C24,79:79)+100</f>
        <v>100</v>
      </c>
      <c r="I23" s="943"/>
      <c r="J23" s="941">
        <f>SUMIF(78:78,I24,79:79)-SUMIF(78:78,C24,79:79)+100</f>
        <v>100</v>
      </c>
      <c r="K23" s="1283"/>
      <c r="L23" s="1042"/>
      <c r="M23" s="1030"/>
      <c r="N23" s="1030"/>
      <c r="O23" s="1041"/>
      <c r="P23" s="3186"/>
      <c r="Q23" s="657" t="str">
        <f>B23</f>
        <v>环境质量</v>
      </c>
      <c r="R23" s="1076" t="s">
        <v>940</v>
      </c>
      <c r="S23" s="1077">
        <f>F23</f>
        <v>100</v>
      </c>
      <c r="T23" s="1076" t="s">
        <v>940</v>
      </c>
      <c r="U23" s="1077">
        <f>H23</f>
        <v>100</v>
      </c>
      <c r="V23" s="1076" t="s">
        <v>940</v>
      </c>
      <c r="W23" s="1077">
        <f>J23</f>
        <v>100</v>
      </c>
      <c r="X23" s="1070"/>
      <c r="Y23" s="3186"/>
      <c r="Z23" s="1069" t="str">
        <f>Q23</f>
        <v>环境质量</v>
      </c>
      <c r="AA23" s="1088">
        <f t="shared" si="3"/>
        <v>1</v>
      </c>
      <c r="AB23" s="1088">
        <f t="shared" si="4"/>
        <v>1</v>
      </c>
      <c r="AC23" s="1088">
        <f t="shared" si="5"/>
        <v>1</v>
      </c>
    </row>
    <row r="24" spans="1:29" ht="15">
      <c r="A24" s="918"/>
      <c r="B24" s="950"/>
      <c r="C24" s="938"/>
      <c r="D24" s="939"/>
      <c r="E24" s="940"/>
      <c r="F24" s="1244"/>
      <c r="G24" s="954"/>
      <c r="H24" s="939"/>
      <c r="I24" s="940"/>
      <c r="J24" s="939"/>
      <c r="K24" s="1284"/>
      <c r="L24" s="1042"/>
      <c r="M24" s="1030"/>
      <c r="N24" s="1030"/>
      <c r="O24" s="1041"/>
      <c r="P24" s="3186"/>
      <c r="Q24" s="657"/>
      <c r="R24" s="1076"/>
      <c r="S24" s="1077"/>
      <c r="T24" s="1076"/>
      <c r="U24" s="1077"/>
      <c r="V24" s="1076"/>
      <c r="W24" s="1077"/>
      <c r="X24" s="1070"/>
      <c r="Y24" s="3186"/>
      <c r="Z24" s="1069"/>
      <c r="AA24" s="1088">
        <v>1</v>
      </c>
      <c r="AB24" s="1088">
        <v>1</v>
      </c>
      <c r="AC24" s="1088">
        <v>1</v>
      </c>
    </row>
    <row r="25" spans="1:29" ht="15">
      <c r="A25" s="896"/>
      <c r="B25" s="960">
        <v>111</v>
      </c>
      <c r="C25" s="924">
        <v>111</v>
      </c>
      <c r="D25" s="925">
        <v>100</v>
      </c>
      <c r="E25" s="924"/>
      <c r="F25" s="1247">
        <f>SUMIF(80:80,E25,81:81)-SUMIF(80:80,C25,81:81)+100</f>
        <v>100</v>
      </c>
      <c r="G25" s="924"/>
      <c r="H25" s="925">
        <f>SUMIF(80:80,G25,81:81)-SUMIF(80:80,C25,81:81)+100</f>
        <v>100</v>
      </c>
      <c r="I25" s="924"/>
      <c r="J25" s="925">
        <f>SUMIF(80:80,I25,81:81)-SUMIF(80:80,C25,81:81)+100</f>
        <v>100</v>
      </c>
      <c r="K25" s="1047"/>
      <c r="L25" s="1042"/>
      <c r="M25" s="1030"/>
      <c r="N25" s="1030"/>
      <c r="O25" s="1041"/>
      <c r="P25" s="3186"/>
      <c r="Q25" s="657">
        <f>B25</f>
        <v>111</v>
      </c>
      <c r="R25" s="1076" t="s">
        <v>940</v>
      </c>
      <c r="S25" s="1077">
        <f>F25</f>
        <v>100</v>
      </c>
      <c r="T25" s="1076" t="s">
        <v>940</v>
      </c>
      <c r="U25" s="1077">
        <f>H25</f>
        <v>100</v>
      </c>
      <c r="V25" s="1076" t="s">
        <v>940</v>
      </c>
      <c r="W25" s="1077">
        <f>J25</f>
        <v>100</v>
      </c>
      <c r="X25" s="1070"/>
      <c r="Y25" s="3186"/>
      <c r="Z25" s="1069">
        <f>Q25</f>
        <v>111</v>
      </c>
      <c r="AA25" s="1088">
        <f t="shared" si="3"/>
        <v>1</v>
      </c>
      <c r="AB25" s="1088">
        <f t="shared" si="4"/>
        <v>1</v>
      </c>
      <c r="AC25" s="1088">
        <f t="shared" si="5"/>
        <v>1</v>
      </c>
    </row>
    <row r="26" spans="1:29" ht="15">
      <c r="A26" s="918"/>
      <c r="B26" s="960">
        <v>111</v>
      </c>
      <c r="C26" s="924">
        <v>111</v>
      </c>
      <c r="D26" s="925">
        <v>100</v>
      </c>
      <c r="E26" s="924"/>
      <c r="F26" s="1247">
        <f>SUMIF(82:82,E26,83:83)-SUMIF(82:82,C26,83:83)+100</f>
        <v>100</v>
      </c>
      <c r="G26" s="924"/>
      <c r="H26" s="925">
        <f>SUMIF(82:82,G26,83:83)-SUMIF(82:82,C26,83:83)+100</f>
        <v>100</v>
      </c>
      <c r="I26" s="924"/>
      <c r="J26" s="925">
        <f>SUMIF(82:82,I26,83:83)-SUMIF(82:82,C26,83:83)+100</f>
        <v>100</v>
      </c>
      <c r="K26" s="1047"/>
      <c r="L26" s="1042"/>
      <c r="M26" s="1030"/>
      <c r="N26" s="1030"/>
      <c r="O26" s="1041"/>
      <c r="P26" s="3186"/>
      <c r="Q26" s="657">
        <f t="shared" ref="Q26:Q40" si="11">B26</f>
        <v>111</v>
      </c>
      <c r="R26" s="1076" t="s">
        <v>940</v>
      </c>
      <c r="S26" s="1077">
        <f>F26</f>
        <v>100</v>
      </c>
      <c r="T26" s="1076" t="s">
        <v>940</v>
      </c>
      <c r="U26" s="1077">
        <f>H26</f>
        <v>100</v>
      </c>
      <c r="V26" s="1076" t="s">
        <v>940</v>
      </c>
      <c r="W26" s="1077">
        <f>J26</f>
        <v>100</v>
      </c>
      <c r="X26" s="1070"/>
      <c r="Y26" s="3186"/>
      <c r="Z26" s="1069">
        <f>Q26</f>
        <v>111</v>
      </c>
      <c r="AA26" s="1088">
        <f t="shared" si="3"/>
        <v>1</v>
      </c>
      <c r="AB26" s="1088">
        <f t="shared" si="4"/>
        <v>1</v>
      </c>
      <c r="AC26" s="1088">
        <f t="shared" si="5"/>
        <v>1</v>
      </c>
    </row>
    <row r="27" spans="1:29" s="874" customFormat="1" ht="15">
      <c r="A27" s="921"/>
      <c r="B27" s="960">
        <v>111</v>
      </c>
      <c r="C27" s="924">
        <v>111</v>
      </c>
      <c r="D27" s="1376">
        <v>100</v>
      </c>
      <c r="E27" s="924"/>
      <c r="F27" s="1377">
        <f>SUMIF(84:84,E27,85:85)-SUMIF(84:84,C27,85:85)+100</f>
        <v>100</v>
      </c>
      <c r="G27" s="924"/>
      <c r="H27" s="1376">
        <f>SUMIF(84:84,G27,85:85)-SUMIF(84:84,C27,85:85)+100</f>
        <v>100</v>
      </c>
      <c r="I27" s="924"/>
      <c r="J27" s="1376">
        <f>SUMIF(84:84,I27,85:85)-SUMIF(84:84,C27,85:85)+100</f>
        <v>100</v>
      </c>
      <c r="K27" s="1047"/>
      <c r="L27" s="1032"/>
      <c r="M27" s="1033"/>
      <c r="N27" s="1033"/>
      <c r="O27" s="1034"/>
      <c r="P27" s="3186"/>
      <c r="Q27" s="1075">
        <f t="shared" si="11"/>
        <v>111</v>
      </c>
      <c r="R27" s="1071" t="s">
        <v>940</v>
      </c>
      <c r="S27" s="1072">
        <f>F27</f>
        <v>100</v>
      </c>
      <c r="T27" s="1071" t="s">
        <v>940</v>
      </c>
      <c r="U27" s="1072">
        <f>H27</f>
        <v>100</v>
      </c>
      <c r="V27" s="1071" t="s">
        <v>940</v>
      </c>
      <c r="W27" s="1072">
        <f>J27</f>
        <v>100</v>
      </c>
      <c r="X27" s="1073"/>
      <c r="Y27" s="3186"/>
      <c r="Z27" s="1087">
        <f>Q27</f>
        <v>111</v>
      </c>
      <c r="AA27" s="1088">
        <f t="shared" si="3"/>
        <v>1</v>
      </c>
      <c r="AB27" s="1088">
        <f t="shared" si="4"/>
        <v>1</v>
      </c>
      <c r="AC27" s="1088">
        <f t="shared" si="5"/>
        <v>1</v>
      </c>
    </row>
    <row r="28" spans="1:29" ht="15">
      <c r="A28" s="928"/>
      <c r="B28" s="960">
        <v>111</v>
      </c>
      <c r="C28" s="930">
        <v>111</v>
      </c>
      <c r="D28" s="931">
        <v>100</v>
      </c>
      <c r="E28" s="924"/>
      <c r="F28" s="1260">
        <f>SUMIF(86:86,E28,87:87)-SUMIF(86:86,C28,87:87)+100</f>
        <v>100</v>
      </c>
      <c r="G28" s="1240"/>
      <c r="H28" s="931">
        <f>SUMIF(86:86,G28,87:87)-SUMIF(86:86,C28,87:87)+100</f>
        <v>100</v>
      </c>
      <c r="I28" s="1240"/>
      <c r="J28" s="931">
        <f>SUMIF(86:86,I28,87:87)-SUMIF(86:86,C28,87:87)+100</f>
        <v>100</v>
      </c>
      <c r="K28" s="1047"/>
      <c r="L28" s="1042"/>
      <c r="M28" s="1030"/>
      <c r="N28" s="1030"/>
      <c r="O28" s="1041"/>
      <c r="P28" s="3186"/>
      <c r="Q28" s="657">
        <f t="shared" si="11"/>
        <v>111</v>
      </c>
      <c r="R28" s="1076" t="s">
        <v>940</v>
      </c>
      <c r="S28" s="1077">
        <f t="shared" ref="S28:S40" si="12">F28</f>
        <v>100</v>
      </c>
      <c r="T28" s="1076" t="s">
        <v>940</v>
      </c>
      <c r="U28" s="1077">
        <f t="shared" ref="U28:U40" si="13">H28</f>
        <v>100</v>
      </c>
      <c r="V28" s="1076" t="s">
        <v>940</v>
      </c>
      <c r="W28" s="1077">
        <f t="shared" ref="W28:W40" si="14">J28</f>
        <v>100</v>
      </c>
      <c r="X28" s="1070"/>
      <c r="Y28" s="3186"/>
      <c r="Z28" s="1069">
        <f t="shared" ref="Z28:Z40" si="15">Q28</f>
        <v>111</v>
      </c>
      <c r="AA28" s="1088">
        <f t="shared" si="3"/>
        <v>1</v>
      </c>
      <c r="AB28" s="1088">
        <f t="shared" si="4"/>
        <v>1</v>
      </c>
      <c r="AC28" s="1088">
        <f t="shared" si="5"/>
        <v>1</v>
      </c>
    </row>
    <row r="29" spans="1:29" ht="28.5">
      <c r="A29" s="1251" t="s">
        <v>952</v>
      </c>
      <c r="B29" s="909" t="s">
        <v>1444</v>
      </c>
      <c r="C29" s="1252"/>
      <c r="D29" s="971">
        <v>100</v>
      </c>
      <c r="E29" s="1252"/>
      <c r="F29" s="1247">
        <f>SUMIF(88:88,E29,89:89)-SUMIF(88:88,C29,89:89)+100</f>
        <v>100</v>
      </c>
      <c r="G29" s="1252"/>
      <c r="H29" s="925">
        <f>SUMIF(88:88,G29,89:89)-SUMIF(88:88,C29,89:89)+100</f>
        <v>100</v>
      </c>
      <c r="I29" s="1252"/>
      <c r="J29" s="971">
        <f>SUMIF(88:88,I29,89:89)-SUMIF(88:88,C29,89:89)+100</f>
        <v>100</v>
      </c>
      <c r="K29" s="1048"/>
      <c r="L29" s="1042"/>
      <c r="M29" s="1030"/>
      <c r="N29" s="1030"/>
      <c r="O29" s="1041"/>
      <c r="P29" s="3187" t="s">
        <v>951</v>
      </c>
      <c r="Q29" s="657" t="str">
        <f t="shared" si="11"/>
        <v>建筑类型</v>
      </c>
      <c r="R29" s="1076" t="s">
        <v>940</v>
      </c>
      <c r="S29" s="1077">
        <f t="shared" si="12"/>
        <v>100</v>
      </c>
      <c r="T29" s="1076" t="s">
        <v>940</v>
      </c>
      <c r="U29" s="1077">
        <f t="shared" si="13"/>
        <v>100</v>
      </c>
      <c r="V29" s="1076" t="s">
        <v>940</v>
      </c>
      <c r="W29" s="1077">
        <f t="shared" si="14"/>
        <v>100</v>
      </c>
      <c r="X29" s="1070"/>
      <c r="Y29" s="3188" t="s">
        <v>951</v>
      </c>
      <c r="Z29" s="1069" t="str">
        <f t="shared" si="15"/>
        <v>建筑类型</v>
      </c>
      <c r="AA29" s="1088">
        <f t="shared" si="3"/>
        <v>1</v>
      </c>
      <c r="AB29" s="1088">
        <f t="shared" si="4"/>
        <v>1</v>
      </c>
      <c r="AC29" s="1088">
        <f t="shared" si="5"/>
        <v>1</v>
      </c>
    </row>
    <row r="30" spans="1:29" s="876" customFormat="1" ht="15">
      <c r="A30" s="975"/>
      <c r="B30" s="913" t="s">
        <v>1445</v>
      </c>
      <c r="C30" s="1240"/>
      <c r="D30" s="915">
        <v>100</v>
      </c>
      <c r="E30" s="920"/>
      <c r="F30" s="1239" t="e">
        <f>LOOKUP(E30,91:91,92:92)-LOOKUP(C30,91:91,92:92)+100</f>
        <v>#N/A</v>
      </c>
      <c r="G30" s="919"/>
      <c r="H30" s="915" t="e">
        <f>LOOKUP(G30,91:91,92:92)-LOOKUP(C30,91:91,92:92)+100</f>
        <v>#N/A</v>
      </c>
      <c r="I30" s="919"/>
      <c r="J30" s="915" t="e">
        <f>LOOKUP(I30,91:91,92:92)-LOOKUP(C30,91:91,92:92)+100</f>
        <v>#N/A</v>
      </c>
      <c r="K30" s="1047"/>
      <c r="L30" s="1040"/>
      <c r="M30" s="1049"/>
      <c r="N30" s="1049"/>
      <c r="O30" s="1050"/>
      <c r="P30" s="3188"/>
      <c r="Q30" s="1290" t="str">
        <f t="shared" si="11"/>
        <v>项目建筑规模</v>
      </c>
      <c r="R30" s="1078" t="s">
        <v>940</v>
      </c>
      <c r="S30" s="1079" t="e">
        <f t="shared" si="12"/>
        <v>#N/A</v>
      </c>
      <c r="T30" s="1078" t="s">
        <v>940</v>
      </c>
      <c r="U30" s="1079" t="e">
        <f t="shared" si="13"/>
        <v>#N/A</v>
      </c>
      <c r="V30" s="1078" t="s">
        <v>940</v>
      </c>
      <c r="W30" s="1079" t="e">
        <f t="shared" si="14"/>
        <v>#N/A</v>
      </c>
      <c r="X30" s="1080"/>
      <c r="Y30" s="3188"/>
      <c r="Z30" s="1089" t="str">
        <f t="shared" si="15"/>
        <v>项目建筑规模</v>
      </c>
      <c r="AA30" s="1088" t="e">
        <f t="shared" si="3"/>
        <v>#N/A</v>
      </c>
      <c r="AB30" s="1088" t="e">
        <f t="shared" si="4"/>
        <v>#N/A</v>
      </c>
      <c r="AC30" s="1088" t="e">
        <f t="shared" si="5"/>
        <v>#N/A</v>
      </c>
    </row>
    <row r="31" spans="1:29" ht="15">
      <c r="A31" s="969"/>
      <c r="B31" s="913" t="s">
        <v>1446</v>
      </c>
      <c r="C31" s="1257"/>
      <c r="D31" s="925">
        <v>100</v>
      </c>
      <c r="E31" s="1257"/>
      <c r="F31" s="1247">
        <f>SUMIF(93:93,E31,94:94)-SUMIF(93:93,C31,94:94)+100</f>
        <v>100</v>
      </c>
      <c r="G31" s="1257"/>
      <c r="H31" s="925">
        <f>SUMIF(93:93,G31,94:94)-SUMIF(93:93,C31,94:94)+100</f>
        <v>100</v>
      </c>
      <c r="I31" s="1257"/>
      <c r="J31" s="925">
        <f>SUMIF(93:93,I31,94:94)-SUMIF(93:93,C31,94:94)+100</f>
        <v>100</v>
      </c>
      <c r="K31" s="1048"/>
      <c r="L31" s="1042"/>
      <c r="M31" s="1030"/>
      <c r="N31" s="1030"/>
      <c r="O31" s="1041"/>
      <c r="P31" s="3188"/>
      <c r="Q31" s="657" t="str">
        <f t="shared" si="11"/>
        <v>建筑结构</v>
      </c>
      <c r="R31" s="1076" t="s">
        <v>940</v>
      </c>
      <c r="S31" s="1077">
        <f t="shared" si="12"/>
        <v>100</v>
      </c>
      <c r="T31" s="1076" t="s">
        <v>940</v>
      </c>
      <c r="U31" s="1077">
        <f t="shared" si="13"/>
        <v>100</v>
      </c>
      <c r="V31" s="1076" t="s">
        <v>940</v>
      </c>
      <c r="W31" s="1077">
        <f t="shared" si="14"/>
        <v>100</v>
      </c>
      <c r="X31" s="1070"/>
      <c r="Y31" s="3188"/>
      <c r="Z31" s="1069" t="str">
        <f t="shared" si="15"/>
        <v>建筑结构</v>
      </c>
      <c r="AA31" s="1088">
        <f t="shared" si="3"/>
        <v>1</v>
      </c>
      <c r="AB31" s="1088">
        <f t="shared" si="4"/>
        <v>1</v>
      </c>
      <c r="AC31" s="1088">
        <f t="shared" si="5"/>
        <v>1</v>
      </c>
    </row>
    <row r="32" spans="1:29" ht="15">
      <c r="A32" s="969"/>
      <c r="B32" s="913" t="s">
        <v>1448</v>
      </c>
      <c r="C32" s="1257"/>
      <c r="D32" s="925">
        <v>100</v>
      </c>
      <c r="E32" s="1257"/>
      <c r="F32" s="1247">
        <f>SUMIF(95:95,E32,96:96)-SUMIF(95:95,C32,96:96)+100</f>
        <v>100</v>
      </c>
      <c r="G32" s="1257"/>
      <c r="H32" s="925">
        <f>SUMIF(95:95,G32,96:96)-SUMIF(95:95,C32,96:96)+100</f>
        <v>100</v>
      </c>
      <c r="I32" s="1257"/>
      <c r="J32" s="925">
        <f>SUMIF(95:95,I32,96:96)-SUMIF(95:95,C32,96:96)+100</f>
        <v>100</v>
      </c>
      <c r="K32" s="1048"/>
      <c r="L32" s="1042"/>
      <c r="M32" s="1030"/>
      <c r="N32" s="1030"/>
      <c r="O32" s="1041"/>
      <c r="P32" s="3188"/>
      <c r="Q32" s="657" t="str">
        <f t="shared" si="11"/>
        <v>公共部分装修</v>
      </c>
      <c r="R32" s="1076" t="s">
        <v>940</v>
      </c>
      <c r="S32" s="1077">
        <f t="shared" si="12"/>
        <v>100</v>
      </c>
      <c r="T32" s="1076" t="s">
        <v>940</v>
      </c>
      <c r="U32" s="1077">
        <f t="shared" si="13"/>
        <v>100</v>
      </c>
      <c r="V32" s="1076" t="s">
        <v>940</v>
      </c>
      <c r="W32" s="1077">
        <f t="shared" si="14"/>
        <v>100</v>
      </c>
      <c r="X32" s="1070"/>
      <c r="Y32" s="3188"/>
      <c r="Z32" s="1069" t="str">
        <f t="shared" si="15"/>
        <v>公共部分装修</v>
      </c>
      <c r="AA32" s="1088">
        <f t="shared" si="3"/>
        <v>1</v>
      </c>
      <c r="AB32" s="1088">
        <f t="shared" si="4"/>
        <v>1</v>
      </c>
      <c r="AC32" s="1088">
        <f t="shared" si="5"/>
        <v>1</v>
      </c>
    </row>
    <row r="33" spans="1:29" ht="15">
      <c r="A33" s="969"/>
      <c r="B33" s="913" t="s">
        <v>570</v>
      </c>
      <c r="C33" s="1240"/>
      <c r="D33" s="925">
        <v>100</v>
      </c>
      <c r="E33" s="1254"/>
      <c r="F33" s="1247" t="e">
        <f>LOOKUP(E33,98:98,99:99)-LOOKUP(C33,98:98,99:99)+100</f>
        <v>#N/A</v>
      </c>
      <c r="G33" s="1254"/>
      <c r="H33" s="1247" t="e">
        <f>LOOKUP(G33,98:98,99:99)-LOOKUP(C33,98:98,99:99)+100</f>
        <v>#N/A</v>
      </c>
      <c r="I33" s="1254"/>
      <c r="J33" s="925" t="e">
        <f>LOOKUP(I33,98:98,99:99)-LOOKUP(C33,98:98,99:99)+100</f>
        <v>#N/A</v>
      </c>
      <c r="K33" s="1048"/>
      <c r="L33" s="1042"/>
      <c r="M33" s="1030"/>
      <c r="N33" s="1030"/>
      <c r="O33" s="1041"/>
      <c r="P33" s="3188"/>
      <c r="Q33" s="657" t="str">
        <f t="shared" si="11"/>
        <v>成新度</v>
      </c>
      <c r="R33" s="1076" t="s">
        <v>940</v>
      </c>
      <c r="S33" s="1077" t="e">
        <f t="shared" si="12"/>
        <v>#N/A</v>
      </c>
      <c r="T33" s="1076" t="s">
        <v>940</v>
      </c>
      <c r="U33" s="1077" t="e">
        <f t="shared" si="13"/>
        <v>#N/A</v>
      </c>
      <c r="V33" s="1076" t="s">
        <v>940</v>
      </c>
      <c r="W33" s="1077" t="e">
        <f t="shared" si="14"/>
        <v>#N/A</v>
      </c>
      <c r="X33" s="1070"/>
      <c r="Y33" s="3188"/>
      <c r="Z33" s="1069" t="str">
        <f t="shared" si="15"/>
        <v>成新度</v>
      </c>
      <c r="AA33" s="1088" t="e">
        <f t="shared" si="3"/>
        <v>#N/A</v>
      </c>
      <c r="AB33" s="1088" t="e">
        <f t="shared" si="4"/>
        <v>#N/A</v>
      </c>
      <c r="AC33" s="1088" t="e">
        <f t="shared" si="5"/>
        <v>#N/A</v>
      </c>
    </row>
    <row r="34" spans="1:29" s="874" customFormat="1" ht="15">
      <c r="A34" s="973"/>
      <c r="B34" s="913" t="s">
        <v>1449</v>
      </c>
      <c r="C34" s="1257"/>
      <c r="D34" s="915">
        <v>100</v>
      </c>
      <c r="E34" s="1257"/>
      <c r="F34" s="1247">
        <f>SUMIF(100:100,E34,101:101)-SUMIF(100:100,C34,101:101)+100</f>
        <v>100</v>
      </c>
      <c r="G34" s="1257"/>
      <c r="H34" s="925">
        <f>SUMIF(100:100,G34,101:101)-SUMIF(100:100,C34,101:101)+100</f>
        <v>100</v>
      </c>
      <c r="I34" s="1257"/>
      <c r="J34" s="925">
        <f>SUMIF(100:100,I34,101:101)-SUMIF(100:100,C34,101:101)+100</f>
        <v>100</v>
      </c>
      <c r="K34" s="1048"/>
      <c r="L34" s="1032"/>
      <c r="M34" s="1033"/>
      <c r="N34" s="1033"/>
      <c r="O34" s="1034"/>
      <c r="P34" s="3188"/>
      <c r="Q34" s="1075" t="str">
        <f t="shared" si="11"/>
        <v>物业管理</v>
      </c>
      <c r="R34" s="1071" t="s">
        <v>940</v>
      </c>
      <c r="S34" s="1072">
        <f t="shared" si="12"/>
        <v>100</v>
      </c>
      <c r="T34" s="1071" t="s">
        <v>940</v>
      </c>
      <c r="U34" s="1072">
        <f t="shared" si="13"/>
        <v>100</v>
      </c>
      <c r="V34" s="1071" t="s">
        <v>940</v>
      </c>
      <c r="W34" s="1072">
        <f t="shared" si="14"/>
        <v>100</v>
      </c>
      <c r="X34" s="1073"/>
      <c r="Y34" s="3188"/>
      <c r="Z34" s="1087" t="str">
        <f t="shared" si="15"/>
        <v>物业管理</v>
      </c>
      <c r="AA34" s="1086">
        <f t="shared" si="3"/>
        <v>1</v>
      </c>
      <c r="AB34" s="1086">
        <f t="shared" si="4"/>
        <v>1</v>
      </c>
      <c r="AC34" s="1086">
        <f t="shared" si="5"/>
        <v>1</v>
      </c>
    </row>
    <row r="35" spans="1:29" ht="15">
      <c r="A35" s="969"/>
      <c r="B35" s="913" t="s">
        <v>1450</v>
      </c>
      <c r="C35" s="1257"/>
      <c r="D35" s="925">
        <v>100</v>
      </c>
      <c r="E35" s="1257"/>
      <c r="F35" s="1247">
        <f>SUMIF(102:102,E35,103:103)-SUMIF(102:102,C35,103:103)+100</f>
        <v>100</v>
      </c>
      <c r="G35" s="1257"/>
      <c r="H35" s="925">
        <f>SUMIF(102:102,G35,103:103)-SUMIF(102:102,C35,103:103)+100</f>
        <v>100</v>
      </c>
      <c r="I35" s="1257"/>
      <c r="J35" s="925">
        <f>SUMIF(102:102,I35,103:103)-SUMIF(102:102,C35,103:103)+100</f>
        <v>100</v>
      </c>
      <c r="K35" s="1048"/>
      <c r="L35" s="1042"/>
      <c r="M35" s="1030"/>
      <c r="N35" s="1030"/>
      <c r="O35" s="1041"/>
      <c r="P35" s="3188" t="s">
        <v>951</v>
      </c>
      <c r="Q35" s="657" t="str">
        <f t="shared" si="11"/>
        <v>市政基础设施</v>
      </c>
      <c r="R35" s="1076" t="s">
        <v>940</v>
      </c>
      <c r="S35" s="1077">
        <f t="shared" si="12"/>
        <v>100</v>
      </c>
      <c r="T35" s="1076" t="s">
        <v>940</v>
      </c>
      <c r="U35" s="1077">
        <f t="shared" si="13"/>
        <v>100</v>
      </c>
      <c r="V35" s="1076" t="s">
        <v>940</v>
      </c>
      <c r="W35" s="1077">
        <f t="shared" si="14"/>
        <v>100</v>
      </c>
      <c r="X35" s="1070"/>
      <c r="Y35" s="3188" t="s">
        <v>951</v>
      </c>
      <c r="Z35" s="1069" t="str">
        <f t="shared" si="15"/>
        <v>市政基础设施</v>
      </c>
      <c r="AA35" s="1088">
        <f t="shared" si="3"/>
        <v>1</v>
      </c>
      <c r="AB35" s="1088">
        <f t="shared" si="4"/>
        <v>1</v>
      </c>
      <c r="AC35" s="1088">
        <f t="shared" si="5"/>
        <v>1</v>
      </c>
    </row>
    <row r="36" spans="1:29" ht="15">
      <c r="A36" s="969"/>
      <c r="B36" s="913" t="s">
        <v>1453</v>
      </c>
      <c r="C36" s="1257"/>
      <c r="D36" s="925">
        <v>100</v>
      </c>
      <c r="E36" s="1257"/>
      <c r="F36" s="1247">
        <f>SUMIF(104:104,E36,105:105)-SUMIF(104:104,C36,105:105)+100</f>
        <v>100</v>
      </c>
      <c r="G36" s="1257"/>
      <c r="H36" s="925">
        <f>SUMIF(104:104,G36,105:105)-SUMIF(104:104,C36,105:105)+100</f>
        <v>100</v>
      </c>
      <c r="I36" s="1257"/>
      <c r="J36" s="925">
        <f>SUMIF(104:104,I36,105:105)-SUMIF(104:104,C36,105:105)+100</f>
        <v>100</v>
      </c>
      <c r="K36" s="1048"/>
      <c r="L36" s="1042"/>
      <c r="M36" s="1030"/>
      <c r="N36" s="1030"/>
      <c r="O36" s="1041"/>
      <c r="P36" s="3188"/>
      <c r="Q36" s="657" t="str">
        <f t="shared" si="11"/>
        <v>内部装修</v>
      </c>
      <c r="R36" s="1076" t="s">
        <v>940</v>
      </c>
      <c r="S36" s="1077">
        <f t="shared" si="12"/>
        <v>100</v>
      </c>
      <c r="T36" s="1076" t="s">
        <v>940</v>
      </c>
      <c r="U36" s="1077">
        <f t="shared" si="13"/>
        <v>100</v>
      </c>
      <c r="V36" s="1076" t="s">
        <v>940</v>
      </c>
      <c r="W36" s="1077">
        <f t="shared" si="14"/>
        <v>100</v>
      </c>
      <c r="X36" s="1070"/>
      <c r="Y36" s="3188"/>
      <c r="Z36" s="1069" t="str">
        <f t="shared" si="15"/>
        <v>内部装修</v>
      </c>
      <c r="AA36" s="1088">
        <f t="shared" si="3"/>
        <v>1</v>
      </c>
      <c r="AB36" s="1088">
        <f t="shared" si="4"/>
        <v>1</v>
      </c>
      <c r="AC36" s="1088">
        <f t="shared" si="5"/>
        <v>1</v>
      </c>
    </row>
    <row r="37" spans="1:29" ht="15">
      <c r="A37" s="969"/>
      <c r="B37" s="913" t="s">
        <v>1498</v>
      </c>
      <c r="C37" s="953"/>
      <c r="D37" s="925">
        <v>100</v>
      </c>
      <c r="E37" s="953"/>
      <c r="F37" s="1247">
        <f>SUMIF(106:106,E37,107:107)-SUMIF(106:106,C37,107:107)+100</f>
        <v>100</v>
      </c>
      <c r="G37" s="953"/>
      <c r="H37" s="925">
        <f>SUMIF(106:106,G37,107:107)-SUMIF(106:106,C37,107:107)+100</f>
        <v>100</v>
      </c>
      <c r="I37" s="953"/>
      <c r="J37" s="925">
        <f>SUMIF(106:106,I37,107:107)-SUMIF(106:106,C37,107:107)+100</f>
        <v>100</v>
      </c>
      <c r="K37" s="1048"/>
      <c r="L37" s="1042"/>
      <c r="M37" s="1030"/>
      <c r="N37" s="1030"/>
      <c r="O37" s="1041"/>
      <c r="P37" s="3188"/>
      <c r="Q37" s="657" t="str">
        <f t="shared" si="11"/>
        <v>内部装修状况</v>
      </c>
      <c r="R37" s="1076" t="s">
        <v>940</v>
      </c>
      <c r="S37" s="1077">
        <f t="shared" si="12"/>
        <v>100</v>
      </c>
      <c r="T37" s="1076" t="s">
        <v>940</v>
      </c>
      <c r="U37" s="1077">
        <f t="shared" si="13"/>
        <v>100</v>
      </c>
      <c r="V37" s="1076" t="s">
        <v>940</v>
      </c>
      <c r="W37" s="1077">
        <f t="shared" si="14"/>
        <v>100</v>
      </c>
      <c r="X37" s="1070"/>
      <c r="Y37" s="3188"/>
      <c r="Z37" s="1069" t="str">
        <f t="shared" si="15"/>
        <v>内部装修状况</v>
      </c>
      <c r="AA37" s="1088">
        <f t="shared" si="3"/>
        <v>1</v>
      </c>
      <c r="AB37" s="1088">
        <f t="shared" si="4"/>
        <v>1</v>
      </c>
      <c r="AC37" s="1088">
        <f t="shared" si="5"/>
        <v>1</v>
      </c>
    </row>
    <row r="38" spans="1:29" s="876" customFormat="1" ht="15">
      <c r="A38" s="975"/>
      <c r="B38" s="960">
        <v>111</v>
      </c>
      <c r="C38" s="1240"/>
      <c r="D38" s="925">
        <v>100</v>
      </c>
      <c r="E38" s="924"/>
      <c r="F38" s="1247">
        <f>SUMIF(108:108,E38,109:109)-SUMIF(108:108,C38,109:109)+100</f>
        <v>100</v>
      </c>
      <c r="G38" s="1240"/>
      <c r="H38" s="925">
        <f>SUMIF(108:108,G38,109:109)-SUMIF(108:108,C38,109:109)+100</f>
        <v>100</v>
      </c>
      <c r="I38" s="1240"/>
      <c r="J38" s="925">
        <f>SUMIF(108:108,I38,109:1038)-SUMIF(108:108,C38,109:109)+100</f>
        <v>100</v>
      </c>
      <c r="K38" s="1047"/>
      <c r="L38" s="1040"/>
      <c r="M38" s="1049"/>
      <c r="N38" s="1049"/>
      <c r="O38" s="1050"/>
      <c r="P38" s="3188"/>
      <c r="Q38" s="1290">
        <f t="shared" si="11"/>
        <v>111</v>
      </c>
      <c r="R38" s="1078" t="s">
        <v>940</v>
      </c>
      <c r="S38" s="1079">
        <f t="shared" si="12"/>
        <v>100</v>
      </c>
      <c r="T38" s="1078" t="s">
        <v>940</v>
      </c>
      <c r="U38" s="1079">
        <f t="shared" si="13"/>
        <v>100</v>
      </c>
      <c r="V38" s="1078" t="s">
        <v>940</v>
      </c>
      <c r="W38" s="1079">
        <f t="shared" si="14"/>
        <v>100</v>
      </c>
      <c r="X38" s="1080"/>
      <c r="Y38" s="3188"/>
      <c r="Z38" s="1089">
        <f t="shared" si="15"/>
        <v>111</v>
      </c>
      <c r="AA38" s="1088">
        <f t="shared" si="3"/>
        <v>1</v>
      </c>
      <c r="AB38" s="1088">
        <f t="shared" si="4"/>
        <v>1</v>
      </c>
      <c r="AC38" s="1088">
        <f t="shared" si="5"/>
        <v>1</v>
      </c>
    </row>
    <row r="39" spans="1:29" ht="15">
      <c r="A39" s="969"/>
      <c r="B39" s="960">
        <v>111</v>
      </c>
      <c r="C39" s="1240"/>
      <c r="D39" s="925">
        <v>100</v>
      </c>
      <c r="E39" s="924"/>
      <c r="F39" s="1247">
        <f>SUMIF(110:110,E39,111:111)-SUMIF(110:110,C39,111:111)+100</f>
        <v>100</v>
      </c>
      <c r="G39" s="1240"/>
      <c r="H39" s="925">
        <f>SUMIF(110:110,G39,111:111)-SUMIF(110:110,C39,111:111)+100</f>
        <v>100</v>
      </c>
      <c r="I39" s="1240"/>
      <c r="J39" s="925">
        <f>SUMIF(110:110,I39,111:111)-SUMIF(110:110,C39,111:111)+100</f>
        <v>100</v>
      </c>
      <c r="K39" s="1047"/>
      <c r="L39" s="1042"/>
      <c r="M39" s="1030"/>
      <c r="N39" s="1030"/>
      <c r="O39" s="1041"/>
      <c r="P39" s="3188"/>
      <c r="Q39" s="657">
        <f t="shared" si="11"/>
        <v>111</v>
      </c>
      <c r="R39" s="1076" t="s">
        <v>940</v>
      </c>
      <c r="S39" s="1077">
        <f t="shared" si="12"/>
        <v>100</v>
      </c>
      <c r="T39" s="1076" t="s">
        <v>940</v>
      </c>
      <c r="U39" s="1077">
        <f t="shared" si="13"/>
        <v>100</v>
      </c>
      <c r="V39" s="1076" t="s">
        <v>940</v>
      </c>
      <c r="W39" s="1077">
        <f t="shared" si="14"/>
        <v>100</v>
      </c>
      <c r="X39" s="1070"/>
      <c r="Y39" s="3188"/>
      <c r="Z39" s="1069">
        <f t="shared" si="15"/>
        <v>111</v>
      </c>
      <c r="AA39" s="1088">
        <f t="shared" si="3"/>
        <v>1</v>
      </c>
      <c r="AB39" s="1088">
        <f t="shared" si="4"/>
        <v>1</v>
      </c>
      <c r="AC39" s="1088">
        <f t="shared" si="5"/>
        <v>1</v>
      </c>
    </row>
    <row r="40" spans="1:29" ht="15">
      <c r="A40" s="1259"/>
      <c r="B40" s="929">
        <v>111</v>
      </c>
      <c r="C40" s="930"/>
      <c r="D40" s="931">
        <v>100</v>
      </c>
      <c r="E40" s="924"/>
      <c r="F40" s="1260">
        <f>SUMIF(112:112,E40,113:113)-SUMIF(112:112,C40,113:113)+100</f>
        <v>100</v>
      </c>
      <c r="G40" s="1240"/>
      <c r="H40" s="931">
        <f>SUMIF(112:112,G40,113:113)-SUMIF(112:112,C40,113:113)+100</f>
        <v>100</v>
      </c>
      <c r="I40" s="1240"/>
      <c r="J40" s="931">
        <f>SUMIF(112:112,I40,113:113)-SUMIF(112:112,C40,113:113)+100</f>
        <v>100</v>
      </c>
      <c r="K40" s="1047"/>
      <c r="L40" s="1042"/>
      <c r="M40" s="1030"/>
      <c r="N40" s="1030"/>
      <c r="O40" s="1041"/>
      <c r="P40" s="3250"/>
      <c r="Q40" s="657">
        <f t="shared" si="11"/>
        <v>111</v>
      </c>
      <c r="R40" s="1076" t="s">
        <v>940</v>
      </c>
      <c r="S40" s="1077">
        <f t="shared" si="12"/>
        <v>100</v>
      </c>
      <c r="T40" s="1076" t="s">
        <v>940</v>
      </c>
      <c r="U40" s="1077">
        <f t="shared" si="13"/>
        <v>100</v>
      </c>
      <c r="V40" s="1076" t="s">
        <v>940</v>
      </c>
      <c r="W40" s="1077">
        <f t="shared" si="14"/>
        <v>100</v>
      </c>
      <c r="X40" s="1070"/>
      <c r="Y40" s="3250"/>
      <c r="Z40" s="1069">
        <f t="shared" si="15"/>
        <v>111</v>
      </c>
      <c r="AA40" s="1088">
        <f t="shared" si="3"/>
        <v>1</v>
      </c>
      <c r="AB40" s="1088">
        <f t="shared" si="4"/>
        <v>1</v>
      </c>
      <c r="AC40" s="1088">
        <f t="shared" si="5"/>
        <v>1</v>
      </c>
    </row>
    <row r="41" spans="1:29" ht="15">
      <c r="A41" s="978" t="s">
        <v>1455</v>
      </c>
      <c r="B41" s="1261"/>
      <c r="C41" s="1262" t="s">
        <v>124</v>
      </c>
      <c r="D41" s="1263"/>
      <c r="E41" s="1264"/>
      <c r="F41" s="1265"/>
      <c r="G41" s="1266"/>
      <c r="H41" s="1267"/>
      <c r="I41" s="1264"/>
      <c r="J41" s="1267"/>
      <c r="K41" s="1053"/>
      <c r="L41" s="1054"/>
      <c r="M41" s="995"/>
      <c r="N41" s="1030"/>
      <c r="O41" s="995"/>
      <c r="P41" s="3182" t="str">
        <f>A41</f>
        <v>成交单价（元/平方米）</v>
      </c>
      <c r="Q41" s="3182"/>
      <c r="R41" s="3244">
        <f>E41</f>
        <v>0</v>
      </c>
      <c r="S41" s="3244"/>
      <c r="T41" s="3244">
        <f>G41</f>
        <v>0</v>
      </c>
      <c r="U41" s="3244"/>
      <c r="V41" s="3244">
        <f>I41</f>
        <v>0</v>
      </c>
      <c r="W41" s="3244"/>
      <c r="X41" s="1081"/>
      <c r="Y41" s="1090"/>
      <c r="Z41" s="1081"/>
      <c r="AA41" s="1081"/>
      <c r="AB41" s="1081"/>
      <c r="AC41" s="1081"/>
    </row>
    <row r="42" spans="1:29" ht="15">
      <c r="A42" s="986" t="s">
        <v>960</v>
      </c>
      <c r="B42" s="1268"/>
      <c r="C42" s="1269" t="e">
        <f>R43</f>
        <v>#DIV/0!</v>
      </c>
      <c r="D42" s="1270"/>
      <c r="E42" s="1271" t="e">
        <f>R42</f>
        <v>#DIV/0!</v>
      </c>
      <c r="F42" s="1271"/>
      <c r="G42" s="1269" t="e">
        <f>T42</f>
        <v>#DIV/0!</v>
      </c>
      <c r="H42" s="1270"/>
      <c r="I42" s="1271" t="e">
        <f>V42</f>
        <v>#DIV/0!</v>
      </c>
      <c r="J42" s="1270"/>
      <c r="K42" s="1055"/>
      <c r="L42" s="1054"/>
      <c r="M42" s="995"/>
      <c r="N42" s="1030"/>
      <c r="O42" s="995"/>
      <c r="P42" s="3182" t="str">
        <f>A42</f>
        <v>比较价值（元/平方米）</v>
      </c>
      <c r="Q42" s="3182"/>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1081"/>
      <c r="Y42" s="1081"/>
      <c r="Z42" s="1081"/>
      <c r="AA42" s="1081"/>
      <c r="AB42" s="1081"/>
      <c r="AC42" s="1081"/>
    </row>
    <row r="43" spans="1:29" ht="15">
      <c r="A43" s="992" t="s">
        <v>961</v>
      </c>
      <c r="B43" s="993"/>
      <c r="C43" s="1272" t="e">
        <f>R43</f>
        <v>#DIV/0!</v>
      </c>
      <c r="D43" s="1272"/>
      <c r="E43" s="1272"/>
      <c r="F43" s="1272"/>
      <c r="G43" s="1272"/>
      <c r="H43" s="1272"/>
      <c r="I43" s="1272"/>
      <c r="J43" s="1272"/>
      <c r="K43" s="1056"/>
      <c r="L43" s="1054"/>
      <c r="M43" s="995"/>
      <c r="N43" s="995"/>
      <c r="O43" s="995"/>
      <c r="P43" s="3192" t="str">
        <f>A43</f>
        <v>估价对象XX用房的比较价值（楼面单价，元/平方米）</v>
      </c>
      <c r="Q43" s="3193"/>
      <c r="R43" s="3251" t="e">
        <f>IF(F1="售价",ROUND(AVERAGE(R42:V42),0),ROUND(AVERAGE(R42:V42),1))</f>
        <v>#DIV/0!</v>
      </c>
      <c r="S43" s="3251"/>
      <c r="T43" s="3251"/>
      <c r="U43" s="3251"/>
      <c r="V43" s="3251"/>
      <c r="W43" s="3251"/>
      <c r="X43" s="1081"/>
      <c r="Y43" s="1081"/>
      <c r="Z43" s="1081"/>
      <c r="AA43" s="1081"/>
      <c r="AB43" s="1081"/>
      <c r="AC43" s="1081"/>
    </row>
    <row r="44" spans="1:29">
      <c r="A44" s="995"/>
      <c r="B44" s="995"/>
      <c r="C44" s="995"/>
      <c r="D44" s="995"/>
      <c r="E44" s="995"/>
      <c r="F44" s="995"/>
      <c r="G44" s="996"/>
      <c r="H44" s="995"/>
      <c r="I44" s="995"/>
      <c r="J44" s="995"/>
      <c r="K44" s="1058"/>
      <c r="L44" s="1059"/>
      <c r="M44" s="995"/>
      <c r="N44" s="995"/>
      <c r="O44" s="995"/>
    </row>
    <row r="45" spans="1:29">
      <c r="A45" s="995"/>
      <c r="B45" s="995"/>
      <c r="C45" s="995"/>
      <c r="D45" s="995"/>
      <c r="E45" s="995"/>
      <c r="F45" s="995"/>
      <c r="G45" s="995"/>
      <c r="H45" s="995"/>
      <c r="I45" s="995"/>
      <c r="J45" s="995"/>
      <c r="K45" s="1058"/>
      <c r="L45" s="1059"/>
      <c r="M45" s="995"/>
      <c r="N45" s="995"/>
      <c r="O45" s="995"/>
    </row>
    <row r="46" spans="1:29" ht="13.5" customHeight="1">
      <c r="A46" s="995"/>
      <c r="B46" s="995"/>
      <c r="C46" s="997" t="s">
        <v>962</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58"/>
      <c r="L46" s="1059"/>
      <c r="M46" s="995"/>
      <c r="N46" s="995"/>
      <c r="O46" s="995"/>
    </row>
    <row r="47" spans="1:29" ht="13.5" customHeight="1">
      <c r="A47" s="995"/>
      <c r="B47" s="995"/>
      <c r="C47" s="997" t="s">
        <v>963</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58"/>
      <c r="L47" s="1059"/>
      <c r="M47" s="995"/>
      <c r="N47" s="995"/>
      <c r="O47" s="995"/>
    </row>
    <row r="48" spans="1:29" s="877" customFormat="1" ht="13.5" customHeight="1">
      <c r="A48" s="1000"/>
      <c r="B48" s="1000"/>
      <c r="C48" s="997" t="s">
        <v>964</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60"/>
      <c r="L48" s="1061"/>
      <c r="M48" s="1000"/>
      <c r="N48" s="1000"/>
      <c r="O48" s="1000"/>
    </row>
    <row r="49" spans="1:17" s="877" customFormat="1">
      <c r="A49" s="1000"/>
      <c r="B49" s="1001"/>
      <c r="C49" s="1273"/>
      <c r="D49" s="1000"/>
      <c r="E49" s="1000"/>
      <c r="F49" s="1000"/>
      <c r="G49" s="1000"/>
      <c r="H49" s="1000"/>
      <c r="I49" s="1000"/>
      <c r="J49" s="1000"/>
      <c r="K49" s="1060"/>
      <c r="L49" s="1061"/>
      <c r="M49" s="1000"/>
      <c r="N49" s="1000"/>
      <c r="O49" s="1000"/>
    </row>
    <row r="50" spans="1:17">
      <c r="A50" s="995"/>
      <c r="B50" s="1001"/>
      <c r="C50" s="1273"/>
      <c r="D50" s="995"/>
      <c r="E50" s="995"/>
      <c r="F50" s="995"/>
      <c r="G50" s="995"/>
      <c r="H50" s="995"/>
      <c r="I50" s="995"/>
      <c r="J50" s="995"/>
      <c r="K50" s="1058"/>
      <c r="L50" s="1059"/>
      <c r="M50" s="995"/>
      <c r="N50" s="995"/>
      <c r="O50" s="995"/>
    </row>
    <row r="51" spans="1:17" ht="21">
      <c r="A51" s="1098" t="s">
        <v>990</v>
      </c>
      <c r="B51" s="1081"/>
      <c r="C51" s="1099"/>
      <c r="D51" s="1099"/>
      <c r="E51" s="1099"/>
      <c r="F51" s="1100"/>
      <c r="G51" s="1100"/>
      <c r="H51" s="1099"/>
      <c r="I51" s="1099"/>
      <c r="J51" s="1099"/>
      <c r="K51" s="1158"/>
      <c r="L51" s="1159"/>
      <c r="M51" s="1157"/>
      <c r="N51" s="1157"/>
      <c r="O51" s="1157"/>
      <c r="P51" s="1160"/>
      <c r="Q51" s="1164"/>
    </row>
    <row r="52" spans="1:17" s="879" customFormat="1" ht="15">
      <c r="A52" s="1274" t="s">
        <v>938</v>
      </c>
      <c r="B52" s="1275"/>
      <c r="C52" s="1276" t="str">
        <f>YEAR(C7)&amp;"-"&amp;MONTH(C7)</f>
        <v>2021-7</v>
      </c>
      <c r="D52" s="1277">
        <f>EDATE(C52,-1)</f>
        <v>44348</v>
      </c>
      <c r="E52" s="1277">
        <f t="shared" ref="E52:O52" si="16">EDATE(D52,-1)</f>
        <v>44317</v>
      </c>
      <c r="F52" s="1277">
        <f t="shared" si="16"/>
        <v>44287</v>
      </c>
      <c r="G52" s="1277">
        <f t="shared" si="16"/>
        <v>44256</v>
      </c>
      <c r="H52" s="1277">
        <f t="shared" si="16"/>
        <v>44228</v>
      </c>
      <c r="I52" s="1277">
        <f t="shared" si="16"/>
        <v>44197</v>
      </c>
      <c r="J52" s="1277">
        <f t="shared" si="16"/>
        <v>44166</v>
      </c>
      <c r="K52" s="1277">
        <f t="shared" si="16"/>
        <v>44136</v>
      </c>
      <c r="L52" s="1277">
        <f t="shared" si="16"/>
        <v>44105</v>
      </c>
      <c r="M52" s="1277">
        <f t="shared" si="16"/>
        <v>44075</v>
      </c>
      <c r="N52" s="1277">
        <f t="shared" si="16"/>
        <v>44044</v>
      </c>
      <c r="O52" s="1277">
        <f t="shared" si="16"/>
        <v>44013</v>
      </c>
      <c r="P52" s="1161"/>
    </row>
    <row r="53" spans="1:17" s="874" customFormat="1" ht="15">
      <c r="A53" s="1278"/>
      <c r="B53" s="1112"/>
      <c r="C53" s="1279">
        <v>100</v>
      </c>
      <c r="D53" s="1116"/>
      <c r="E53" s="1116"/>
      <c r="F53" s="1116"/>
      <c r="G53" s="1116"/>
      <c r="H53" s="1116"/>
      <c r="I53" s="1116"/>
      <c r="J53" s="1116"/>
      <c r="K53" s="1116"/>
      <c r="L53" s="1116"/>
      <c r="M53" s="1288"/>
      <c r="N53" s="1116"/>
      <c r="O53" s="1171"/>
      <c r="P53" s="1164"/>
    </row>
    <row r="54" spans="1:17" s="874" customFormat="1" ht="15">
      <c r="A54" s="1107" t="s">
        <v>992</v>
      </c>
      <c r="B54" s="1108"/>
      <c r="C54" s="1109"/>
      <c r="D54" s="1110"/>
      <c r="E54" s="1110"/>
      <c r="F54" s="1110"/>
      <c r="G54" s="1110"/>
      <c r="H54" s="1110"/>
      <c r="I54" s="1110"/>
      <c r="J54" s="1110"/>
      <c r="K54" s="1110"/>
      <c r="L54" s="1110"/>
      <c r="M54" s="1165"/>
      <c r="N54" s="1110"/>
      <c r="O54" s="1289"/>
      <c r="P54" s="1164"/>
      <c r="Q54" s="1164"/>
    </row>
    <row r="55" spans="1:17" s="874" customFormat="1" ht="15">
      <c r="A55" s="1111" t="s">
        <v>941</v>
      </c>
      <c r="B55" s="1112"/>
      <c r="C55" s="1113" t="s">
        <v>942</v>
      </c>
      <c r="D55" s="1114"/>
      <c r="E55" s="1114"/>
      <c r="F55" s="1114"/>
      <c r="G55" s="1114"/>
      <c r="H55" s="1114"/>
      <c r="I55" s="1114"/>
      <c r="J55" s="1114"/>
      <c r="K55" s="1114"/>
      <c r="L55" s="1167"/>
      <c r="M55" s="1168"/>
      <c r="N55" s="1169"/>
      <c r="O55" s="1169"/>
      <c r="P55" s="1170"/>
      <c r="Q55" s="1164"/>
    </row>
    <row r="56" spans="1:17" s="874" customFormat="1" ht="15">
      <c r="A56" s="1111"/>
      <c r="B56" s="1112"/>
      <c r="C56" s="1115">
        <v>100</v>
      </c>
      <c r="D56" s="1116"/>
      <c r="E56" s="1116"/>
      <c r="F56" s="1116"/>
      <c r="G56" s="1116"/>
      <c r="H56" s="1116"/>
      <c r="I56" s="1116"/>
      <c r="J56" s="1116"/>
      <c r="K56" s="1116"/>
      <c r="L56" s="1116"/>
      <c r="M56" s="1171"/>
      <c r="N56" s="1169"/>
      <c r="O56" s="1169"/>
      <c r="P56" s="1164"/>
      <c r="Q56" s="1164"/>
    </row>
    <row r="57" spans="1:17">
      <c r="A57" s="1117" t="s">
        <v>993</v>
      </c>
      <c r="B57" s="1118" t="s">
        <v>349</v>
      </c>
      <c r="C57" s="1140">
        <f>C9</f>
        <v>0</v>
      </c>
      <c r="D57" s="1051"/>
      <c r="E57" s="1051"/>
      <c r="F57" s="1051"/>
      <c r="G57" s="1051"/>
      <c r="H57" s="1051"/>
      <c r="I57" s="1051"/>
      <c r="J57" s="1051"/>
      <c r="K57" s="1172"/>
      <c r="L57" s="1173"/>
      <c r="M57" s="1174"/>
      <c r="N57" s="1175"/>
      <c r="O57" s="1175"/>
      <c r="P57" s="1176"/>
      <c r="Q57" s="1164"/>
    </row>
    <row r="58" spans="1:17" ht="15">
      <c r="A58" s="1119"/>
      <c r="B58" s="1120"/>
      <c r="C58" s="1121">
        <v>100</v>
      </c>
      <c r="D58" s="1121"/>
      <c r="E58" s="1121"/>
      <c r="F58" s="1121"/>
      <c r="G58" s="1121"/>
      <c r="H58" s="1121"/>
      <c r="I58" s="1121"/>
      <c r="J58" s="1121"/>
      <c r="K58" s="1121"/>
      <c r="L58" s="1121"/>
      <c r="M58" s="1177"/>
      <c r="N58" s="1178"/>
      <c r="O58" s="1178"/>
      <c r="P58" s="1176"/>
      <c r="Q58" s="1164"/>
    </row>
    <row r="59" spans="1:17" ht="27">
      <c r="A59" s="1119"/>
      <c r="B59" s="1122" t="s">
        <v>947</v>
      </c>
      <c r="C59" s="1123" t="s">
        <v>1456</v>
      </c>
      <c r="D59" s="1123" t="s">
        <v>1457</v>
      </c>
      <c r="E59" s="1123" t="s">
        <v>1458</v>
      </c>
      <c r="F59" s="1123" t="s">
        <v>1459</v>
      </c>
      <c r="G59" s="1123" t="s">
        <v>1460</v>
      </c>
      <c r="H59" s="1123" t="s">
        <v>1461</v>
      </c>
      <c r="I59" s="1123" t="s">
        <v>1462</v>
      </c>
      <c r="J59" s="1123"/>
      <c r="K59" s="1179"/>
      <c r="L59" s="1180"/>
      <c r="M59" s="1181"/>
      <c r="N59" s="1175"/>
      <c r="O59" s="1175"/>
      <c r="P59" s="1176"/>
      <c r="Q59" s="1164"/>
    </row>
    <row r="60" spans="1:17" ht="15">
      <c r="A60" s="1119"/>
      <c r="B60" s="1124"/>
      <c r="C60" s="1125" t="s">
        <v>989</v>
      </c>
      <c r="D60" s="1125" t="s">
        <v>989</v>
      </c>
      <c r="E60" s="1125">
        <v>100</v>
      </c>
      <c r="F60" s="1125">
        <f>E60-$K10</f>
        <v>100</v>
      </c>
      <c r="G60" s="1125">
        <f>F60-$K10</f>
        <v>100</v>
      </c>
      <c r="H60" s="1125">
        <f>G60-$K10</f>
        <v>100</v>
      </c>
      <c r="I60" s="1125">
        <f>H60-$K10</f>
        <v>100</v>
      </c>
      <c r="J60" s="1125"/>
      <c r="K60" s="1125"/>
      <c r="L60" s="1125"/>
      <c r="M60" s="1182"/>
      <c r="N60" s="1178"/>
      <c r="O60" s="1178"/>
      <c r="P60" s="1176"/>
      <c r="Q60" s="1164"/>
    </row>
    <row r="61" spans="1:17" ht="15">
      <c r="A61" s="1119"/>
      <c r="B61" s="1126" t="s">
        <v>948</v>
      </c>
      <c r="C61" s="1127" t="str">
        <f>C62&amp;"（含）"&amp;"-"&amp;D62</f>
        <v>（含）-</v>
      </c>
      <c r="D61" s="1127" t="str">
        <f t="shared" ref="D61:L61" si="17">D62&amp;"（含）"&amp;"-"&amp;E62</f>
        <v>（含）-</v>
      </c>
      <c r="E61" s="1127" t="str">
        <f t="shared" si="17"/>
        <v>（含）-</v>
      </c>
      <c r="F61" s="1127" t="str">
        <f t="shared" si="17"/>
        <v>（含）-</v>
      </c>
      <c r="G61" s="1127" t="str">
        <f t="shared" si="17"/>
        <v>（含）-</v>
      </c>
      <c r="H61" s="1127" t="str">
        <f t="shared" si="17"/>
        <v>（含）-</v>
      </c>
      <c r="I61" s="1127" t="str">
        <f t="shared" si="17"/>
        <v>（含）-</v>
      </c>
      <c r="J61" s="1127" t="str">
        <f t="shared" si="17"/>
        <v>（含）-</v>
      </c>
      <c r="K61" s="1127" t="str">
        <f t="shared" si="17"/>
        <v>（含）-</v>
      </c>
      <c r="L61" s="1127" t="str">
        <f t="shared" si="17"/>
        <v>（含）-</v>
      </c>
      <c r="M61" s="939" t="str">
        <f>M62&amp;"（含）"&amp;"-"&amp;P62</f>
        <v>（含）-</v>
      </c>
      <c r="N61" s="1178"/>
      <c r="O61" s="1178"/>
      <c r="P61" s="1176"/>
      <c r="Q61" s="1164"/>
    </row>
    <row r="62" spans="1:17" ht="15">
      <c r="A62" s="1119"/>
      <c r="B62" s="1128"/>
      <c r="C62" s="926"/>
      <c r="D62" s="926"/>
      <c r="E62" s="926"/>
      <c r="F62" s="926"/>
      <c r="G62" s="926"/>
      <c r="H62" s="926"/>
      <c r="I62" s="926"/>
      <c r="J62" s="926"/>
      <c r="K62" s="1183"/>
      <c r="L62" s="1184"/>
      <c r="M62" s="1185"/>
      <c r="N62" s="1175"/>
      <c r="O62" s="1175"/>
      <c r="P62" s="1176"/>
      <c r="Q62" s="1164"/>
    </row>
    <row r="63" spans="1:17" ht="15">
      <c r="A63" s="1119"/>
      <c r="B63" s="1120"/>
      <c r="C63" s="1125">
        <v>100</v>
      </c>
      <c r="D63" s="1125">
        <f t="shared" ref="D63:M63" si="18">C63-$K11</f>
        <v>100</v>
      </c>
      <c r="E63" s="1125">
        <f t="shared" si="18"/>
        <v>100</v>
      </c>
      <c r="F63" s="1125">
        <f t="shared" si="18"/>
        <v>100</v>
      </c>
      <c r="G63" s="1125">
        <f t="shared" si="18"/>
        <v>100</v>
      </c>
      <c r="H63" s="1125">
        <f t="shared" si="18"/>
        <v>100</v>
      </c>
      <c r="I63" s="1125">
        <f t="shared" si="18"/>
        <v>100</v>
      </c>
      <c r="J63" s="1125">
        <f t="shared" si="18"/>
        <v>100</v>
      </c>
      <c r="K63" s="1125">
        <f t="shared" si="18"/>
        <v>100</v>
      </c>
      <c r="L63" s="1125">
        <f t="shared" si="18"/>
        <v>100</v>
      </c>
      <c r="M63" s="1182">
        <f t="shared" si="18"/>
        <v>100</v>
      </c>
      <c r="N63" s="1178"/>
      <c r="O63" s="1178"/>
      <c r="P63" s="1176"/>
      <c r="Q63" s="1164"/>
    </row>
    <row r="64" spans="1:17" s="876" customFormat="1" ht="15">
      <c r="A64" s="1129"/>
      <c r="B64" s="1122">
        <f>B12</f>
        <v>111</v>
      </c>
      <c r="C64" s="1130"/>
      <c r="D64" s="1130"/>
      <c r="E64" s="1130"/>
      <c r="F64" s="1130"/>
      <c r="G64" s="1130"/>
      <c r="H64" s="1131"/>
      <c r="I64" s="1131"/>
      <c r="J64" s="1131"/>
      <c r="K64" s="1131"/>
      <c r="L64" s="1186"/>
      <c r="M64" s="1187"/>
      <c r="N64" s="1188"/>
      <c r="O64" s="1188"/>
      <c r="P64" s="1189"/>
      <c r="Q64" s="1217"/>
    </row>
    <row r="65" spans="1:17" s="876" customFormat="1" ht="15">
      <c r="A65" s="1129"/>
      <c r="B65" s="1124"/>
      <c r="C65" s="1132"/>
      <c r="D65" s="1121"/>
      <c r="E65" s="1121"/>
      <c r="F65" s="1121"/>
      <c r="G65" s="1121"/>
      <c r="H65" s="1121"/>
      <c r="I65" s="1121"/>
      <c r="J65" s="1121"/>
      <c r="K65" s="1121"/>
      <c r="L65" s="1121"/>
      <c r="M65" s="1177"/>
      <c r="N65" s="1178"/>
      <c r="O65" s="1178"/>
      <c r="P65" s="1189"/>
      <c r="Q65" s="1217"/>
    </row>
    <row r="66" spans="1:17" s="876" customFormat="1" ht="15">
      <c r="A66" s="1129"/>
      <c r="B66" s="1122">
        <f>B13</f>
        <v>111</v>
      </c>
      <c r="C66" s="1130"/>
      <c r="D66" s="1130"/>
      <c r="E66" s="1130"/>
      <c r="F66" s="1130"/>
      <c r="G66" s="1130"/>
      <c r="H66" s="1131"/>
      <c r="I66" s="1131"/>
      <c r="J66" s="1131"/>
      <c r="K66" s="1131"/>
      <c r="L66" s="1186"/>
      <c r="M66" s="1187"/>
      <c r="N66" s="1188"/>
      <c r="O66" s="1188"/>
      <c r="P66" s="1190"/>
      <c r="Q66" s="1218"/>
    </row>
    <row r="67" spans="1:17" s="876" customFormat="1" ht="15">
      <c r="A67" s="1129"/>
      <c r="B67" s="1124"/>
      <c r="C67" s="1132"/>
      <c r="D67" s="1121"/>
      <c r="E67" s="1121"/>
      <c r="F67" s="1121"/>
      <c r="G67" s="1132"/>
      <c r="H67" s="1133"/>
      <c r="I67" s="1133"/>
      <c r="J67" s="1133"/>
      <c r="K67" s="1133"/>
      <c r="L67" s="1133"/>
      <c r="M67" s="1191"/>
      <c r="N67" s="1188"/>
      <c r="O67" s="1188"/>
      <c r="P67" s="1189"/>
      <c r="Q67" s="1217"/>
    </row>
    <row r="68" spans="1:17" s="876" customFormat="1" ht="15">
      <c r="A68" s="1129"/>
      <c r="B68" s="1126">
        <f>B14</f>
        <v>111</v>
      </c>
      <c r="C68" s="1114"/>
      <c r="D68" s="1114"/>
      <c r="E68" s="1114"/>
      <c r="F68" s="1114"/>
      <c r="G68" s="1114"/>
      <c r="H68" s="1134"/>
      <c r="I68" s="1134"/>
      <c r="J68" s="1134"/>
      <c r="K68" s="1134"/>
      <c r="L68" s="1192"/>
      <c r="M68" s="1193"/>
      <c r="N68" s="1188"/>
      <c r="O68" s="1188"/>
      <c r="P68" s="1194"/>
      <c r="Q68" s="1217"/>
    </row>
    <row r="69" spans="1:17" s="876" customFormat="1" ht="15">
      <c r="A69" s="1135"/>
      <c r="B69" s="1136"/>
      <c r="C69" s="1137"/>
      <c r="D69" s="1137"/>
      <c r="E69" s="1137"/>
      <c r="F69" s="1137"/>
      <c r="G69" s="1137"/>
      <c r="H69" s="1138"/>
      <c r="I69" s="1138"/>
      <c r="J69" s="1138"/>
      <c r="K69" s="1138"/>
      <c r="L69" s="1138"/>
      <c r="M69" s="1195"/>
      <c r="N69" s="1188"/>
      <c r="O69" s="1188"/>
      <c r="P69" s="1189"/>
      <c r="Q69" s="1217"/>
    </row>
    <row r="70" spans="1:17">
      <c r="A70" s="1117" t="s">
        <v>949</v>
      </c>
      <c r="B70" s="1118" t="s">
        <v>659</v>
      </c>
      <c r="C70" s="1139" t="s">
        <v>994</v>
      </c>
      <c r="D70" s="1139" t="s">
        <v>995</v>
      </c>
      <c r="E70" s="1139" t="s">
        <v>996</v>
      </c>
      <c r="F70" s="1139" t="s">
        <v>997</v>
      </c>
      <c r="G70" s="1139" t="s">
        <v>998</v>
      </c>
      <c r="H70" s="1140"/>
      <c r="I70" s="1140"/>
      <c r="J70" s="1140"/>
      <c r="K70" s="1196"/>
      <c r="L70" s="1197"/>
      <c r="M70" s="1198"/>
      <c r="N70" s="1175"/>
      <c r="O70" s="1175"/>
      <c r="P70" s="1199"/>
      <c r="Q70" s="1164"/>
    </row>
    <row r="71" spans="1:17" ht="15">
      <c r="A71" s="1119"/>
      <c r="B71" s="1124"/>
      <c r="C71" s="1125">
        <v>100</v>
      </c>
      <c r="D71" s="1125">
        <f>C71-$K15</f>
        <v>100</v>
      </c>
      <c r="E71" s="1125">
        <f>D71-$K15</f>
        <v>100</v>
      </c>
      <c r="F71" s="1125">
        <f>E71-$K15</f>
        <v>100</v>
      </c>
      <c r="G71" s="1125">
        <f>F71-$K15</f>
        <v>100</v>
      </c>
      <c r="H71" s="1125"/>
      <c r="I71" s="1125"/>
      <c r="J71" s="1125"/>
      <c r="K71" s="1125"/>
      <c r="L71" s="1125"/>
      <c r="M71" s="1182"/>
      <c r="N71" s="1178"/>
      <c r="O71" s="1178"/>
      <c r="P71" s="1176"/>
      <c r="Q71" s="1164"/>
    </row>
    <row r="72" spans="1:17" ht="15">
      <c r="A72" s="1119"/>
      <c r="B72" s="1122" t="s">
        <v>663</v>
      </c>
      <c r="C72" s="1141" t="s">
        <v>994</v>
      </c>
      <c r="D72" s="1141" t="s">
        <v>995</v>
      </c>
      <c r="E72" s="1141" t="s">
        <v>996</v>
      </c>
      <c r="F72" s="1141" t="s">
        <v>997</v>
      </c>
      <c r="G72" s="1141" t="s">
        <v>998</v>
      </c>
      <c r="H72" s="1123"/>
      <c r="I72" s="1123"/>
      <c r="J72" s="1123"/>
      <c r="K72" s="1179"/>
      <c r="L72" s="1180"/>
      <c r="M72" s="1181"/>
      <c r="N72" s="1175"/>
      <c r="O72" s="1175"/>
      <c r="P72" s="1176"/>
      <c r="Q72" s="1164"/>
    </row>
    <row r="73" spans="1:17" ht="15">
      <c r="A73" s="1119"/>
      <c r="B73" s="1124"/>
      <c r="C73" s="1125">
        <v>100</v>
      </c>
      <c r="D73" s="1125">
        <f>C73-$K17</f>
        <v>100</v>
      </c>
      <c r="E73" s="1125">
        <f>D73-$K17</f>
        <v>100</v>
      </c>
      <c r="F73" s="1125">
        <f>E73-$K17</f>
        <v>100</v>
      </c>
      <c r="G73" s="1125">
        <f>F73-$K17</f>
        <v>100</v>
      </c>
      <c r="H73" s="1125"/>
      <c r="I73" s="1125"/>
      <c r="J73" s="1125"/>
      <c r="K73" s="1125"/>
      <c r="L73" s="1125"/>
      <c r="M73" s="1182"/>
      <c r="N73" s="1178"/>
      <c r="O73" s="1178"/>
      <c r="P73" s="1176"/>
      <c r="Q73" s="1164"/>
    </row>
    <row r="74" spans="1:17" ht="15">
      <c r="A74" s="1119"/>
      <c r="B74" s="1122" t="s">
        <v>667</v>
      </c>
      <c r="C74" s="1141" t="s">
        <v>994</v>
      </c>
      <c r="D74" s="1141" t="s">
        <v>995</v>
      </c>
      <c r="E74" s="1141" t="s">
        <v>996</v>
      </c>
      <c r="F74" s="1141" t="s">
        <v>997</v>
      </c>
      <c r="G74" s="1141" t="s">
        <v>998</v>
      </c>
      <c r="H74" s="1123"/>
      <c r="I74" s="1123"/>
      <c r="J74" s="1123"/>
      <c r="K74" s="1179"/>
      <c r="L74" s="1180"/>
      <c r="M74" s="1181"/>
      <c r="N74" s="1175"/>
      <c r="O74" s="1175"/>
      <c r="P74" s="1176"/>
      <c r="Q74" s="1164"/>
    </row>
    <row r="75" spans="1:17" ht="15">
      <c r="A75" s="1119"/>
      <c r="B75" s="1124"/>
      <c r="C75" s="1125">
        <v>100</v>
      </c>
      <c r="D75" s="1125">
        <f>C75-$K19</f>
        <v>100</v>
      </c>
      <c r="E75" s="1125">
        <f>D75-$K19</f>
        <v>100</v>
      </c>
      <c r="F75" s="1125">
        <f>E75-$K19</f>
        <v>100</v>
      </c>
      <c r="G75" s="1125">
        <f>F75-$K19</f>
        <v>100</v>
      </c>
      <c r="H75" s="1125"/>
      <c r="I75" s="1125"/>
      <c r="J75" s="1125"/>
      <c r="K75" s="1125"/>
      <c r="L75" s="1125"/>
      <c r="M75" s="1182"/>
      <c r="N75" s="1178"/>
      <c r="O75" s="1178"/>
      <c r="P75" s="1176"/>
      <c r="Q75" s="1164"/>
    </row>
    <row r="76" spans="1:17" ht="15">
      <c r="A76" s="1119"/>
      <c r="B76" s="1126" t="s">
        <v>669</v>
      </c>
      <c r="C76" s="1146" t="s">
        <v>999</v>
      </c>
      <c r="D76" s="1146" t="s">
        <v>1000</v>
      </c>
      <c r="E76" s="1146" t="s">
        <v>1001</v>
      </c>
      <c r="F76" s="1146" t="s">
        <v>1002</v>
      </c>
      <c r="G76" s="1146" t="s">
        <v>1003</v>
      </c>
      <c r="H76" s="1123"/>
      <c r="I76" s="1123"/>
      <c r="J76" s="1123"/>
      <c r="K76" s="1123"/>
      <c r="L76" s="1123"/>
      <c r="M76" s="1294"/>
      <c r="N76" s="1178"/>
      <c r="O76" s="1178"/>
      <c r="P76" s="1176"/>
      <c r="Q76" s="1164"/>
    </row>
    <row r="77" spans="1:17" ht="15">
      <c r="A77" s="1119"/>
      <c r="B77" s="1126"/>
      <c r="C77" s="1125">
        <v>100</v>
      </c>
      <c r="D77" s="1125">
        <f>C77-$K21</f>
        <v>100</v>
      </c>
      <c r="E77" s="1125">
        <f>D77-$K21</f>
        <v>100</v>
      </c>
      <c r="F77" s="1125">
        <f>E77-$K21</f>
        <v>100</v>
      </c>
      <c r="G77" s="1125">
        <f>F77-$K21</f>
        <v>100</v>
      </c>
      <c r="H77" s="1146"/>
      <c r="I77" s="1146"/>
      <c r="J77" s="1146"/>
      <c r="K77" s="1146"/>
      <c r="L77" s="1146"/>
      <c r="M77" s="941"/>
      <c r="N77" s="1178"/>
      <c r="O77" s="1178"/>
      <c r="P77" s="1176"/>
      <c r="Q77" s="1164"/>
    </row>
    <row r="78" spans="1:17" ht="15">
      <c r="A78" s="1119"/>
      <c r="B78" s="1122" t="s">
        <v>1494</v>
      </c>
      <c r="C78" s="1141" t="s">
        <v>994</v>
      </c>
      <c r="D78" s="1141" t="s">
        <v>995</v>
      </c>
      <c r="E78" s="1141" t="s">
        <v>996</v>
      </c>
      <c r="F78" s="1141" t="s">
        <v>997</v>
      </c>
      <c r="G78" s="1141" t="s">
        <v>998</v>
      </c>
      <c r="H78" s="1123"/>
      <c r="I78" s="1123"/>
      <c r="J78" s="1123"/>
      <c r="K78" s="1179"/>
      <c r="L78" s="1180"/>
      <c r="M78" s="1181"/>
      <c r="N78" s="1175"/>
      <c r="O78" s="1175"/>
      <c r="P78" s="1176"/>
      <c r="Q78" s="1164"/>
    </row>
    <row r="79" spans="1:17" ht="15">
      <c r="A79" s="1119"/>
      <c r="B79" s="1124"/>
      <c r="C79" s="1125">
        <v>100</v>
      </c>
      <c r="D79" s="1125">
        <f>C79-$K23</f>
        <v>100</v>
      </c>
      <c r="E79" s="1125">
        <f>D79-$K23</f>
        <v>100</v>
      </c>
      <c r="F79" s="1125">
        <f>E79-$K23</f>
        <v>100</v>
      </c>
      <c r="G79" s="1125">
        <f>F79-$K23</f>
        <v>100</v>
      </c>
      <c r="H79" s="1125"/>
      <c r="I79" s="1125"/>
      <c r="J79" s="1125"/>
      <c r="K79" s="1125"/>
      <c r="L79" s="1125"/>
      <c r="M79" s="1182"/>
      <c r="N79" s="1178"/>
      <c r="O79" s="1178"/>
      <c r="P79" s="1176"/>
      <c r="Q79" s="1164"/>
    </row>
    <row r="80" spans="1:17" s="874" customFormat="1" ht="15">
      <c r="A80" s="1142"/>
      <c r="B80" s="1122">
        <f>B25</f>
        <v>111</v>
      </c>
      <c r="C80" s="1130"/>
      <c r="D80" s="1130"/>
      <c r="E80" s="1130"/>
      <c r="F80" s="1130"/>
      <c r="G80" s="1130"/>
      <c r="H80" s="1130"/>
      <c r="I80" s="1130"/>
      <c r="J80" s="1130"/>
      <c r="K80" s="1130"/>
      <c r="L80" s="1295"/>
      <c r="M80" s="1296"/>
      <c r="N80" s="1169"/>
      <c r="O80" s="1169"/>
      <c r="P80" s="1176"/>
      <c r="Q80" s="1164"/>
    </row>
    <row r="81" spans="1:17" s="874" customFormat="1" ht="15">
      <c r="A81" s="1142"/>
      <c r="B81" s="1124"/>
      <c r="C81" s="1132"/>
      <c r="D81" s="1121"/>
      <c r="E81" s="1121"/>
      <c r="F81" s="1121"/>
      <c r="G81" s="1121"/>
      <c r="H81" s="1121"/>
      <c r="I81" s="1121"/>
      <c r="J81" s="1121"/>
      <c r="K81" s="1121"/>
      <c r="L81" s="1121"/>
      <c r="M81" s="1177"/>
      <c r="N81" s="1178"/>
      <c r="O81" s="1178"/>
      <c r="P81" s="1176"/>
      <c r="Q81" s="1164"/>
    </row>
    <row r="82" spans="1:17" s="874" customFormat="1" ht="15">
      <c r="A82" s="1142"/>
      <c r="B82" s="1122">
        <f>B26</f>
        <v>111</v>
      </c>
      <c r="C82" s="1130"/>
      <c r="D82" s="1130"/>
      <c r="E82" s="1130"/>
      <c r="F82" s="1130"/>
      <c r="G82" s="1130"/>
      <c r="H82" s="1130"/>
      <c r="I82" s="1130"/>
      <c r="J82" s="1130"/>
      <c r="K82" s="1130"/>
      <c r="L82" s="1295"/>
      <c r="M82" s="1296"/>
      <c r="N82" s="1169"/>
      <c r="O82" s="1169"/>
      <c r="P82" s="1176"/>
      <c r="Q82" s="1164"/>
    </row>
    <row r="83" spans="1:17" s="874" customFormat="1" ht="15">
      <c r="A83" s="1142"/>
      <c r="B83" s="1124"/>
      <c r="C83" s="1132"/>
      <c r="D83" s="1121"/>
      <c r="E83" s="1121"/>
      <c r="F83" s="1121"/>
      <c r="G83" s="1121"/>
      <c r="H83" s="1121"/>
      <c r="I83" s="1121"/>
      <c r="J83" s="1121"/>
      <c r="K83" s="1121"/>
      <c r="L83" s="1121"/>
      <c r="M83" s="1177"/>
      <c r="N83" s="1178"/>
      <c r="O83" s="1178"/>
      <c r="P83" s="1176"/>
      <c r="Q83" s="1164"/>
    </row>
    <row r="84" spans="1:17" s="876" customFormat="1" ht="15">
      <c r="A84" s="1129"/>
      <c r="B84" s="1122">
        <f>B27</f>
        <v>111</v>
      </c>
      <c r="C84" s="1130"/>
      <c r="D84" s="1130"/>
      <c r="E84" s="1130"/>
      <c r="F84" s="1130"/>
      <c r="G84" s="1130"/>
      <c r="H84" s="1130"/>
      <c r="I84" s="1130"/>
      <c r="J84" s="1130"/>
      <c r="K84" s="1130"/>
      <c r="L84" s="1295"/>
      <c r="M84" s="1296"/>
      <c r="N84" s="1188"/>
      <c r="O84" s="1188"/>
      <c r="P84" s="1189"/>
      <c r="Q84" s="1217"/>
    </row>
    <row r="85" spans="1:17" s="876" customFormat="1" ht="15">
      <c r="A85" s="1129"/>
      <c r="B85" s="1124"/>
      <c r="C85" s="1132"/>
      <c r="D85" s="1121"/>
      <c r="E85" s="1121"/>
      <c r="F85" s="1121"/>
      <c r="G85" s="1121"/>
      <c r="H85" s="1121"/>
      <c r="I85" s="1121"/>
      <c r="J85" s="1121"/>
      <c r="K85" s="1121"/>
      <c r="L85" s="1121"/>
      <c r="M85" s="1177"/>
      <c r="N85" s="1188"/>
      <c r="O85" s="1188"/>
      <c r="P85" s="1189"/>
      <c r="Q85" s="1217"/>
    </row>
    <row r="86" spans="1:17" ht="15">
      <c r="A86" s="1119"/>
      <c r="B86" s="1126">
        <f>B28</f>
        <v>111</v>
      </c>
      <c r="C86" s="1114"/>
      <c r="D86" s="1114"/>
      <c r="E86" s="1114"/>
      <c r="F86" s="1114"/>
      <c r="G86" s="1148"/>
      <c r="H86" s="1148"/>
      <c r="I86" s="1148"/>
      <c r="J86" s="1148"/>
      <c r="K86" s="1209"/>
      <c r="L86" s="1210"/>
      <c r="M86" s="1211"/>
      <c r="N86" s="1175"/>
      <c r="O86" s="1175"/>
      <c r="P86" s="1176"/>
      <c r="Q86" s="1164"/>
    </row>
    <row r="87" spans="1:17" ht="15">
      <c r="A87" s="1378"/>
      <c r="B87" s="1136"/>
      <c r="C87" s="1137"/>
      <c r="D87" s="1137"/>
      <c r="E87" s="1137"/>
      <c r="F87" s="1137"/>
      <c r="G87" s="1149"/>
      <c r="H87" s="1149"/>
      <c r="I87" s="1149"/>
      <c r="J87" s="1149"/>
      <c r="K87" s="1149"/>
      <c r="L87" s="1149"/>
      <c r="M87" s="1212"/>
      <c r="N87" s="1178"/>
      <c r="O87" s="1178"/>
      <c r="P87" s="1176"/>
      <c r="Q87" s="1164"/>
    </row>
    <row r="88" spans="1:17">
      <c r="A88" s="1117" t="s">
        <v>952</v>
      </c>
      <c r="B88" s="1118" t="s">
        <v>1444</v>
      </c>
      <c r="C88" s="1051"/>
      <c r="D88" s="1051"/>
      <c r="E88" s="1051"/>
      <c r="F88" s="1051"/>
      <c r="G88" s="1051"/>
      <c r="H88" s="1051"/>
      <c r="I88" s="1051"/>
      <c r="J88" s="1051"/>
      <c r="K88" s="1172"/>
      <c r="L88" s="1173"/>
      <c r="M88" s="1174"/>
      <c r="N88" s="1175"/>
      <c r="O88" s="1175"/>
      <c r="P88" s="1176"/>
      <c r="Q88" s="1164"/>
    </row>
    <row r="89" spans="1:17" ht="15">
      <c r="A89" s="1119"/>
      <c r="B89" s="1124"/>
      <c r="C89" s="1125">
        <v>100</v>
      </c>
      <c r="D89" s="1125">
        <f t="shared" ref="D89:M89" si="19">C89-$K29</f>
        <v>100</v>
      </c>
      <c r="E89" s="1125">
        <f t="shared" si="19"/>
        <v>100</v>
      </c>
      <c r="F89" s="1125">
        <f t="shared" si="19"/>
        <v>100</v>
      </c>
      <c r="G89" s="1125">
        <f t="shared" si="19"/>
        <v>100</v>
      </c>
      <c r="H89" s="1125">
        <f t="shared" si="19"/>
        <v>100</v>
      </c>
      <c r="I89" s="1125">
        <f t="shared" si="19"/>
        <v>100</v>
      </c>
      <c r="J89" s="1125">
        <f t="shared" si="19"/>
        <v>100</v>
      </c>
      <c r="K89" s="1125">
        <f t="shared" si="19"/>
        <v>100</v>
      </c>
      <c r="L89" s="1125">
        <f t="shared" si="19"/>
        <v>100</v>
      </c>
      <c r="M89" s="1182">
        <f t="shared" si="19"/>
        <v>100</v>
      </c>
      <c r="N89" s="1178"/>
      <c r="O89" s="1178"/>
      <c r="P89" s="1176"/>
      <c r="Q89" s="1164"/>
    </row>
    <row r="90" spans="1:17" ht="15">
      <c r="A90" s="1119"/>
      <c r="B90" s="1122" t="s">
        <v>1445</v>
      </c>
      <c r="C90" s="1141" t="str">
        <f>C91&amp;"(含)"&amp;"-"&amp;D91</f>
        <v>(含)-</v>
      </c>
      <c r="D90" s="1141" t="str">
        <f t="shared" ref="D90:L90" si="20">D91&amp;"(含)"&amp;"-"&amp;E91</f>
        <v>(含)-</v>
      </c>
      <c r="E90" s="1141" t="str">
        <f t="shared" si="20"/>
        <v>(含)-</v>
      </c>
      <c r="F90" s="1141" t="str">
        <f t="shared" si="20"/>
        <v>(含)-</v>
      </c>
      <c r="G90" s="1141" t="str">
        <f t="shared" si="20"/>
        <v>(含)-</v>
      </c>
      <c r="H90" s="1141" t="str">
        <f t="shared" si="20"/>
        <v>(含)-</v>
      </c>
      <c r="I90" s="1141" t="str">
        <f t="shared" si="20"/>
        <v>(含)-</v>
      </c>
      <c r="J90" s="1141" t="str">
        <f t="shared" si="20"/>
        <v>(含)-</v>
      </c>
      <c r="K90" s="1141" t="str">
        <f t="shared" si="20"/>
        <v>(含)-</v>
      </c>
      <c r="L90" s="1141" t="str">
        <f t="shared" si="20"/>
        <v>(含)-</v>
      </c>
      <c r="M90" s="1201" t="str">
        <f>M91&amp;"(含)"&amp;"-"&amp;P91</f>
        <v>(含)-</v>
      </c>
      <c r="N90" s="1169"/>
      <c r="O90" s="1169"/>
      <c r="P90" s="1176"/>
      <c r="Q90" s="1164"/>
    </row>
    <row r="91" spans="1:17" s="876" customFormat="1">
      <c r="A91" s="1150"/>
      <c r="B91" s="1151"/>
      <c r="C91" s="1106"/>
      <c r="D91" s="1106"/>
      <c r="E91" s="1106"/>
      <c r="F91" s="1106"/>
      <c r="G91" s="1106"/>
      <c r="H91" s="1106"/>
      <c r="I91" s="1106"/>
      <c r="J91" s="1213"/>
      <c r="K91" s="1213"/>
      <c r="L91" s="1214"/>
      <c r="M91" s="1215"/>
      <c r="N91" s="1188"/>
      <c r="O91" s="1188"/>
      <c r="P91" s="1189"/>
      <c r="Q91" s="1217"/>
    </row>
    <row r="92" spans="1:17" s="876" customFormat="1" ht="15">
      <c r="A92" s="1129"/>
      <c r="B92" s="1124"/>
      <c r="C92" s="1132"/>
      <c r="D92" s="1121"/>
      <c r="E92" s="1121"/>
      <c r="F92" s="1121"/>
      <c r="G92" s="1121"/>
      <c r="H92" s="1121"/>
      <c r="I92" s="1121"/>
      <c r="J92" s="1121"/>
      <c r="K92" s="1121"/>
      <c r="L92" s="1121"/>
      <c r="M92" s="1177"/>
      <c r="N92" s="1178"/>
      <c r="O92" s="1178"/>
      <c r="P92" s="1189"/>
      <c r="Q92" s="1217"/>
    </row>
    <row r="93" spans="1:17">
      <c r="A93" s="1153"/>
      <c r="B93" s="1122" t="s">
        <v>1446</v>
      </c>
      <c r="C93" s="1130"/>
      <c r="D93" s="1130"/>
      <c r="E93" s="1147"/>
      <c r="F93" s="1147"/>
      <c r="G93" s="1147"/>
      <c r="H93" s="1147"/>
      <c r="I93" s="1147"/>
      <c r="J93" s="1147"/>
      <c r="K93" s="1206"/>
      <c r="L93" s="1207"/>
      <c r="M93" s="1208"/>
      <c r="N93" s="1175"/>
      <c r="O93" s="1175"/>
      <c r="P93" s="1176"/>
      <c r="Q93" s="1164"/>
    </row>
    <row r="94" spans="1:17" ht="15">
      <c r="A94" s="1119"/>
      <c r="B94" s="1124"/>
      <c r="C94" s="1125">
        <v>100</v>
      </c>
      <c r="D94" s="1125">
        <f t="shared" ref="D94:M94" si="21">C94-$K31</f>
        <v>100</v>
      </c>
      <c r="E94" s="1125">
        <f t="shared" si="21"/>
        <v>100</v>
      </c>
      <c r="F94" s="1125">
        <f t="shared" si="21"/>
        <v>100</v>
      </c>
      <c r="G94" s="1125">
        <f t="shared" si="21"/>
        <v>100</v>
      </c>
      <c r="H94" s="1125">
        <f t="shared" si="21"/>
        <v>100</v>
      </c>
      <c r="I94" s="1125">
        <f t="shared" si="21"/>
        <v>100</v>
      </c>
      <c r="J94" s="1125">
        <f t="shared" si="21"/>
        <v>100</v>
      </c>
      <c r="K94" s="1125">
        <f t="shared" si="21"/>
        <v>100</v>
      </c>
      <c r="L94" s="1125">
        <f t="shared" si="21"/>
        <v>100</v>
      </c>
      <c r="M94" s="1182">
        <f t="shared" si="21"/>
        <v>100</v>
      </c>
      <c r="N94" s="1178"/>
      <c r="O94" s="1178"/>
      <c r="P94" s="1176"/>
      <c r="Q94" s="1164"/>
    </row>
    <row r="95" spans="1:17">
      <c r="A95" s="1153"/>
      <c r="B95" s="1122" t="s">
        <v>1448</v>
      </c>
      <c r="C95" s="1130"/>
      <c r="D95" s="1130"/>
      <c r="E95" s="1130"/>
      <c r="F95" s="1147"/>
      <c r="G95" s="1147"/>
      <c r="H95" s="1147"/>
      <c r="I95" s="1147"/>
      <c r="J95" s="1147"/>
      <c r="K95" s="1206"/>
      <c r="L95" s="1207"/>
      <c r="M95" s="1208"/>
      <c r="N95" s="1175"/>
      <c r="O95" s="1175"/>
      <c r="P95" s="1176"/>
      <c r="Q95" s="1164"/>
    </row>
    <row r="96" spans="1:17" ht="15">
      <c r="A96" s="1119"/>
      <c r="B96" s="1124"/>
      <c r="C96" s="1125">
        <v>100</v>
      </c>
      <c r="D96" s="1125">
        <f t="shared" ref="D96:M96" si="22">C96-$K32</f>
        <v>100</v>
      </c>
      <c r="E96" s="1125">
        <f t="shared" si="22"/>
        <v>100</v>
      </c>
      <c r="F96" s="1125">
        <f t="shared" si="22"/>
        <v>100</v>
      </c>
      <c r="G96" s="1125">
        <f t="shared" si="22"/>
        <v>100</v>
      </c>
      <c r="H96" s="1125">
        <f t="shared" si="22"/>
        <v>100</v>
      </c>
      <c r="I96" s="1125">
        <f t="shared" si="22"/>
        <v>100</v>
      </c>
      <c r="J96" s="1125">
        <f t="shared" si="22"/>
        <v>100</v>
      </c>
      <c r="K96" s="1125">
        <f t="shared" si="22"/>
        <v>100</v>
      </c>
      <c r="L96" s="1125">
        <f t="shared" si="22"/>
        <v>100</v>
      </c>
      <c r="M96" s="1182">
        <f t="shared" si="22"/>
        <v>100</v>
      </c>
      <c r="N96" s="1178"/>
      <c r="O96" s="1178"/>
      <c r="P96" s="1176"/>
      <c r="Q96" s="1164"/>
    </row>
    <row r="97" spans="1:17">
      <c r="A97" s="1153"/>
      <c r="B97" s="1122" t="s">
        <v>570</v>
      </c>
      <c r="C97" s="1141" t="str">
        <f>C98&amp;"(含)"&amp;"-"&amp;D98</f>
        <v>0.5(含)-0.6</v>
      </c>
      <c r="D97" s="1141" t="str">
        <f>D98&amp;"(含)"&amp;"-"&amp;E98</f>
        <v>0.6(含)-0.7</v>
      </c>
      <c r="E97" s="1141" t="str">
        <f>E98&amp;"(含)"&amp;"-"&amp;F98</f>
        <v>0.7(含)-0.8</v>
      </c>
      <c r="F97" s="1141" t="str">
        <f>F98&amp;"(含)"&amp;"-"&amp;G98</f>
        <v>0.8(含)-0.9</v>
      </c>
      <c r="G97" s="1141" t="str">
        <f>G98&amp;"(含)"&amp;"-"&amp;ROUND(H98,0)&amp;"(含)"</f>
        <v>0.9(含)-1(含)</v>
      </c>
      <c r="H97" s="1141"/>
      <c r="I97" s="1147"/>
      <c r="J97" s="1147"/>
      <c r="K97" s="1206"/>
      <c r="L97" s="1207"/>
      <c r="M97" s="1208"/>
      <c r="N97" s="1175"/>
      <c r="O97" s="1175"/>
      <c r="P97" s="1176"/>
      <c r="Q97" s="1164"/>
    </row>
    <row r="98" spans="1:17">
      <c r="A98" s="1153"/>
      <c r="B98" s="1126"/>
      <c r="C98" s="809">
        <v>0.5</v>
      </c>
      <c r="D98" s="809">
        <v>0.6</v>
      </c>
      <c r="E98" s="809">
        <v>0.7</v>
      </c>
      <c r="F98" s="809">
        <v>0.8</v>
      </c>
      <c r="G98" s="809">
        <v>0.9</v>
      </c>
      <c r="H98" s="809">
        <v>1.0001</v>
      </c>
      <c r="I98" s="1368"/>
      <c r="J98" s="1368"/>
      <c r="K98" s="1369"/>
      <c r="L98" s="1370"/>
      <c r="M98" s="1371"/>
      <c r="N98" s="1175"/>
      <c r="O98" s="1175"/>
      <c r="P98" s="1176"/>
      <c r="Q98" s="1164"/>
    </row>
    <row r="99" spans="1:17" ht="15">
      <c r="A99" s="1119"/>
      <c r="B99" s="1124"/>
      <c r="C99" s="1143">
        <v>100</v>
      </c>
      <c r="D99" s="1125">
        <f>C99+$K33</f>
        <v>100</v>
      </c>
      <c r="E99" s="1125">
        <f t="shared" ref="E99:M99" si="23">D99+$K33</f>
        <v>100</v>
      </c>
      <c r="F99" s="1125">
        <f t="shared" si="23"/>
        <v>100</v>
      </c>
      <c r="G99" s="1125">
        <f t="shared" si="23"/>
        <v>100</v>
      </c>
      <c r="H99" s="1125">
        <f t="shared" si="23"/>
        <v>100</v>
      </c>
      <c r="I99" s="1125">
        <f t="shared" si="23"/>
        <v>100</v>
      </c>
      <c r="J99" s="1125">
        <f t="shared" si="23"/>
        <v>100</v>
      </c>
      <c r="K99" s="1125">
        <f t="shared" si="23"/>
        <v>100</v>
      </c>
      <c r="L99" s="1125">
        <f t="shared" si="23"/>
        <v>100</v>
      </c>
      <c r="M99" s="1125">
        <f t="shared" si="23"/>
        <v>100</v>
      </c>
      <c r="N99" s="1178"/>
      <c r="O99" s="1178"/>
      <c r="P99" s="1176"/>
      <c r="Q99" s="1164"/>
    </row>
    <row r="100" spans="1:17" s="876" customFormat="1">
      <c r="A100" s="1150"/>
      <c r="B100" s="1122" t="s">
        <v>1449</v>
      </c>
      <c r="C100" s="1130"/>
      <c r="D100" s="1130"/>
      <c r="E100" s="1130"/>
      <c r="F100" s="1130"/>
      <c r="G100" s="1130"/>
      <c r="H100" s="1147"/>
      <c r="I100" s="1147"/>
      <c r="J100" s="1147"/>
      <c r="K100" s="1206"/>
      <c r="L100" s="1207"/>
      <c r="M100" s="1208"/>
      <c r="N100" s="1188"/>
      <c r="O100" s="1188"/>
      <c r="P100" s="1189"/>
      <c r="Q100" s="1217"/>
    </row>
    <row r="101" spans="1:17" s="876" customFormat="1" ht="15">
      <c r="A101" s="1129"/>
      <c r="B101" s="1124"/>
      <c r="C101" s="1125">
        <v>100</v>
      </c>
      <c r="D101" s="1125">
        <f>C101-$K34</f>
        <v>100</v>
      </c>
      <c r="E101" s="1125">
        <f t="shared" ref="E101:M101" si="24">D101-$K34</f>
        <v>100</v>
      </c>
      <c r="F101" s="1125">
        <f t="shared" si="24"/>
        <v>100</v>
      </c>
      <c r="G101" s="1125">
        <f t="shared" si="24"/>
        <v>100</v>
      </c>
      <c r="H101" s="1125">
        <f t="shared" si="24"/>
        <v>100</v>
      </c>
      <c r="I101" s="1125">
        <f t="shared" si="24"/>
        <v>100</v>
      </c>
      <c r="J101" s="1125">
        <f t="shared" si="24"/>
        <v>100</v>
      </c>
      <c r="K101" s="1125">
        <f t="shared" si="24"/>
        <v>100</v>
      </c>
      <c r="L101" s="1125">
        <f t="shared" si="24"/>
        <v>100</v>
      </c>
      <c r="M101" s="1125">
        <f t="shared" si="24"/>
        <v>100</v>
      </c>
      <c r="N101" s="1188"/>
      <c r="O101" s="1188"/>
      <c r="P101" s="1189"/>
      <c r="Q101" s="1217"/>
    </row>
    <row r="102" spans="1:17">
      <c r="A102" s="1153"/>
      <c r="B102" s="1122" t="s">
        <v>1450</v>
      </c>
      <c r="C102" s="1130"/>
      <c r="D102" s="1130"/>
      <c r="E102" s="1130"/>
      <c r="F102" s="1130"/>
      <c r="G102" s="1130"/>
      <c r="H102" s="1147"/>
      <c r="I102" s="1147"/>
      <c r="J102" s="1147"/>
      <c r="K102" s="1206"/>
      <c r="L102" s="1207"/>
      <c r="M102" s="1208"/>
      <c r="N102" s="1175"/>
      <c r="O102" s="1175"/>
      <c r="P102" s="1176"/>
      <c r="Q102" s="1164"/>
    </row>
    <row r="103" spans="1:17" ht="15">
      <c r="A103" s="1119"/>
      <c r="B103" s="1124"/>
      <c r="C103" s="1125">
        <v>100</v>
      </c>
      <c r="D103" s="1125">
        <f t="shared" ref="D103:M103" si="25">C103-$K35</f>
        <v>100</v>
      </c>
      <c r="E103" s="1125">
        <f t="shared" si="25"/>
        <v>100</v>
      </c>
      <c r="F103" s="1125">
        <f t="shared" si="25"/>
        <v>100</v>
      </c>
      <c r="G103" s="1125">
        <f t="shared" si="25"/>
        <v>100</v>
      </c>
      <c r="H103" s="1125">
        <f t="shared" si="25"/>
        <v>100</v>
      </c>
      <c r="I103" s="1125">
        <f t="shared" si="25"/>
        <v>100</v>
      </c>
      <c r="J103" s="1125">
        <f t="shared" si="25"/>
        <v>100</v>
      </c>
      <c r="K103" s="1125">
        <f t="shared" si="25"/>
        <v>100</v>
      </c>
      <c r="L103" s="1125">
        <f t="shared" si="25"/>
        <v>100</v>
      </c>
      <c r="M103" s="1182">
        <f t="shared" si="25"/>
        <v>100</v>
      </c>
      <c r="N103" s="1178"/>
      <c r="O103" s="1178"/>
      <c r="P103" s="1176"/>
      <c r="Q103" s="1164"/>
    </row>
    <row r="104" spans="1:17">
      <c r="A104" s="1153"/>
      <c r="B104" s="1122" t="s">
        <v>1453</v>
      </c>
      <c r="C104" s="1130"/>
      <c r="D104" s="1130"/>
      <c r="E104" s="1130"/>
      <c r="F104" s="1130"/>
      <c r="G104" s="1130"/>
      <c r="H104" s="1147"/>
      <c r="I104" s="1147"/>
      <c r="J104" s="1147"/>
      <c r="K104" s="1206"/>
      <c r="L104" s="1207"/>
      <c r="M104" s="1208"/>
      <c r="N104" s="1175"/>
      <c r="O104" s="1175"/>
      <c r="P104" s="1176"/>
      <c r="Q104" s="1164"/>
    </row>
    <row r="105" spans="1:17" ht="15">
      <c r="A105" s="1119"/>
      <c r="B105" s="1124"/>
      <c r="C105" s="1125">
        <v>100</v>
      </c>
      <c r="D105" s="1125">
        <f>C105-$K36</f>
        <v>100</v>
      </c>
      <c r="E105" s="1125">
        <f>D105-$K36</f>
        <v>100</v>
      </c>
      <c r="F105" s="1125">
        <f>E105-$K36</f>
        <v>100</v>
      </c>
      <c r="G105" s="1125">
        <f>F105-$K36</f>
        <v>100</v>
      </c>
      <c r="H105" s="1125"/>
      <c r="I105" s="1125"/>
      <c r="J105" s="1125"/>
      <c r="K105" s="1125"/>
      <c r="L105" s="1125"/>
      <c r="M105" s="1182"/>
      <c r="N105" s="1178"/>
      <c r="O105" s="1178"/>
      <c r="P105" s="1176"/>
      <c r="Q105" s="1164"/>
    </row>
    <row r="106" spans="1:17">
      <c r="A106" s="1153"/>
      <c r="B106" s="1292" t="s">
        <v>1499</v>
      </c>
      <c r="C106" s="1141" t="s">
        <v>994</v>
      </c>
      <c r="D106" s="1141" t="s">
        <v>995</v>
      </c>
      <c r="E106" s="1141" t="s">
        <v>996</v>
      </c>
      <c r="F106" s="1141" t="s">
        <v>997</v>
      </c>
      <c r="G106" s="1141" t="s">
        <v>998</v>
      </c>
      <c r="H106" s="1123"/>
      <c r="I106" s="1123"/>
      <c r="J106" s="1123"/>
      <c r="K106" s="1179"/>
      <c r="L106" s="1180"/>
      <c r="M106" s="1181"/>
      <c r="N106" s="1178"/>
      <c r="O106" s="1178"/>
      <c r="P106" s="1300"/>
      <c r="Q106" s="1303"/>
    </row>
    <row r="107" spans="1:17" ht="15">
      <c r="A107" s="1119"/>
      <c r="B107" s="1124"/>
      <c r="C107" s="1143">
        <v>100</v>
      </c>
      <c r="D107" s="1125">
        <f t="shared" ref="D107:M107" si="26">C107-$K37</f>
        <v>100</v>
      </c>
      <c r="E107" s="1125">
        <f t="shared" si="26"/>
        <v>100</v>
      </c>
      <c r="F107" s="1125">
        <f t="shared" si="26"/>
        <v>100</v>
      </c>
      <c r="G107" s="1125">
        <f t="shared" si="26"/>
        <v>100</v>
      </c>
      <c r="H107" s="1125">
        <f t="shared" si="26"/>
        <v>100</v>
      </c>
      <c r="I107" s="1125">
        <f t="shared" si="26"/>
        <v>100</v>
      </c>
      <c r="J107" s="1125">
        <f t="shared" si="26"/>
        <v>100</v>
      </c>
      <c r="K107" s="1125">
        <f t="shared" si="26"/>
        <v>100</v>
      </c>
      <c r="L107" s="1125">
        <f t="shared" si="26"/>
        <v>100</v>
      </c>
      <c r="M107" s="1125">
        <f t="shared" si="26"/>
        <v>100</v>
      </c>
      <c r="N107" s="1178"/>
      <c r="O107" s="1178"/>
      <c r="P107" s="1176"/>
      <c r="Q107" s="1164"/>
    </row>
    <row r="108" spans="1:17" s="876" customFormat="1">
      <c r="A108" s="1150"/>
      <c r="B108" s="1122">
        <f>B38</f>
        <v>111</v>
      </c>
      <c r="C108" s="1130"/>
      <c r="D108" s="1130"/>
      <c r="E108" s="1130"/>
      <c r="F108" s="1130"/>
      <c r="G108" s="1130"/>
      <c r="H108" s="1131"/>
      <c r="I108" s="1131"/>
      <c r="J108" s="1131"/>
      <c r="K108" s="1131"/>
      <c r="L108" s="1186"/>
      <c r="M108" s="1187"/>
      <c r="N108" s="1188"/>
      <c r="O108" s="1188"/>
      <c r="P108" s="1189"/>
      <c r="Q108" s="1217"/>
    </row>
    <row r="109" spans="1:17" s="876" customFormat="1" ht="15">
      <c r="A109" s="1129"/>
      <c r="B109" s="1120"/>
      <c r="C109" s="1132"/>
      <c r="D109" s="1121"/>
      <c r="E109" s="1121"/>
      <c r="F109" s="1121"/>
      <c r="G109" s="1132"/>
      <c r="H109" s="1133"/>
      <c r="I109" s="1133"/>
      <c r="J109" s="1133"/>
      <c r="K109" s="1133"/>
      <c r="L109" s="1133"/>
      <c r="M109" s="1191"/>
      <c r="N109" s="1188"/>
      <c r="O109" s="1188"/>
      <c r="P109" s="1189"/>
      <c r="Q109" s="1217"/>
    </row>
    <row r="110" spans="1:17">
      <c r="A110" s="1153"/>
      <c r="B110" s="1122">
        <f>B39</f>
        <v>111</v>
      </c>
      <c r="C110" s="1130"/>
      <c r="D110" s="1130"/>
      <c r="E110" s="1130"/>
      <c r="F110" s="1130"/>
      <c r="G110" s="1130"/>
      <c r="H110" s="1131"/>
      <c r="I110" s="1131"/>
      <c r="J110" s="1131"/>
      <c r="K110" s="1131"/>
      <c r="L110" s="1186"/>
      <c r="M110" s="1187"/>
      <c r="N110" s="1175"/>
      <c r="O110" s="1175"/>
      <c r="P110" s="1176"/>
      <c r="Q110" s="1164"/>
    </row>
    <row r="111" spans="1:17" ht="15">
      <c r="A111" s="1119"/>
      <c r="B111" s="1124"/>
      <c r="C111" s="1132"/>
      <c r="D111" s="1121"/>
      <c r="E111" s="1121"/>
      <c r="F111" s="1121"/>
      <c r="G111" s="1132"/>
      <c r="H111" s="1133"/>
      <c r="I111" s="1133"/>
      <c r="J111" s="1133"/>
      <c r="K111" s="1133"/>
      <c r="L111" s="1133"/>
      <c r="M111" s="1191"/>
      <c r="N111" s="1178"/>
      <c r="O111" s="1178"/>
      <c r="P111" s="1176"/>
      <c r="Q111" s="1164"/>
    </row>
    <row r="112" spans="1:17">
      <c r="A112" s="1153"/>
      <c r="B112" s="1126">
        <f>B40</f>
        <v>111</v>
      </c>
      <c r="C112" s="1114"/>
      <c r="D112" s="1114"/>
      <c r="E112" s="1114"/>
      <c r="F112" s="1114"/>
      <c r="G112" s="1148"/>
      <c r="H112" s="1148"/>
      <c r="I112" s="1148"/>
      <c r="J112" s="1148"/>
      <c r="K112" s="1114"/>
      <c r="L112" s="1167"/>
      <c r="M112" s="1211"/>
      <c r="N112" s="1175"/>
      <c r="O112" s="1175"/>
      <c r="P112" s="1176"/>
      <c r="Q112" s="1164"/>
    </row>
    <row r="113" spans="1:17" ht="15">
      <c r="A113" s="1378"/>
      <c r="B113" s="1136"/>
      <c r="C113" s="1137"/>
      <c r="D113" s="1137"/>
      <c r="E113" s="1137"/>
      <c r="F113" s="1137"/>
      <c r="G113" s="1149"/>
      <c r="H113" s="1149"/>
      <c r="I113" s="1149"/>
      <c r="J113" s="1149"/>
      <c r="K113" s="1149"/>
      <c r="L113" s="1149"/>
      <c r="M113" s="1212"/>
      <c r="N113" s="1178"/>
      <c r="O113" s="1178"/>
      <c r="P113" s="1176"/>
      <c r="Q113" s="116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30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1500</v>
      </c>
      <c r="B1" s="1222"/>
      <c r="C1" s="1223" t="s">
        <v>1436</v>
      </c>
      <c r="D1" s="1224"/>
      <c r="E1" s="1305"/>
      <c r="F1" s="1226"/>
      <c r="G1" s="1306" t="s">
        <v>924</v>
      </c>
      <c r="H1" s="1305"/>
      <c r="I1" s="1305"/>
      <c r="J1" s="1305"/>
      <c r="K1" s="1340"/>
      <c r="L1" s="1341"/>
      <c r="M1" s="1342"/>
      <c r="N1" s="1342"/>
      <c r="O1" s="1342"/>
      <c r="P1" s="1343"/>
      <c r="Q1" s="1223"/>
      <c r="R1" s="1223"/>
      <c r="S1" s="1223"/>
      <c r="T1" s="1223"/>
      <c r="U1" s="1223"/>
      <c r="V1" s="1223"/>
      <c r="W1" s="1223"/>
      <c r="X1" s="1223"/>
      <c r="Y1" s="1223"/>
      <c r="Z1" s="1223"/>
      <c r="AA1" s="1223"/>
      <c r="AB1" s="1223"/>
      <c r="AC1" s="1291"/>
    </row>
    <row r="2" spans="1:29" s="873" customFormat="1" ht="28.5" customHeight="1">
      <c r="A2" s="1228" t="s">
        <v>925</v>
      </c>
      <c r="B2" s="1229" t="e">
        <f ca="1">IF(C2="——",IF(B37="元/平方米",ROUND(C39*D3/10000,0),ROUND(F3*C39/10000,0)),IF(B37="元/平方米",ROUND(C39*D3/10000,0),ROUND(F3*C39/10000,0))-D2)</f>
        <v>#DIV/0!</v>
      </c>
      <c r="C2" s="1230"/>
      <c r="D2" s="889" t="e">
        <f ca="1">SUMIF(INDIRECT("'"&amp;F2&amp;"'"&amp;"!A:A"),"承租人权益价值",INDIRECT("'"&amp;F2&amp;"'"&amp;"!c:c"))</f>
        <v>#REF!</v>
      </c>
      <c r="E2" s="1231" t="s">
        <v>1011</v>
      </c>
      <c r="F2" s="1232"/>
      <c r="G2" s="890"/>
      <c r="H2" s="890"/>
      <c r="I2" s="890"/>
      <c r="J2" s="890"/>
      <c r="K2" s="1025"/>
      <c r="L2" s="1026"/>
      <c r="M2" s="1027"/>
      <c r="N2" s="1027"/>
      <c r="O2" s="1027"/>
      <c r="P2" s="1344"/>
      <c r="Q2" s="1024"/>
      <c r="R2" s="1024"/>
      <c r="S2" s="1024"/>
      <c r="T2" s="1024"/>
      <c r="U2" s="1024"/>
      <c r="V2" s="1024"/>
      <c r="W2" s="1024"/>
      <c r="X2" s="1024"/>
      <c r="Y2" s="1024"/>
      <c r="Z2" s="1024"/>
      <c r="AA2" s="1024"/>
      <c r="AB2" s="1024"/>
      <c r="AC2" s="1082"/>
    </row>
    <row r="3" spans="1:29" s="873" customFormat="1" ht="28.5" customHeight="1">
      <c r="A3" s="147" t="s">
        <v>926</v>
      </c>
      <c r="B3" s="892" t="e">
        <f ca="1">IF(AND(C2="——",B37="元/平方米"),C39,ROUND(B2*10000/D3,0))</f>
        <v>#DIV/0!</v>
      </c>
      <c r="C3" s="1233" t="s">
        <v>927</v>
      </c>
      <c r="D3" s="1234">
        <f>SUMIF('数据-汇总表'!$C19:$C33,D1,'数据-汇总表'!$E19:$E33)</f>
        <v>0</v>
      </c>
      <c r="E3" s="1233" t="s">
        <v>1501</v>
      </c>
      <c r="F3" s="1234">
        <f>SUMIF('数据-取费表'!A5:A15,D1,'数据-取费表'!AH5:AH15)</f>
        <v>0</v>
      </c>
      <c r="G3" s="890"/>
      <c r="H3" s="890"/>
      <c r="I3" s="890"/>
      <c r="J3" s="890"/>
      <c r="K3" s="1025"/>
      <c r="L3" s="1026"/>
      <c r="M3" s="1027"/>
      <c r="N3" s="1027"/>
      <c r="O3" s="1027"/>
      <c r="P3" s="1344"/>
      <c r="Q3" s="1024"/>
      <c r="R3" s="1024"/>
      <c r="S3" s="1024"/>
      <c r="T3" s="1024"/>
      <c r="U3" s="1024"/>
      <c r="V3" s="1024"/>
      <c r="W3" s="1024"/>
      <c r="X3" s="1024"/>
      <c r="Y3" s="1024"/>
      <c r="Z3" s="1024"/>
      <c r="AA3" s="1024"/>
      <c r="AB3" s="1084"/>
      <c r="AC3" s="1085"/>
    </row>
    <row r="4" spans="1:29"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6" t="s">
        <v>931</v>
      </c>
      <c r="AC4" s="3195" t="s">
        <v>932</v>
      </c>
    </row>
    <row r="5" spans="1:29" ht="15">
      <c r="A5" s="896"/>
      <c r="B5" s="897"/>
      <c r="C5" s="3171" t="s">
        <v>935</v>
      </c>
      <c r="D5" s="3172"/>
      <c r="E5" s="3173" t="s">
        <v>1438</v>
      </c>
      <c r="F5" s="3174"/>
      <c r="G5" s="3171" t="s">
        <v>1439</v>
      </c>
      <c r="H5" s="3172"/>
      <c r="I5" s="3171" t="s">
        <v>1440</v>
      </c>
      <c r="J5" s="3172"/>
      <c r="K5" s="1028"/>
      <c r="L5" s="1029"/>
      <c r="M5" s="1030"/>
      <c r="N5" s="1030"/>
      <c r="O5" s="1030"/>
      <c r="P5" s="3200"/>
      <c r="Q5" s="3201"/>
      <c r="R5" s="3206"/>
      <c r="S5" s="3207"/>
      <c r="T5" s="3206"/>
      <c r="U5" s="3207"/>
      <c r="V5" s="3183"/>
      <c r="W5" s="3183"/>
      <c r="X5" s="1070"/>
      <c r="Y5" s="3206"/>
      <c r="Z5" s="3207"/>
      <c r="AA5" s="3196"/>
      <c r="AB5" s="3196"/>
      <c r="AC5" s="3196"/>
    </row>
    <row r="6" spans="1:29" ht="15">
      <c r="A6" s="898"/>
      <c r="B6" s="899"/>
      <c r="C6" s="3240" t="s">
        <v>1441</v>
      </c>
      <c r="D6" s="3241"/>
      <c r="E6" s="3242" t="s">
        <v>1441</v>
      </c>
      <c r="F6" s="3243"/>
      <c r="G6" s="3240" t="s">
        <v>1441</v>
      </c>
      <c r="H6" s="3241"/>
      <c r="I6" s="3240" t="s">
        <v>1441</v>
      </c>
      <c r="J6" s="3241"/>
      <c r="K6" s="1028" t="s">
        <v>937</v>
      </c>
      <c r="L6" s="1029"/>
      <c r="M6" s="1030"/>
      <c r="N6" s="1030"/>
      <c r="O6" s="1030"/>
      <c r="P6" s="3202"/>
      <c r="Q6" s="3203"/>
      <c r="R6" s="3206"/>
      <c r="S6" s="3207"/>
      <c r="T6" s="3208"/>
      <c r="U6" s="3209"/>
      <c r="V6" s="3183"/>
      <c r="W6" s="3183"/>
      <c r="X6" s="1070"/>
      <c r="Y6" s="3208"/>
      <c r="Z6" s="3209"/>
      <c r="AA6" s="3197"/>
      <c r="AB6" s="3197"/>
      <c r="AC6" s="3197"/>
    </row>
    <row r="7" spans="1:29" s="874" customFormat="1" ht="15">
      <c r="A7" s="900" t="s">
        <v>938</v>
      </c>
      <c r="B7" s="901"/>
      <c r="C7" s="902">
        <f>'数据-取费表'!B2</f>
        <v>44393</v>
      </c>
      <c r="D7" s="903">
        <v>100</v>
      </c>
      <c r="E7" s="904"/>
      <c r="F7" s="905">
        <f>SUMIF(48:48,YEAR(E7)&amp;"-"&amp;MONTH(E7),49:49)</f>
        <v>0</v>
      </c>
      <c r="G7" s="904"/>
      <c r="H7" s="903">
        <f>SUMIF(48:48,YEAR(G7)&amp;"-"&amp;MONTH(G7),49:49)</f>
        <v>0</v>
      </c>
      <c r="I7" s="904"/>
      <c r="J7" s="903">
        <f>SUMIF(48:48,YEAR(I7)&amp;"-"&amp;MONTH(I7),49:49)</f>
        <v>0</v>
      </c>
      <c r="K7" s="1031"/>
      <c r="L7" s="1032"/>
      <c r="M7" s="1033"/>
      <c r="N7" s="1033"/>
      <c r="O7" s="1033"/>
      <c r="P7" s="3179" t="s">
        <v>939</v>
      </c>
      <c r="Q7" s="3180"/>
      <c r="R7" s="1071" t="s">
        <v>940</v>
      </c>
      <c r="S7" s="1072">
        <f t="shared" ref="S7:S14" si="0">F7</f>
        <v>0</v>
      </c>
      <c r="T7" s="1071" t="s">
        <v>940</v>
      </c>
      <c r="U7" s="1072">
        <f t="shared" ref="U7:U14" si="1">H7</f>
        <v>0</v>
      </c>
      <c r="V7" s="1071" t="s">
        <v>940</v>
      </c>
      <c r="W7" s="1072">
        <f t="shared" ref="W7:W14" si="2">J7</f>
        <v>0</v>
      </c>
      <c r="X7" s="1073"/>
      <c r="Y7" s="3179" t="s">
        <v>939</v>
      </c>
      <c r="Z7" s="3181"/>
      <c r="AA7" s="1086" t="e">
        <f>D7/F7</f>
        <v>#DIV/0!</v>
      </c>
      <c r="AB7" s="1086" t="e">
        <f>D7/H7</f>
        <v>#DIV/0!</v>
      </c>
      <c r="AC7" s="1086" t="e">
        <f>D7/J7</f>
        <v>#DIV/0!</v>
      </c>
    </row>
    <row r="8" spans="1:29" s="874" customFormat="1" ht="15">
      <c r="A8" s="900" t="s">
        <v>941</v>
      </c>
      <c r="B8" s="901"/>
      <c r="C8" s="907" t="s">
        <v>942</v>
      </c>
      <c r="D8" s="903">
        <v>100</v>
      </c>
      <c r="E8" s="907"/>
      <c r="F8" s="905">
        <f>SUMIF(51:51,E8,52:52)-SUMIF(51:51,C8,52:52)+100</f>
        <v>0</v>
      </c>
      <c r="G8" s="907"/>
      <c r="H8" s="903">
        <f>SUMIF(51:51,G8,52:52)-SUMIF(51:51,C8,52:52)+100</f>
        <v>0</v>
      </c>
      <c r="I8" s="907"/>
      <c r="J8" s="903">
        <f>SUMIF(51:51,I8,52:52)-SUMIF(51:51,C8,52:52)+100</f>
        <v>0</v>
      </c>
      <c r="K8" s="1031"/>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36" si="3">D8/F8</f>
        <v>#DIV/0!</v>
      </c>
      <c r="AB8" s="1086" t="e">
        <f t="shared" ref="AB8:AB36" si="4">D8/H8</f>
        <v>#DIV/0!</v>
      </c>
      <c r="AC8" s="1086" t="e">
        <f t="shared" ref="AC8:AC36" si="5">D8/J8</f>
        <v>#DIV/0!</v>
      </c>
    </row>
    <row r="9" spans="1:29" s="874" customFormat="1">
      <c r="A9" s="1307" t="s">
        <v>944</v>
      </c>
      <c r="B9" s="1308" t="s">
        <v>349</v>
      </c>
      <c r="C9" s="1235"/>
      <c r="D9" s="911">
        <v>100</v>
      </c>
      <c r="E9" s="1236"/>
      <c r="F9" s="911">
        <f>SUMIF(53:53,E9,54:54)-SUMIF(53:53,C9,54:54)+100</f>
        <v>100</v>
      </c>
      <c r="G9" s="1309"/>
      <c r="H9" s="911">
        <f>SUMIF(53:53,G9,54:54)-SUMIF(53:53,C9,54:54)+100</f>
        <v>100</v>
      </c>
      <c r="I9" s="1309"/>
      <c r="J9" s="911">
        <f>SUMIF(53:53,I9,54:54)-SUMIF(53:53,C9,54:54)+100</f>
        <v>100</v>
      </c>
      <c r="K9" s="1031"/>
      <c r="L9" s="1032"/>
      <c r="M9" s="1033"/>
      <c r="N9" s="1033"/>
      <c r="O9" s="1033"/>
      <c r="P9" s="3182" t="s">
        <v>945</v>
      </c>
      <c r="Q9" s="1075" t="str">
        <f t="shared" ref="Q9:Q14" si="6">B9</f>
        <v>用途</v>
      </c>
      <c r="R9" s="1071" t="s">
        <v>940</v>
      </c>
      <c r="S9" s="1072">
        <f t="shared" si="0"/>
        <v>100</v>
      </c>
      <c r="T9" s="1071" t="s">
        <v>940</v>
      </c>
      <c r="U9" s="1072">
        <f t="shared" si="1"/>
        <v>100</v>
      </c>
      <c r="V9" s="1071" t="s">
        <v>940</v>
      </c>
      <c r="W9" s="1072">
        <f t="shared" si="2"/>
        <v>100</v>
      </c>
      <c r="X9" s="1073"/>
      <c r="Y9" s="3047" t="s">
        <v>946</v>
      </c>
      <c r="Z9" s="1087" t="str">
        <f t="shared" ref="Z9:Z14" si="7">Q9</f>
        <v>用途</v>
      </c>
      <c r="AA9" s="1086">
        <f t="shared" si="3"/>
        <v>1</v>
      </c>
      <c r="AB9" s="1086">
        <f t="shared" si="4"/>
        <v>1</v>
      </c>
      <c r="AC9" s="1086">
        <f t="shared" si="5"/>
        <v>1</v>
      </c>
    </row>
    <row r="10" spans="1:29" s="875" customFormat="1" ht="27">
      <c r="A10" s="1310"/>
      <c r="B10" s="1311" t="s">
        <v>947</v>
      </c>
      <c r="C10" s="1238"/>
      <c r="D10" s="915">
        <v>100</v>
      </c>
      <c r="E10" s="1238"/>
      <c r="F10" s="915">
        <f>SUMIF(55:55,E10,56:56)-SUMIF(55:55,C10,56:56)+100</f>
        <v>100</v>
      </c>
      <c r="G10" s="1312"/>
      <c r="H10" s="915">
        <f>SUMIF(55:55,G10,56:56)-SUMIF(55:55,C10,56:56)+100</f>
        <v>100</v>
      </c>
      <c r="I10" s="1238"/>
      <c r="J10" s="915">
        <f>SUMIF(55:55,I10,56:56)-SUMIF(55:55,C10,56:56)+100</f>
        <v>100</v>
      </c>
      <c r="K10" s="1048"/>
      <c r="L10" s="1036"/>
      <c r="M10" s="1037"/>
      <c r="N10" s="1037"/>
      <c r="O10" s="1037"/>
      <c r="P10" s="3182"/>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086">
        <f t="shared" si="5"/>
        <v>1</v>
      </c>
    </row>
    <row r="11" spans="1:29" ht="15">
      <c r="A11" s="1313"/>
      <c r="B11" s="1314">
        <v>111</v>
      </c>
      <c r="C11" s="914"/>
      <c r="D11" s="915">
        <v>100</v>
      </c>
      <c r="E11" s="914"/>
      <c r="F11" s="915">
        <f>SUMIF(57:57,E11,58:58)-SUMIF(57:57,C11,58:58)+100</f>
        <v>100</v>
      </c>
      <c r="G11" s="914"/>
      <c r="H11" s="915">
        <f>SUMIF(57:57,G11,58:58)-SUMIF(57:57,C11,58:58)+100</f>
        <v>100</v>
      </c>
      <c r="I11" s="914"/>
      <c r="J11" s="915">
        <f>SUMIF(57:57,I11,58:58)-SUMIF(57:57,C11,58:58)+100</f>
        <v>100</v>
      </c>
      <c r="K11" s="1047"/>
      <c r="L11" s="1040"/>
      <c r="M11" s="1030"/>
      <c r="N11" s="1030"/>
      <c r="O11" s="1030"/>
      <c r="P11" s="3182"/>
      <c r="Q11" s="1075">
        <f t="shared" si="6"/>
        <v>111</v>
      </c>
      <c r="R11" s="1071" t="s">
        <v>940</v>
      </c>
      <c r="S11" s="1072">
        <f t="shared" si="0"/>
        <v>100</v>
      </c>
      <c r="T11" s="1071" t="s">
        <v>940</v>
      </c>
      <c r="U11" s="1072">
        <f t="shared" si="1"/>
        <v>100</v>
      </c>
      <c r="V11" s="1071" t="s">
        <v>940</v>
      </c>
      <c r="W11" s="1072">
        <f t="shared" si="2"/>
        <v>100</v>
      </c>
      <c r="X11" s="1073"/>
      <c r="Y11" s="3047"/>
      <c r="Z11" s="1087">
        <f t="shared" si="7"/>
        <v>111</v>
      </c>
      <c r="AA11" s="1086">
        <f t="shared" si="3"/>
        <v>1</v>
      </c>
      <c r="AB11" s="1086">
        <f t="shared" si="4"/>
        <v>1</v>
      </c>
      <c r="AC11" s="1086">
        <f t="shared" si="5"/>
        <v>1</v>
      </c>
    </row>
    <row r="12" spans="1:29" s="874" customFormat="1" ht="15">
      <c r="A12" s="1315"/>
      <c r="B12" s="1314">
        <v>111</v>
      </c>
      <c r="C12" s="914"/>
      <c r="D12" s="923">
        <v>100</v>
      </c>
      <c r="E12" s="914"/>
      <c r="F12" s="915">
        <f>SUMIF(59:59,E12,60:60)-SUMIF(59:59,C12,60:60)+100</f>
        <v>100</v>
      </c>
      <c r="G12" s="914"/>
      <c r="H12" s="915">
        <f>SUMIF(59:59,G12,60:60)-SUMIF(59:59,C12,60:60)+100</f>
        <v>100</v>
      </c>
      <c r="I12" s="914"/>
      <c r="J12" s="915">
        <f>SUMIF(59:59,I12,60:60)-SUMIF(59:59,C12,60:60)+100</f>
        <v>100</v>
      </c>
      <c r="K12" s="1047"/>
      <c r="L12" s="1032"/>
      <c r="M12" s="1033"/>
      <c r="N12" s="1033"/>
      <c r="O12" s="1033"/>
      <c r="P12" s="3182"/>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c r="A13" s="1316"/>
      <c r="B13" s="1314">
        <v>111</v>
      </c>
      <c r="C13" s="924"/>
      <c r="D13" s="925">
        <v>100</v>
      </c>
      <c r="E13" s="914"/>
      <c r="F13" s="915">
        <f>SUMIF(61:61,E13,62:62)-SUMIF(61:61,C13,62:62)+100</f>
        <v>100</v>
      </c>
      <c r="G13" s="914"/>
      <c r="H13" s="925">
        <f>SUMIF(61:61,G13,62:62)-SUMIF(61:61,C13,62:62)+100</f>
        <v>100</v>
      </c>
      <c r="I13" s="914"/>
      <c r="J13" s="925">
        <f>SUMIF(61:61,I13,62:62)-SUMIF(61:61,C13,62:62)+100</f>
        <v>100</v>
      </c>
      <c r="K13" s="1047"/>
      <c r="L13" s="1042"/>
      <c r="M13" s="1030"/>
      <c r="N13" s="1030"/>
      <c r="O13" s="1030"/>
      <c r="P13" s="3182"/>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85.5">
      <c r="A14" s="894" t="s">
        <v>949</v>
      </c>
      <c r="B14" s="1317" t="s">
        <v>663</v>
      </c>
      <c r="C14" s="1242" t="str">
        <f>IF(B1="工业",估价对象房地状况!G4,估价对象房地状况!C6)</f>
        <v>估价对象周边道路状况、公共交通通达情况、停车便捷程度，综合评价交通便捷度较好</v>
      </c>
      <c r="D14" s="935">
        <v>100</v>
      </c>
      <c r="E14" s="936"/>
      <c r="F14" s="1243">
        <f>SUMIF(63:63,E15,64:64)-SUMIF(63:63,C15,64:64)+100</f>
        <v>100</v>
      </c>
      <c r="G14" s="1043"/>
      <c r="H14" s="935">
        <f>SUMIF(63:63,G15,64:64)-SUMIF(63:63,C15,64:64)+100</f>
        <v>100</v>
      </c>
      <c r="I14" s="936"/>
      <c r="J14" s="935">
        <f>SUMIF(63:63,I15,64:64)-SUMIF(63:63,C15,64:64)+100</f>
        <v>100</v>
      </c>
      <c r="K14" s="1283"/>
      <c r="L14" s="1042"/>
      <c r="M14" s="1030"/>
      <c r="N14" s="1030"/>
      <c r="O14" s="1030"/>
      <c r="P14" s="3185" t="s">
        <v>950</v>
      </c>
      <c r="Q14" s="657" t="str">
        <f t="shared" si="6"/>
        <v>交通便捷度</v>
      </c>
      <c r="R14" s="1076" t="s">
        <v>940</v>
      </c>
      <c r="S14" s="1077">
        <f t="shared" si="0"/>
        <v>100</v>
      </c>
      <c r="T14" s="1076" t="s">
        <v>940</v>
      </c>
      <c r="U14" s="1077">
        <f t="shared" si="1"/>
        <v>100</v>
      </c>
      <c r="V14" s="1076" t="s">
        <v>940</v>
      </c>
      <c r="W14" s="1077">
        <f t="shared" si="2"/>
        <v>100</v>
      </c>
      <c r="X14" s="1070"/>
      <c r="Y14" s="3185" t="s">
        <v>950</v>
      </c>
      <c r="Z14" s="1069" t="str">
        <f t="shared" si="7"/>
        <v>交通便捷度</v>
      </c>
      <c r="AA14" s="1088">
        <f t="shared" si="3"/>
        <v>1</v>
      </c>
      <c r="AB14" s="1088">
        <f t="shared" si="4"/>
        <v>1</v>
      </c>
      <c r="AC14" s="1088">
        <f t="shared" si="5"/>
        <v>1</v>
      </c>
    </row>
    <row r="15" spans="1:29" ht="15">
      <c r="A15" s="896"/>
      <c r="B15" s="1318"/>
      <c r="C15" s="938"/>
      <c r="D15" s="939"/>
      <c r="E15" s="938"/>
      <c r="F15" s="1244"/>
      <c r="G15" s="938"/>
      <c r="H15" s="941"/>
      <c r="I15" s="938"/>
      <c r="J15" s="939"/>
      <c r="K15" s="1284"/>
      <c r="L15" s="1042"/>
      <c r="M15" s="1030"/>
      <c r="N15" s="1030"/>
      <c r="O15" s="1030"/>
      <c r="P15" s="3186"/>
      <c r="Q15" s="657"/>
      <c r="R15" s="1076"/>
      <c r="S15" s="1077"/>
      <c r="T15" s="1076"/>
      <c r="U15" s="1077"/>
      <c r="V15" s="1076"/>
      <c r="W15" s="1077"/>
      <c r="X15" s="1070"/>
      <c r="Y15" s="3186"/>
      <c r="Z15" s="1069"/>
      <c r="AA15" s="1088">
        <v>1</v>
      </c>
      <c r="AB15" s="1088">
        <v>1</v>
      </c>
      <c r="AC15" s="1088">
        <v>1</v>
      </c>
    </row>
    <row r="16" spans="1:29" ht="42.75">
      <c r="A16" s="896"/>
      <c r="B16" s="1319" t="s">
        <v>667</v>
      </c>
      <c r="C16" s="949" t="str">
        <f>IF(B1="工业",估价对象房地状况!G5,估价对象房地状况!C7)</f>
        <v>估价对象所在区域公共配套设施齐备情况</v>
      </c>
      <c r="D16" s="944">
        <v>100</v>
      </c>
      <c r="E16" s="948"/>
      <c r="F16" s="1245">
        <f>SUMIF(65:65,E17,66:66)-SUMIF(65:65,C17,66:66)+100</f>
        <v>100</v>
      </c>
      <c r="G16" s="1045"/>
      <c r="H16" s="944">
        <f>SUMIF(65:65,G17,66:66)-SUMIF(65:65,C17,66:66)+100</f>
        <v>100</v>
      </c>
      <c r="I16" s="948"/>
      <c r="J16" s="944">
        <f>SUMIF(65:65,I17,66:66)-SUMIF(65:65,C17,66:66)+100</f>
        <v>100</v>
      </c>
      <c r="K16" s="1283"/>
      <c r="L16" s="1042"/>
      <c r="M16" s="1030"/>
      <c r="N16" s="1030"/>
      <c r="O16" s="1030"/>
      <c r="P16" s="3186"/>
      <c r="Q16" s="657" t="str">
        <f>B16</f>
        <v>公共配套设施</v>
      </c>
      <c r="R16" s="1076" t="s">
        <v>940</v>
      </c>
      <c r="S16" s="1077">
        <f>F16</f>
        <v>100</v>
      </c>
      <c r="T16" s="1076" t="s">
        <v>940</v>
      </c>
      <c r="U16" s="1077">
        <f>H16</f>
        <v>100</v>
      </c>
      <c r="V16" s="1076" t="s">
        <v>940</v>
      </c>
      <c r="W16" s="1077">
        <f>J16</f>
        <v>100</v>
      </c>
      <c r="X16" s="1070"/>
      <c r="Y16" s="3186"/>
      <c r="Z16" s="1069" t="str">
        <f>Q16</f>
        <v>公共配套设施</v>
      </c>
      <c r="AA16" s="1088">
        <f t="shared" si="3"/>
        <v>1</v>
      </c>
      <c r="AB16" s="1088">
        <f t="shared" si="4"/>
        <v>1</v>
      </c>
      <c r="AC16" s="1088">
        <f t="shared" si="5"/>
        <v>1</v>
      </c>
    </row>
    <row r="17" spans="1:29" ht="15">
      <c r="A17" s="896"/>
      <c r="B17" s="1320"/>
      <c r="C17" s="946"/>
      <c r="D17" s="939"/>
      <c r="E17" s="938"/>
      <c r="F17" s="1244"/>
      <c r="G17" s="938"/>
      <c r="H17" s="939"/>
      <c r="I17" s="938"/>
      <c r="J17" s="939"/>
      <c r="K17" s="1284"/>
      <c r="L17" s="1042"/>
      <c r="M17" s="1030"/>
      <c r="N17" s="1030"/>
      <c r="O17" s="1030"/>
      <c r="P17" s="3186"/>
      <c r="Q17" s="657"/>
      <c r="R17" s="1076"/>
      <c r="S17" s="1077"/>
      <c r="T17" s="1076"/>
      <c r="U17" s="1077"/>
      <c r="V17" s="1076"/>
      <c r="W17" s="1077"/>
      <c r="X17" s="1070"/>
      <c r="Y17" s="3186"/>
      <c r="Z17" s="1069"/>
      <c r="AA17" s="1088">
        <v>1</v>
      </c>
      <c r="AB17" s="1088">
        <v>1</v>
      </c>
      <c r="AC17" s="1088">
        <v>1</v>
      </c>
    </row>
    <row r="18" spans="1:29" ht="28.5">
      <c r="A18" s="896"/>
      <c r="B18" s="1321" t="s">
        <v>669</v>
      </c>
      <c r="C18" s="949" t="str">
        <f>IF(B1="工业",估价对象房地状况!G6,估价对象房地状况!C8)</f>
        <v>估价对象所在区域基础设施水平</v>
      </c>
      <c r="D18" s="941">
        <v>100</v>
      </c>
      <c r="E18" s="943"/>
      <c r="F18" s="1245">
        <f>SUMIF(67:67,E19,68:68)-SUMIF(67:67,C19,68:68)+100</f>
        <v>100</v>
      </c>
      <c r="G18" s="952"/>
      <c r="H18" s="944">
        <f>SUMIF(67:67,G19,68:68)-SUMIF(67:67,C19,68:68)+100</f>
        <v>100</v>
      </c>
      <c r="I18" s="943"/>
      <c r="J18" s="944">
        <f>SUMIF(67:67,I19,68:68)-SUMIF(67:67,C19,68:68)+100</f>
        <v>100</v>
      </c>
      <c r="K18" s="1283"/>
      <c r="L18" s="1042"/>
      <c r="M18" s="1030"/>
      <c r="N18" s="1030"/>
      <c r="O18" s="1030"/>
      <c r="P18" s="3186"/>
      <c r="Q18" s="657" t="str">
        <f>B18</f>
        <v>基础设施水平</v>
      </c>
      <c r="R18" s="1076" t="s">
        <v>940</v>
      </c>
      <c r="S18" s="1077">
        <f>F18</f>
        <v>100</v>
      </c>
      <c r="T18" s="1076" t="s">
        <v>940</v>
      </c>
      <c r="U18" s="1077">
        <f>H18</f>
        <v>100</v>
      </c>
      <c r="V18" s="1076" t="s">
        <v>940</v>
      </c>
      <c r="W18" s="1077">
        <f>J18</f>
        <v>100</v>
      </c>
      <c r="X18" s="1070"/>
      <c r="Y18" s="3186"/>
      <c r="Z18" s="1069" t="str">
        <f>Q18</f>
        <v>基础设施水平</v>
      </c>
      <c r="AA18" s="1088">
        <f t="shared" ref="AA18" si="8">D18/F18</f>
        <v>1</v>
      </c>
      <c r="AB18" s="1088">
        <f t="shared" ref="AB18" si="9">D18/H18</f>
        <v>1</v>
      </c>
      <c r="AC18" s="1088">
        <f t="shared" ref="AC18" si="10">D18/J18</f>
        <v>1</v>
      </c>
    </row>
    <row r="19" spans="1:29" ht="15">
      <c r="A19" s="896"/>
      <c r="B19" s="1321"/>
      <c r="C19" s="946"/>
      <c r="D19" s="941"/>
      <c r="E19" s="946"/>
      <c r="F19" s="1246"/>
      <c r="G19" s="946"/>
      <c r="H19" s="939"/>
      <c r="I19" s="938"/>
      <c r="J19" s="939"/>
      <c r="K19" s="1285"/>
      <c r="L19" s="1042"/>
      <c r="M19" s="1030"/>
      <c r="N19" s="1030"/>
      <c r="O19" s="1030"/>
      <c r="P19" s="3186"/>
      <c r="Q19" s="657"/>
      <c r="R19" s="1076"/>
      <c r="S19" s="1077"/>
      <c r="T19" s="1076"/>
      <c r="U19" s="1077"/>
      <c r="V19" s="1076"/>
      <c r="W19" s="1077"/>
      <c r="X19" s="1070"/>
      <c r="Y19" s="3186"/>
      <c r="Z19" s="1069"/>
      <c r="AA19" s="1088">
        <v>1</v>
      </c>
      <c r="AB19" s="1088">
        <v>1</v>
      </c>
      <c r="AC19" s="1088">
        <v>1</v>
      </c>
    </row>
    <row r="20" spans="1:29" ht="57">
      <c r="A20" s="896"/>
      <c r="B20" s="1319" t="s">
        <v>673</v>
      </c>
      <c r="C20" s="949" t="str">
        <f>IF(B1="工业",估价对象房地状况!G7,估价对象房地状况!C9)</f>
        <v>区域自然环境：；人文环境；综合评价环境状况一般</v>
      </c>
      <c r="D20" s="944">
        <v>100</v>
      </c>
      <c r="E20" s="948"/>
      <c r="F20" s="1245">
        <f>SUMIF(69:69,E21,70:70)-SUMIF(69:69,C21,70:70)+100</f>
        <v>100</v>
      </c>
      <c r="G20" s="1045"/>
      <c r="H20" s="941">
        <f>SUMIF(69:69,G21,70:70)-SUMIF(69:69,C21,70:70)+100</f>
        <v>100</v>
      </c>
      <c r="I20" s="943"/>
      <c r="J20" s="941">
        <f>SUMIF(69:69,I21,70:70)-SUMIF(69:69,C21,70:70)+100</f>
        <v>100</v>
      </c>
      <c r="K20" s="1283"/>
      <c r="L20" s="1042"/>
      <c r="M20" s="1030"/>
      <c r="N20" s="1030"/>
      <c r="O20" s="1030"/>
      <c r="P20" s="3186"/>
      <c r="Q20" s="657" t="str">
        <f>B20</f>
        <v>自然及人文环境</v>
      </c>
      <c r="R20" s="1076" t="s">
        <v>940</v>
      </c>
      <c r="S20" s="1077">
        <f>F20</f>
        <v>100</v>
      </c>
      <c r="T20" s="1076" t="s">
        <v>940</v>
      </c>
      <c r="U20" s="1077">
        <f>H20</f>
        <v>100</v>
      </c>
      <c r="V20" s="1076" t="s">
        <v>940</v>
      </c>
      <c r="W20" s="1077">
        <f>J20</f>
        <v>100</v>
      </c>
      <c r="X20" s="1070"/>
      <c r="Y20" s="3186"/>
      <c r="Z20" s="1069" t="str">
        <f>Q20</f>
        <v>自然及人文环境</v>
      </c>
      <c r="AA20" s="1088">
        <f t="shared" si="3"/>
        <v>1</v>
      </c>
      <c r="AB20" s="1088">
        <f t="shared" si="4"/>
        <v>1</v>
      </c>
      <c r="AC20" s="1088">
        <f t="shared" si="5"/>
        <v>1</v>
      </c>
    </row>
    <row r="21" spans="1:29" ht="15">
      <c r="A21" s="896"/>
      <c r="B21" s="1320"/>
      <c r="C21" s="938"/>
      <c r="D21" s="939"/>
      <c r="E21" s="938"/>
      <c r="F21" s="1244"/>
      <c r="G21" s="938"/>
      <c r="H21" s="939"/>
      <c r="I21" s="938"/>
      <c r="J21" s="939"/>
      <c r="K21" s="1284"/>
      <c r="L21" s="1042"/>
      <c r="M21" s="1030"/>
      <c r="N21" s="1030"/>
      <c r="O21" s="1030"/>
      <c r="P21" s="3186"/>
      <c r="Q21" s="657"/>
      <c r="R21" s="1076"/>
      <c r="S21" s="1077"/>
      <c r="T21" s="1076"/>
      <c r="U21" s="1077"/>
      <c r="V21" s="1076"/>
      <c r="W21" s="1077"/>
      <c r="X21" s="1070"/>
      <c r="Y21" s="3186"/>
      <c r="Z21" s="1069"/>
      <c r="AA21" s="1088">
        <v>1</v>
      </c>
      <c r="AB21" s="1088">
        <v>1</v>
      </c>
      <c r="AC21" s="1088">
        <v>1</v>
      </c>
    </row>
    <row r="22" spans="1:29" ht="15">
      <c r="A22" s="896"/>
      <c r="B22" s="1319" t="s">
        <v>1486</v>
      </c>
      <c r="C22" s="953"/>
      <c r="D22" s="941">
        <v>100</v>
      </c>
      <c r="E22" s="953"/>
      <c r="F22" s="1247">
        <f>SUMIF(71:71,E22,72:72)-SUMIF(71:71,C22,72:72)+100</f>
        <v>100</v>
      </c>
      <c r="G22" s="953"/>
      <c r="H22" s="925">
        <f>SUMIF(71:71,G22,72:72)-SUMIF(71:71,C22,72:72)+100</f>
        <v>100</v>
      </c>
      <c r="I22" s="953"/>
      <c r="J22" s="925">
        <f>SUMIF(71:71,I22,72:72)-SUMIF(71:71,C22,72:72)+100</f>
        <v>100</v>
      </c>
      <c r="K22" s="1048"/>
      <c r="L22" s="1042"/>
      <c r="M22" s="1030"/>
      <c r="N22" s="1030"/>
      <c r="O22" s="1030"/>
      <c r="P22" s="3186"/>
      <c r="Q22" s="657" t="str">
        <f>B22</f>
        <v>楼层</v>
      </c>
      <c r="R22" s="1076" t="s">
        <v>940</v>
      </c>
      <c r="S22" s="1077">
        <f>F22</f>
        <v>100</v>
      </c>
      <c r="T22" s="1076" t="s">
        <v>940</v>
      </c>
      <c r="U22" s="1077">
        <f>H22</f>
        <v>100</v>
      </c>
      <c r="V22" s="1076" t="s">
        <v>940</v>
      </c>
      <c r="W22" s="1077">
        <f>J22</f>
        <v>100</v>
      </c>
      <c r="X22" s="1070"/>
      <c r="Y22" s="3186"/>
      <c r="Z22" s="1069" t="str">
        <f>Q22</f>
        <v>楼层</v>
      </c>
      <c r="AA22" s="1088">
        <f t="shared" si="3"/>
        <v>1</v>
      </c>
      <c r="AB22" s="1088">
        <f t="shared" si="4"/>
        <v>1</v>
      </c>
      <c r="AC22" s="1088">
        <f t="shared" si="5"/>
        <v>1</v>
      </c>
    </row>
    <row r="23" spans="1:29" ht="15">
      <c r="A23" s="896"/>
      <c r="B23" s="1322">
        <v>111</v>
      </c>
      <c r="C23" s="914"/>
      <c r="D23" s="925">
        <v>100</v>
      </c>
      <c r="E23" s="914"/>
      <c r="F23" s="1247">
        <f>SUMIF(73:73,E23,74:74)-SUMIF(73:73,C23,74:74)+100</f>
        <v>100</v>
      </c>
      <c r="G23" s="914"/>
      <c r="H23" s="925">
        <f>SUMIF(73:73,G23,74:74)-SUMIF(73:73,C23,74:74)+100</f>
        <v>100</v>
      </c>
      <c r="I23" s="914"/>
      <c r="J23" s="925">
        <f>SUMIF(73:73,I23,74:74)-SUMIF(73:73,C23,74:74)+100</f>
        <v>100</v>
      </c>
      <c r="K23" s="1047"/>
      <c r="L23" s="1042"/>
      <c r="M23" s="1030"/>
      <c r="N23" s="1030"/>
      <c r="O23" s="1030"/>
      <c r="P23" s="3186"/>
      <c r="Q23" s="657">
        <f>B23</f>
        <v>111</v>
      </c>
      <c r="R23" s="1076" t="s">
        <v>940</v>
      </c>
      <c r="S23" s="1077">
        <f>F23</f>
        <v>100</v>
      </c>
      <c r="T23" s="1076" t="s">
        <v>940</v>
      </c>
      <c r="U23" s="1077">
        <f>H23</f>
        <v>100</v>
      </c>
      <c r="V23" s="1076" t="s">
        <v>940</v>
      </c>
      <c r="W23" s="1077">
        <f>J23</f>
        <v>100</v>
      </c>
      <c r="X23" s="1070"/>
      <c r="Y23" s="3186"/>
      <c r="Z23" s="1069">
        <f>Q23</f>
        <v>111</v>
      </c>
      <c r="AA23" s="1088">
        <f t="shared" si="3"/>
        <v>1</v>
      </c>
      <c r="AB23" s="1088">
        <f t="shared" si="4"/>
        <v>1</v>
      </c>
      <c r="AC23" s="1088">
        <f t="shared" si="5"/>
        <v>1</v>
      </c>
    </row>
    <row r="24" spans="1:29" ht="15">
      <c r="A24" s="896"/>
      <c r="B24" s="1322">
        <v>111</v>
      </c>
      <c r="C24" s="914"/>
      <c r="D24" s="925">
        <v>100</v>
      </c>
      <c r="E24" s="914"/>
      <c r="F24" s="1247">
        <f>SUMIF(75:75,E24,76:76)-SUMIF(75:75,C24,76:76)+100</f>
        <v>100</v>
      </c>
      <c r="G24" s="914"/>
      <c r="H24" s="925">
        <f>SUMIF(75:75,G24,76:76)-SUMIF(75:75,C24,76:76)+100</f>
        <v>100</v>
      </c>
      <c r="I24" s="914"/>
      <c r="J24" s="925">
        <f>SUMIF(75:75,I24,76:76)-SUMIF(75:75,C24,76:76)+100</f>
        <v>100</v>
      </c>
      <c r="K24" s="1047"/>
      <c r="L24" s="1042"/>
      <c r="M24" s="1030"/>
      <c r="N24" s="1030"/>
      <c r="O24" s="1030"/>
      <c r="P24" s="3186"/>
      <c r="Q24" s="657">
        <f t="shared" ref="Q24:Q36" si="11">B24</f>
        <v>111</v>
      </c>
      <c r="R24" s="1076" t="s">
        <v>940</v>
      </c>
      <c r="S24" s="1077">
        <f>F24</f>
        <v>100</v>
      </c>
      <c r="T24" s="1076" t="s">
        <v>940</v>
      </c>
      <c r="U24" s="1077">
        <f>H24</f>
        <v>100</v>
      </c>
      <c r="V24" s="1076" t="s">
        <v>940</v>
      </c>
      <c r="W24" s="1077">
        <f>J24</f>
        <v>100</v>
      </c>
      <c r="X24" s="1070"/>
      <c r="Y24" s="3186"/>
      <c r="Z24" s="1069">
        <f>Q24</f>
        <v>111</v>
      </c>
      <c r="AA24" s="1088">
        <f t="shared" si="3"/>
        <v>1</v>
      </c>
      <c r="AB24" s="1088">
        <f t="shared" si="4"/>
        <v>1</v>
      </c>
      <c r="AC24" s="1088">
        <f t="shared" si="5"/>
        <v>1</v>
      </c>
    </row>
    <row r="25" spans="1:29" s="874" customFormat="1" ht="15">
      <c r="A25" s="956"/>
      <c r="B25" s="1323">
        <v>111</v>
      </c>
      <c r="C25" s="930"/>
      <c r="D25" s="1324">
        <v>100</v>
      </c>
      <c r="E25" s="1325"/>
      <c r="F25" s="1326">
        <f>SUMIF(77:77,E25,78:78)-SUMIF(77:77,C25,78:78)+100</f>
        <v>100</v>
      </c>
      <c r="G25" s="1325"/>
      <c r="H25" s="1324">
        <f>SUMIF(77:77,G25,78:78)-SUMIF(77:77,C25,78:78)+100</f>
        <v>100</v>
      </c>
      <c r="I25" s="1325"/>
      <c r="J25" s="1324">
        <f>SUMIF(77:77,I25,78:78)-SUMIF(77:77,C25,78:78)+100</f>
        <v>100</v>
      </c>
      <c r="K25" s="1047"/>
      <c r="L25" s="1032"/>
      <c r="M25" s="1033"/>
      <c r="N25" s="1033"/>
      <c r="O25" s="1033"/>
      <c r="P25" s="3186"/>
      <c r="Q25" s="1075">
        <f t="shared" si="11"/>
        <v>111</v>
      </c>
      <c r="R25" s="1071" t="s">
        <v>940</v>
      </c>
      <c r="S25" s="1072">
        <f>F25</f>
        <v>100</v>
      </c>
      <c r="T25" s="1071" t="s">
        <v>940</v>
      </c>
      <c r="U25" s="1072">
        <f>H25</f>
        <v>100</v>
      </c>
      <c r="V25" s="1071" t="s">
        <v>940</v>
      </c>
      <c r="W25" s="1072">
        <f>J25</f>
        <v>100</v>
      </c>
      <c r="X25" s="1073"/>
      <c r="Y25" s="3186"/>
      <c r="Z25" s="1087">
        <f>Q25</f>
        <v>111</v>
      </c>
      <c r="AA25" s="1088">
        <f t="shared" si="3"/>
        <v>1</v>
      </c>
      <c r="AB25" s="1088">
        <f t="shared" si="4"/>
        <v>1</v>
      </c>
      <c r="AC25" s="1088">
        <f t="shared" si="5"/>
        <v>1</v>
      </c>
    </row>
    <row r="26" spans="1:29" ht="28.5">
      <c r="A26" s="1327" t="s">
        <v>952</v>
      </c>
      <c r="B26" s="1328" t="s">
        <v>1502</v>
      </c>
      <c r="C26" s="1329">
        <f>B1</f>
        <v>0</v>
      </c>
      <c r="D26" s="939">
        <v>100</v>
      </c>
      <c r="E26" s="938"/>
      <c r="F26" s="1244">
        <f>SUMIF(79:79,E26,80:80)-SUMIF(79:79,C26,80:80)+100</f>
        <v>100</v>
      </c>
      <c r="G26" s="938"/>
      <c r="H26" s="939">
        <f>SUMIF(79:79,G26,80:80)-SUMIF(79:79,C26,80:80)+100</f>
        <v>100</v>
      </c>
      <c r="I26" s="938"/>
      <c r="J26" s="939">
        <f>SUMIF(79:79,I26,80:80)-SUMIF(79:79,C26,80:80)+100</f>
        <v>100</v>
      </c>
      <c r="K26" s="1048"/>
      <c r="L26" s="1042"/>
      <c r="M26" s="1030"/>
      <c r="N26" s="1030"/>
      <c r="O26" s="1030"/>
      <c r="P26" s="3187" t="s">
        <v>951</v>
      </c>
      <c r="Q26" s="657" t="str">
        <f t="shared" si="11"/>
        <v>配套类型</v>
      </c>
      <c r="R26" s="1076" t="s">
        <v>940</v>
      </c>
      <c r="S26" s="1077">
        <f t="shared" ref="S26:S36" si="12">F26</f>
        <v>100</v>
      </c>
      <c r="T26" s="1076" t="s">
        <v>940</v>
      </c>
      <c r="U26" s="1077">
        <f t="shared" ref="U26:U36" si="13">H26</f>
        <v>100</v>
      </c>
      <c r="V26" s="1076" t="s">
        <v>940</v>
      </c>
      <c r="W26" s="1077">
        <f t="shared" ref="W26:W36" si="14">J26</f>
        <v>100</v>
      </c>
      <c r="X26" s="1070"/>
      <c r="Y26" s="3188" t="s">
        <v>951</v>
      </c>
      <c r="Z26" s="1069" t="str">
        <f t="shared" ref="Z26:Z36" si="15">Q26</f>
        <v>配套类型</v>
      </c>
      <c r="AA26" s="1088">
        <f t="shared" si="3"/>
        <v>1</v>
      </c>
      <c r="AB26" s="1088">
        <f t="shared" si="4"/>
        <v>1</v>
      </c>
      <c r="AC26" s="1088">
        <f t="shared" si="5"/>
        <v>1</v>
      </c>
    </row>
    <row r="27" spans="1:29" s="876" customFormat="1" ht="15">
      <c r="A27" s="1330"/>
      <c r="B27" s="1331" t="s">
        <v>1503</v>
      </c>
      <c r="C27" s="1332"/>
      <c r="D27" s="915">
        <v>100</v>
      </c>
      <c r="E27" s="1332"/>
      <c r="F27" s="1247">
        <f>SUMIF(81:81,E27,82:82)-SUMIF(81:81,C27,82:82)+100</f>
        <v>100</v>
      </c>
      <c r="G27" s="1332"/>
      <c r="H27" s="925">
        <f>SUMIF(81:81,G27,82:82)-SUMIF(81:81,C27,82:82)+100</f>
        <v>100</v>
      </c>
      <c r="I27" s="1332"/>
      <c r="J27" s="925">
        <f>SUMIF(81:81,I27,82:82)-SUMIF(81:81,C27,82:82)+100</f>
        <v>100</v>
      </c>
      <c r="K27" s="1047"/>
      <c r="L27" s="1040"/>
      <c r="M27" s="1049"/>
      <c r="N27" s="1049"/>
      <c r="O27" s="1049"/>
      <c r="P27" s="3188"/>
      <c r="Q27" s="1290" t="str">
        <f t="shared" si="11"/>
        <v>项目停车位配比</v>
      </c>
      <c r="R27" s="1078" t="s">
        <v>940</v>
      </c>
      <c r="S27" s="1079">
        <f t="shared" si="12"/>
        <v>100</v>
      </c>
      <c r="T27" s="1078" t="s">
        <v>940</v>
      </c>
      <c r="U27" s="1079">
        <f t="shared" si="13"/>
        <v>100</v>
      </c>
      <c r="V27" s="1078" t="s">
        <v>940</v>
      </c>
      <c r="W27" s="1079">
        <f t="shared" si="14"/>
        <v>100</v>
      </c>
      <c r="X27" s="1080"/>
      <c r="Y27" s="3188"/>
      <c r="Z27" s="1089" t="str">
        <f t="shared" si="15"/>
        <v>项目停车位配比</v>
      </c>
      <c r="AA27" s="1088">
        <f t="shared" si="3"/>
        <v>1</v>
      </c>
      <c r="AB27" s="1088">
        <f t="shared" si="4"/>
        <v>1</v>
      </c>
      <c r="AC27" s="1088">
        <f t="shared" si="5"/>
        <v>1</v>
      </c>
    </row>
    <row r="28" spans="1:29" ht="15">
      <c r="A28" s="1333"/>
      <c r="B28" s="1331" t="s">
        <v>1448</v>
      </c>
      <c r="C28" s="1257"/>
      <c r="D28" s="925">
        <v>100</v>
      </c>
      <c r="E28" s="1257"/>
      <c r="F28" s="1247">
        <f>SUMIF(83:83,E28,84:84)-SUMIF(83:83,C28,84:84)+100</f>
        <v>100</v>
      </c>
      <c r="G28" s="1257"/>
      <c r="H28" s="925">
        <f>SUMIF(83:83,G28,84:84)-SUMIF(83:83,C28,84:84)+100</f>
        <v>100</v>
      </c>
      <c r="I28" s="1257"/>
      <c r="J28" s="925">
        <f>SUMIF(83:83,I28,84:84)-SUMIF(83:83,C28,84:84)+100</f>
        <v>100</v>
      </c>
      <c r="K28" s="1048"/>
      <c r="L28" s="1042"/>
      <c r="M28" s="1030"/>
      <c r="N28" s="1030"/>
      <c r="O28" s="1030"/>
      <c r="P28" s="3188"/>
      <c r="Q28" s="657" t="str">
        <f t="shared" si="11"/>
        <v>公共部分装修</v>
      </c>
      <c r="R28" s="1076" t="s">
        <v>940</v>
      </c>
      <c r="S28" s="1077">
        <f t="shared" si="12"/>
        <v>100</v>
      </c>
      <c r="T28" s="1076" t="s">
        <v>940</v>
      </c>
      <c r="U28" s="1077">
        <f t="shared" si="13"/>
        <v>100</v>
      </c>
      <c r="V28" s="1076" t="s">
        <v>940</v>
      </c>
      <c r="W28" s="1077">
        <f t="shared" si="14"/>
        <v>100</v>
      </c>
      <c r="X28" s="1070"/>
      <c r="Y28" s="3188"/>
      <c r="Z28" s="1069" t="str">
        <f t="shared" si="15"/>
        <v>公共部分装修</v>
      </c>
      <c r="AA28" s="1088">
        <f t="shared" si="3"/>
        <v>1</v>
      </c>
      <c r="AB28" s="1088">
        <f t="shared" si="4"/>
        <v>1</v>
      </c>
      <c r="AC28" s="1088">
        <f t="shared" si="5"/>
        <v>1</v>
      </c>
    </row>
    <row r="29" spans="1:29" ht="15">
      <c r="A29" s="1333"/>
      <c r="B29" s="1331" t="s">
        <v>1504</v>
      </c>
      <c r="C29" s="1240"/>
      <c r="D29" s="925">
        <v>100</v>
      </c>
      <c r="E29" s="1254"/>
      <c r="F29" s="1247" t="e">
        <f>LOOKUP(E29,86:86,87:87)-LOOKUP(C29,86:86,87:87)+100</f>
        <v>#N/A</v>
      </c>
      <c r="G29" s="1254"/>
      <c r="H29" s="1247" t="e">
        <f>LOOKUP(G29,86:86,87:87)-LOOKUP(C29,86:86,87:87)+100</f>
        <v>#N/A</v>
      </c>
      <c r="I29" s="1254"/>
      <c r="J29" s="925" t="e">
        <f>LOOKUP(I29,86:86,87:87)-LOOKUP(C29,86:86,87:87)+100</f>
        <v>#N/A</v>
      </c>
      <c r="K29" s="1048"/>
      <c r="L29" s="1042"/>
      <c r="M29" s="1030"/>
      <c r="N29" s="1030"/>
      <c r="O29" s="1030"/>
      <c r="P29" s="3188"/>
      <c r="Q29" s="657" t="str">
        <f t="shared" si="11"/>
        <v>成新率</v>
      </c>
      <c r="R29" s="1076" t="s">
        <v>940</v>
      </c>
      <c r="S29" s="1077" t="e">
        <f t="shared" si="12"/>
        <v>#N/A</v>
      </c>
      <c r="T29" s="1076" t="s">
        <v>940</v>
      </c>
      <c r="U29" s="1077" t="e">
        <f t="shared" si="13"/>
        <v>#N/A</v>
      </c>
      <c r="V29" s="1076" t="s">
        <v>940</v>
      </c>
      <c r="W29" s="1077" t="e">
        <f t="shared" si="14"/>
        <v>#N/A</v>
      </c>
      <c r="X29" s="1070"/>
      <c r="Y29" s="3188"/>
      <c r="Z29" s="1069" t="str">
        <f t="shared" si="15"/>
        <v>成新率</v>
      </c>
      <c r="AA29" s="1088" t="e">
        <f t="shared" si="3"/>
        <v>#N/A</v>
      </c>
      <c r="AB29" s="1088" t="e">
        <f t="shared" si="4"/>
        <v>#N/A</v>
      </c>
      <c r="AC29" s="1088" t="e">
        <f t="shared" si="5"/>
        <v>#N/A</v>
      </c>
    </row>
    <row r="30" spans="1:29" ht="15">
      <c r="A30" s="1333"/>
      <c r="B30" s="1331" t="s">
        <v>1505</v>
      </c>
      <c r="C30" s="1258"/>
      <c r="D30" s="925">
        <v>100</v>
      </c>
      <c r="E30" s="1258"/>
      <c r="F30" s="1247">
        <f>SUMIF(88:88,E30,89:89)-SUMIF(88:88,C30,89:89)+100</f>
        <v>100</v>
      </c>
      <c r="G30" s="1258"/>
      <c r="H30" s="925">
        <f>SUMIF(88:88,E30,89:89)-SUMIF(88:88,C30,89:89)+100</f>
        <v>100</v>
      </c>
      <c r="I30" s="1258"/>
      <c r="J30" s="925">
        <f>SUMIF(88:88,E30,89:89)-SUMIF(88:88,C30,89:89)+100</f>
        <v>100</v>
      </c>
      <c r="K30" s="1048"/>
      <c r="L30" s="1042"/>
      <c r="M30" s="1030"/>
      <c r="N30" s="1030"/>
      <c r="O30" s="1030"/>
      <c r="P30" s="3188"/>
      <c r="Q30" s="657" t="str">
        <f t="shared" si="11"/>
        <v>物业等级</v>
      </c>
      <c r="R30" s="1076" t="s">
        <v>940</v>
      </c>
      <c r="S30" s="1077">
        <f t="shared" si="12"/>
        <v>100</v>
      </c>
      <c r="T30" s="1076" t="s">
        <v>940</v>
      </c>
      <c r="U30" s="1077">
        <f t="shared" si="13"/>
        <v>100</v>
      </c>
      <c r="V30" s="1076" t="s">
        <v>940</v>
      </c>
      <c r="W30" s="1077">
        <f t="shared" si="14"/>
        <v>100</v>
      </c>
      <c r="X30" s="1070"/>
      <c r="Y30" s="3188"/>
      <c r="Z30" s="1069" t="str">
        <f t="shared" si="15"/>
        <v>物业等级</v>
      </c>
      <c r="AA30" s="1088">
        <f t="shared" si="3"/>
        <v>1</v>
      </c>
      <c r="AB30" s="1088">
        <f t="shared" si="4"/>
        <v>1</v>
      </c>
      <c r="AC30" s="1088">
        <f t="shared" si="5"/>
        <v>1</v>
      </c>
    </row>
    <row r="31" spans="1:29" s="874" customFormat="1" ht="15">
      <c r="A31" s="1334"/>
      <c r="B31" s="1331" t="s">
        <v>1506</v>
      </c>
      <c r="C31" s="1240"/>
      <c r="D31" s="915">
        <v>100</v>
      </c>
      <c r="E31" s="1240"/>
      <c r="F31" s="1247" t="e">
        <f>LOOKUP(E31,91:91,92:92)-LOOKUP(C31,91:91,92:92)+100</f>
        <v>#N/A</v>
      </c>
      <c r="G31" s="1240"/>
      <c r="H31" s="925" t="e">
        <f>LOOKUP(G31,91:91,92:92)-LOOKUP(C31,91:91,92:92)+100</f>
        <v>#N/A</v>
      </c>
      <c r="I31" s="1240"/>
      <c r="J31" s="925" t="e">
        <f>LOOKUP(I31,91:91,92:92)-LOOKUP(C31,91:91,92:92)+100</f>
        <v>#N/A</v>
      </c>
      <c r="K31" s="1048"/>
      <c r="L31" s="1032"/>
      <c r="M31" s="1033"/>
      <c r="N31" s="1033"/>
      <c r="O31" s="1033"/>
      <c r="P31" s="3188"/>
      <c r="Q31" s="1075" t="str">
        <f t="shared" si="11"/>
        <v>停车位面积</v>
      </c>
      <c r="R31" s="1071" t="s">
        <v>940</v>
      </c>
      <c r="S31" s="1072" t="e">
        <f t="shared" si="12"/>
        <v>#N/A</v>
      </c>
      <c r="T31" s="1071" t="s">
        <v>940</v>
      </c>
      <c r="U31" s="1072" t="e">
        <f t="shared" si="13"/>
        <v>#N/A</v>
      </c>
      <c r="V31" s="1071" t="s">
        <v>940</v>
      </c>
      <c r="W31" s="1072" t="e">
        <f t="shared" si="14"/>
        <v>#N/A</v>
      </c>
      <c r="X31" s="1073"/>
      <c r="Y31" s="3188"/>
      <c r="Z31" s="1087" t="str">
        <f t="shared" si="15"/>
        <v>停车位面积</v>
      </c>
      <c r="AA31" s="1086" t="e">
        <f t="shared" si="3"/>
        <v>#N/A</v>
      </c>
      <c r="AB31" s="1086" t="e">
        <f t="shared" si="4"/>
        <v>#N/A</v>
      </c>
      <c r="AC31" s="1086" t="e">
        <f t="shared" si="5"/>
        <v>#N/A</v>
      </c>
    </row>
    <row r="32" spans="1:29" ht="15">
      <c r="A32" s="1333"/>
      <c r="B32" s="1331" t="s">
        <v>1507</v>
      </c>
      <c r="C32" s="1257"/>
      <c r="D32" s="925">
        <v>100</v>
      </c>
      <c r="E32" s="1257"/>
      <c r="F32" s="1247">
        <f>SUMIF(93:93,E32,94:94)-SUMIF(93:93,C32,94:94)+100</f>
        <v>100</v>
      </c>
      <c r="G32" s="1257"/>
      <c r="H32" s="925">
        <f>SUMIF(93:93,G32,94:94)-SUMIF(93:93,C32,94:94)+100</f>
        <v>100</v>
      </c>
      <c r="I32" s="1257"/>
      <c r="J32" s="925">
        <f>SUMIF(93:93,I32,94:94)-SUMIF(93:93,C32,94:94)+100</f>
        <v>100</v>
      </c>
      <c r="K32" s="1048"/>
      <c r="L32" s="1042"/>
      <c r="M32" s="1030"/>
      <c r="N32" s="1030"/>
      <c r="O32" s="1030"/>
      <c r="P32" s="3188" t="s">
        <v>951</v>
      </c>
      <c r="Q32" s="657" t="str">
        <f t="shared" si="11"/>
        <v>车位类型</v>
      </c>
      <c r="R32" s="1076" t="s">
        <v>940</v>
      </c>
      <c r="S32" s="1077">
        <f t="shared" si="12"/>
        <v>100</v>
      </c>
      <c r="T32" s="1076" t="s">
        <v>940</v>
      </c>
      <c r="U32" s="1077">
        <f t="shared" si="13"/>
        <v>100</v>
      </c>
      <c r="V32" s="1076" t="s">
        <v>940</v>
      </c>
      <c r="W32" s="1077">
        <f t="shared" si="14"/>
        <v>100</v>
      </c>
      <c r="X32" s="1070"/>
      <c r="Y32" s="3188" t="s">
        <v>951</v>
      </c>
      <c r="Z32" s="1069" t="str">
        <f t="shared" si="15"/>
        <v>车位类型</v>
      </c>
      <c r="AA32" s="1088">
        <f t="shared" si="3"/>
        <v>1</v>
      </c>
      <c r="AB32" s="1088">
        <f t="shared" si="4"/>
        <v>1</v>
      </c>
      <c r="AC32" s="1088">
        <f t="shared" si="5"/>
        <v>1</v>
      </c>
    </row>
    <row r="33" spans="1:29" ht="15">
      <c r="A33" s="1333"/>
      <c r="B33" s="1331" t="s">
        <v>1508</v>
      </c>
      <c r="C33" s="1257"/>
      <c r="D33" s="925">
        <v>100</v>
      </c>
      <c r="E33" s="1257"/>
      <c r="F33" s="1247">
        <f>SUMIF(95:95,E33,96:96)-SUMIF(95:95,C33,96:96)+100</f>
        <v>100</v>
      </c>
      <c r="G33" s="1257"/>
      <c r="H33" s="925">
        <f>SUMIF(95:95,G33,96:96)-SUMIF(95:95,C33,96:96)+100</f>
        <v>100</v>
      </c>
      <c r="I33" s="1257"/>
      <c r="J33" s="925">
        <f>SUMIF(95:95,I33,96:96)-SUMIF(95:95,C33,96:96)+100</f>
        <v>100</v>
      </c>
      <c r="K33" s="1048"/>
      <c r="L33" s="1042"/>
      <c r="M33" s="1030"/>
      <c r="N33" s="1030"/>
      <c r="O33" s="1030"/>
      <c r="P33" s="3188"/>
      <c r="Q33" s="657" t="str">
        <f t="shared" si="11"/>
        <v>是否直接入户</v>
      </c>
      <c r="R33" s="1076" t="s">
        <v>940</v>
      </c>
      <c r="S33" s="1077">
        <f t="shared" si="12"/>
        <v>100</v>
      </c>
      <c r="T33" s="1076" t="s">
        <v>940</v>
      </c>
      <c r="U33" s="1077">
        <f t="shared" si="13"/>
        <v>100</v>
      </c>
      <c r="V33" s="1076" t="s">
        <v>940</v>
      </c>
      <c r="W33" s="1077">
        <f t="shared" si="14"/>
        <v>100</v>
      </c>
      <c r="X33" s="1070"/>
      <c r="Y33" s="3188"/>
      <c r="Z33" s="1069" t="str">
        <f t="shared" si="15"/>
        <v>是否直接入户</v>
      </c>
      <c r="AA33" s="1088">
        <f t="shared" si="3"/>
        <v>1</v>
      </c>
      <c r="AB33" s="1088">
        <f t="shared" si="4"/>
        <v>1</v>
      </c>
      <c r="AC33" s="1088">
        <f t="shared" si="5"/>
        <v>1</v>
      </c>
    </row>
    <row r="34" spans="1:29" ht="15">
      <c r="A34" s="1333"/>
      <c r="B34" s="1322">
        <v>111</v>
      </c>
      <c r="C34" s="914"/>
      <c r="D34" s="925">
        <v>100</v>
      </c>
      <c r="E34" s="914"/>
      <c r="F34" s="1247">
        <f>SUMIF(97:97,E34,98:98)-SUMIF(97:97,C34,98:98)+100</f>
        <v>100</v>
      </c>
      <c r="G34" s="914"/>
      <c r="H34" s="925">
        <f>SUMIF(97:97,G34,98:98)-SUMIF(97:97,C34,98:98)+100</f>
        <v>100</v>
      </c>
      <c r="I34" s="914"/>
      <c r="J34" s="925">
        <f>SUMIF(97:97,I34,98:98)-SUMIF(97:97,C34,98:98)+100</f>
        <v>100</v>
      </c>
      <c r="K34" s="1047"/>
      <c r="L34" s="1042"/>
      <c r="M34" s="1030"/>
      <c r="N34" s="1030"/>
      <c r="O34" s="1030"/>
      <c r="P34" s="3188"/>
      <c r="Q34" s="657">
        <f t="shared" si="11"/>
        <v>111</v>
      </c>
      <c r="R34" s="1076" t="s">
        <v>940</v>
      </c>
      <c r="S34" s="1077">
        <f t="shared" si="12"/>
        <v>100</v>
      </c>
      <c r="T34" s="1076" t="s">
        <v>940</v>
      </c>
      <c r="U34" s="1077">
        <f t="shared" si="13"/>
        <v>100</v>
      </c>
      <c r="V34" s="1076" t="s">
        <v>940</v>
      </c>
      <c r="W34" s="1077">
        <f t="shared" si="14"/>
        <v>100</v>
      </c>
      <c r="X34" s="1070"/>
      <c r="Y34" s="3188"/>
      <c r="Z34" s="1069">
        <f t="shared" si="15"/>
        <v>111</v>
      </c>
      <c r="AA34" s="1088">
        <f t="shared" si="3"/>
        <v>1</v>
      </c>
      <c r="AB34" s="1088">
        <f t="shared" si="4"/>
        <v>1</v>
      </c>
      <c r="AC34" s="1088">
        <f t="shared" si="5"/>
        <v>1</v>
      </c>
    </row>
    <row r="35" spans="1:29" s="876" customFormat="1" ht="15">
      <c r="A35" s="1330"/>
      <c r="B35" s="1322">
        <v>111</v>
      </c>
      <c r="C35" s="914"/>
      <c r="D35" s="925">
        <v>100</v>
      </c>
      <c r="E35" s="914"/>
      <c r="F35" s="1247">
        <f>SUMIF(99:99,E35,100:100)-SUMIF(99:99,C35,100:100)+100</f>
        <v>100</v>
      </c>
      <c r="G35" s="914"/>
      <c r="H35" s="925">
        <f>SUMIF(99:99,G35,100:100)-SUMIF(99:99,C35,100:100)+100</f>
        <v>100</v>
      </c>
      <c r="I35" s="914"/>
      <c r="J35" s="925">
        <f>SUMIF(99:99,I35,100:100)-SUMIF(99:99,C35,100:100)+100</f>
        <v>100</v>
      </c>
      <c r="K35" s="1047"/>
      <c r="L35" s="1040"/>
      <c r="M35" s="1049"/>
      <c r="N35" s="1049"/>
      <c r="O35" s="1049"/>
      <c r="P35" s="3188"/>
      <c r="Q35" s="1290">
        <f t="shared" si="11"/>
        <v>111</v>
      </c>
      <c r="R35" s="1078" t="s">
        <v>940</v>
      </c>
      <c r="S35" s="1079">
        <f t="shared" si="12"/>
        <v>100</v>
      </c>
      <c r="T35" s="1078" t="s">
        <v>940</v>
      </c>
      <c r="U35" s="1079">
        <f t="shared" si="13"/>
        <v>100</v>
      </c>
      <c r="V35" s="1078" t="s">
        <v>940</v>
      </c>
      <c r="W35" s="1079">
        <f t="shared" si="14"/>
        <v>100</v>
      </c>
      <c r="X35" s="1080"/>
      <c r="Y35" s="3188"/>
      <c r="Z35" s="1089">
        <f t="shared" si="15"/>
        <v>111</v>
      </c>
      <c r="AA35" s="1088">
        <f t="shared" si="3"/>
        <v>1</v>
      </c>
      <c r="AB35" s="1088">
        <f t="shared" si="4"/>
        <v>1</v>
      </c>
      <c r="AC35" s="1088">
        <f t="shared" si="5"/>
        <v>1</v>
      </c>
    </row>
    <row r="36" spans="1:29" ht="15">
      <c r="A36" s="1335"/>
      <c r="B36" s="1323">
        <v>111</v>
      </c>
      <c r="C36" s="924"/>
      <c r="D36" s="925">
        <v>100</v>
      </c>
      <c r="E36" s="914"/>
      <c r="F36" s="1247">
        <f>SUMIF(101:101,E36,102:102)-SUMIF(101:101,C36,102:102)+100</f>
        <v>100</v>
      </c>
      <c r="G36" s="914"/>
      <c r="H36" s="925">
        <f>SUMIF(101:101,G36,102:102)-SUMIF(101:101,C36,102:102)+100</f>
        <v>100</v>
      </c>
      <c r="I36" s="914"/>
      <c r="J36" s="925">
        <f>SUMIF(101:101,I36,102:102)-SUMIF(101:101,C36,102:102)+100</f>
        <v>100</v>
      </c>
      <c r="K36" s="1047"/>
      <c r="L36" s="1042"/>
      <c r="M36" s="1030"/>
      <c r="N36" s="1030"/>
      <c r="O36" s="1030"/>
      <c r="P36" s="3188"/>
      <c r="Q36" s="657">
        <f t="shared" si="11"/>
        <v>111</v>
      </c>
      <c r="R36" s="1076" t="s">
        <v>940</v>
      </c>
      <c r="S36" s="1077">
        <f t="shared" si="12"/>
        <v>100</v>
      </c>
      <c r="T36" s="1076" t="s">
        <v>940</v>
      </c>
      <c r="U36" s="1077">
        <f t="shared" si="13"/>
        <v>100</v>
      </c>
      <c r="V36" s="1076" t="s">
        <v>940</v>
      </c>
      <c r="W36" s="1077">
        <f t="shared" si="14"/>
        <v>100</v>
      </c>
      <c r="X36" s="1070"/>
      <c r="Y36" s="3188"/>
      <c r="Z36" s="1069">
        <f t="shared" si="15"/>
        <v>111</v>
      </c>
      <c r="AA36" s="1088">
        <f t="shared" si="3"/>
        <v>1</v>
      </c>
      <c r="AB36" s="1088">
        <f t="shared" si="4"/>
        <v>1</v>
      </c>
      <c r="AC36" s="1088">
        <f t="shared" si="5"/>
        <v>1</v>
      </c>
    </row>
    <row r="37" spans="1:29" ht="15">
      <c r="A37" s="978" t="s">
        <v>958</v>
      </c>
      <c r="B37" s="1336" t="s">
        <v>1509</v>
      </c>
      <c r="C37" s="1262" t="s">
        <v>124</v>
      </c>
      <c r="D37" s="1263"/>
      <c r="E37" s="1264"/>
      <c r="F37" s="1265"/>
      <c r="G37" s="1266"/>
      <c r="H37" s="1267"/>
      <c r="I37" s="1264"/>
      <c r="J37" s="1267"/>
      <c r="K37" s="1345"/>
      <c r="L37" s="1054"/>
      <c r="M37" s="995"/>
      <c r="N37" s="1030"/>
      <c r="O37" s="995"/>
      <c r="P37" s="3182" t="str">
        <f>A37</f>
        <v>成交单价</v>
      </c>
      <c r="Q37" s="3182"/>
      <c r="R37" s="3244">
        <f>E37</f>
        <v>0</v>
      </c>
      <c r="S37" s="3244"/>
      <c r="T37" s="3244">
        <f>G37</f>
        <v>0</v>
      </c>
      <c r="U37" s="3244"/>
      <c r="V37" s="3244">
        <f>I37</f>
        <v>0</v>
      </c>
      <c r="W37" s="3244"/>
      <c r="X37" s="1081"/>
      <c r="Y37" s="1090"/>
      <c r="Z37" s="1081"/>
      <c r="AA37" s="1081"/>
      <c r="AB37" s="1081"/>
      <c r="AC37" s="1081"/>
    </row>
    <row r="38" spans="1:29" ht="15">
      <c r="A38" s="986" t="s">
        <v>960</v>
      </c>
      <c r="B38" s="1268" t="str">
        <f>B37</f>
        <v>元/车位</v>
      </c>
      <c r="C38" s="1269" t="e">
        <f>R39</f>
        <v>#DIV/0!</v>
      </c>
      <c r="D38" s="1270"/>
      <c r="E38" s="1271" t="e">
        <f>R38</f>
        <v>#DIV/0!</v>
      </c>
      <c r="F38" s="1271"/>
      <c r="G38" s="1269" t="e">
        <f>T38</f>
        <v>#DIV/0!</v>
      </c>
      <c r="H38" s="1270"/>
      <c r="I38" s="1271" t="e">
        <f>V38</f>
        <v>#DIV/0!</v>
      </c>
      <c r="J38" s="1270"/>
      <c r="K38" s="1346"/>
      <c r="L38" s="1054"/>
      <c r="M38" s="995"/>
      <c r="N38" s="995"/>
      <c r="O38" s="995"/>
      <c r="P38" s="3182" t="str">
        <f>A38</f>
        <v>比较价值（元/平方米）</v>
      </c>
      <c r="Q38" s="3182"/>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1081"/>
      <c r="Y38" s="1081"/>
      <c r="Z38" s="1081"/>
      <c r="AA38" s="1081"/>
      <c r="AB38" s="1081"/>
      <c r="AC38" s="1081"/>
    </row>
    <row r="39" spans="1:29" ht="15">
      <c r="A39" s="992" t="s">
        <v>1510</v>
      </c>
      <c r="B39" s="993"/>
      <c r="C39" s="1272" t="e">
        <f>R39</f>
        <v>#DIV/0!</v>
      </c>
      <c r="D39" s="1272"/>
      <c r="E39" s="1272"/>
      <c r="F39" s="1272"/>
      <c r="G39" s="1272"/>
      <c r="H39" s="1272"/>
      <c r="I39" s="1272"/>
      <c r="J39" s="1272"/>
      <c r="K39" s="1347"/>
      <c r="L39" s="1054"/>
      <c r="M39" s="995"/>
      <c r="N39" s="995"/>
      <c r="O39" s="995"/>
      <c r="P39" s="3192" t="str">
        <f>A39</f>
        <v>估价对象XX用房的比较价值（楼面单价，元/平方米）</v>
      </c>
      <c r="Q39" s="3193"/>
      <c r="R39" s="3251" t="e">
        <f>IF(F1="售价",ROUND(AVERAGE(R38:V38),0),ROUND(AVERAGE(R38:V38),1))</f>
        <v>#DIV/0!</v>
      </c>
      <c r="S39" s="3251"/>
      <c r="T39" s="3251"/>
      <c r="U39" s="3251"/>
      <c r="V39" s="3251"/>
      <c r="W39" s="3251"/>
      <c r="X39" s="1081"/>
      <c r="Y39" s="1081"/>
      <c r="Z39" s="1081"/>
      <c r="AA39" s="1081"/>
      <c r="AB39" s="1081"/>
      <c r="AC39" s="1081"/>
    </row>
    <row r="40" spans="1:29">
      <c r="A40" s="995"/>
      <c r="B40" s="995"/>
      <c r="C40" s="995"/>
      <c r="D40" s="995"/>
      <c r="E40" s="995"/>
      <c r="F40" s="995"/>
      <c r="G40" s="996"/>
      <c r="H40" s="995"/>
      <c r="I40" s="995"/>
      <c r="J40" s="995"/>
      <c r="K40" s="1058"/>
      <c r="L40" s="1059"/>
      <c r="M40" s="995"/>
      <c r="N40" s="995"/>
      <c r="O40" s="995"/>
      <c r="P40" s="1348"/>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58"/>
      <c r="L41" s="1059"/>
      <c r="M41" s="995"/>
      <c r="N41" s="995"/>
      <c r="O41" s="995"/>
      <c r="P41" s="1348"/>
      <c r="Q41" s="995"/>
      <c r="R41" s="995"/>
      <c r="S41" s="995"/>
      <c r="T41" s="995"/>
      <c r="U41" s="995"/>
      <c r="V41" s="995"/>
      <c r="W41" s="995"/>
      <c r="X41" s="995"/>
      <c r="Y41" s="995"/>
      <c r="Z41" s="995"/>
      <c r="AA41" s="995"/>
      <c r="AB41" s="995"/>
      <c r="AC41" s="995"/>
    </row>
    <row r="42" spans="1:29" ht="13.5" customHeight="1">
      <c r="A42" s="995"/>
      <c r="B42" s="995"/>
      <c r="C42" s="997" t="s">
        <v>962</v>
      </c>
      <c r="D42" s="697"/>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58"/>
      <c r="L42" s="1059"/>
      <c r="M42" s="995"/>
      <c r="N42" s="995"/>
      <c r="O42" s="995"/>
      <c r="P42" s="1348"/>
      <c r="Q42" s="995"/>
      <c r="R42" s="995"/>
      <c r="S42" s="995"/>
      <c r="T42" s="995"/>
      <c r="U42" s="995"/>
      <c r="V42" s="995"/>
      <c r="W42" s="995"/>
      <c r="X42" s="995"/>
      <c r="Y42" s="995"/>
      <c r="Z42" s="995"/>
      <c r="AA42" s="995"/>
      <c r="AB42" s="995"/>
      <c r="AC42" s="995"/>
    </row>
    <row r="43" spans="1:29" ht="13.5" customHeight="1">
      <c r="A43" s="995"/>
      <c r="B43" s="995"/>
      <c r="C43" s="997" t="s">
        <v>963</v>
      </c>
      <c r="D43" s="696"/>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58"/>
      <c r="L43" s="1059"/>
      <c r="M43" s="995"/>
      <c r="N43" s="995"/>
      <c r="O43" s="995"/>
      <c r="P43" s="1348"/>
      <c r="Q43" s="995"/>
      <c r="R43" s="995"/>
      <c r="S43" s="995"/>
      <c r="T43" s="995"/>
      <c r="U43" s="995"/>
      <c r="V43" s="995"/>
      <c r="W43" s="995"/>
      <c r="X43" s="995"/>
      <c r="Y43" s="995"/>
      <c r="Z43" s="995"/>
      <c r="AA43" s="995"/>
      <c r="AB43" s="995"/>
      <c r="AC43" s="995"/>
    </row>
    <row r="44" spans="1:29" s="877" customFormat="1" ht="13.5" customHeight="1">
      <c r="A44" s="1000"/>
      <c r="B44" s="1000"/>
      <c r="C44" s="997" t="s">
        <v>964</v>
      </c>
      <c r="D44" s="696"/>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60"/>
      <c r="L44" s="1061"/>
      <c r="M44" s="1000"/>
      <c r="N44" s="1000"/>
      <c r="O44" s="1000"/>
      <c r="P44" s="1349"/>
      <c r="Q44" s="1000"/>
      <c r="R44" s="1000"/>
      <c r="S44" s="1000"/>
      <c r="T44" s="1000"/>
      <c r="U44" s="1000"/>
      <c r="V44" s="1000"/>
      <c r="W44" s="1000"/>
      <c r="X44" s="1000"/>
      <c r="Y44" s="1000"/>
      <c r="Z44" s="1000"/>
      <c r="AA44" s="1000"/>
      <c r="AB44" s="1000"/>
      <c r="AC44" s="1000"/>
    </row>
    <row r="45" spans="1:29" s="877" customFormat="1">
      <c r="A45" s="1000"/>
      <c r="B45" s="1001"/>
      <c r="C45" s="1273"/>
      <c r="D45" s="1000"/>
      <c r="E45" s="1000"/>
      <c r="F45" s="1000"/>
      <c r="G45" s="1000"/>
      <c r="H45" s="1000"/>
      <c r="I45" s="1000"/>
      <c r="J45" s="1000"/>
      <c r="K45" s="1060"/>
      <c r="L45" s="1061"/>
      <c r="M45" s="1000"/>
      <c r="N45" s="1000"/>
      <c r="O45" s="1000"/>
      <c r="P45" s="1349"/>
      <c r="Q45" s="1000"/>
      <c r="R45" s="1000"/>
      <c r="S45" s="1000"/>
      <c r="T45" s="1000"/>
      <c r="U45" s="1000"/>
      <c r="V45" s="1000"/>
      <c r="W45" s="1000"/>
      <c r="X45" s="1000"/>
      <c r="Y45" s="1000"/>
      <c r="Z45" s="1000"/>
      <c r="AA45" s="1000"/>
      <c r="AB45" s="1000"/>
      <c r="AC45" s="1000"/>
    </row>
    <row r="46" spans="1:29">
      <c r="A46" s="995"/>
      <c r="B46" s="1001"/>
      <c r="C46" s="1273"/>
      <c r="D46" s="995"/>
      <c r="E46" s="995"/>
      <c r="F46" s="995"/>
      <c r="G46" s="995"/>
      <c r="H46" s="995"/>
      <c r="I46" s="995"/>
      <c r="J46" s="995"/>
      <c r="K46" s="1058"/>
      <c r="L46" s="1059"/>
      <c r="M46" s="995"/>
      <c r="N46" s="995"/>
      <c r="O46" s="995"/>
      <c r="P46" s="1348"/>
      <c r="Q46" s="995"/>
      <c r="R46" s="995"/>
      <c r="S46" s="995"/>
      <c r="T46" s="995"/>
      <c r="U46" s="995"/>
      <c r="V46" s="995"/>
      <c r="W46" s="995"/>
      <c r="X46" s="995"/>
      <c r="Y46" s="995"/>
      <c r="Z46" s="995"/>
      <c r="AA46" s="995"/>
      <c r="AB46" s="995"/>
      <c r="AC46" s="995"/>
    </row>
    <row r="47" spans="1:29" ht="21">
      <c r="A47" s="1337" t="s">
        <v>990</v>
      </c>
      <c r="B47" s="995"/>
      <c r="C47" s="1157"/>
      <c r="D47" s="1157"/>
      <c r="E47" s="1157"/>
      <c r="F47" s="1338"/>
      <c r="G47" s="1338"/>
      <c r="H47" s="1157"/>
      <c r="I47" s="1157"/>
      <c r="J47" s="1157"/>
      <c r="K47" s="1158"/>
      <c r="L47" s="1159"/>
      <c r="M47" s="1157"/>
      <c r="N47" s="1157"/>
      <c r="O47" s="1157"/>
      <c r="P47" s="1350"/>
      <c r="Q47" s="1358"/>
      <c r="R47" s="995"/>
      <c r="S47" s="995"/>
      <c r="T47" s="995"/>
      <c r="U47" s="995"/>
      <c r="V47" s="995"/>
      <c r="W47" s="995"/>
      <c r="X47" s="995"/>
      <c r="Y47" s="995"/>
      <c r="Z47" s="995"/>
      <c r="AA47" s="995"/>
      <c r="AB47" s="995"/>
      <c r="AC47" s="995"/>
    </row>
    <row r="48" spans="1:29" s="879" customFormat="1" ht="15">
      <c r="A48" s="1274" t="s">
        <v>938</v>
      </c>
      <c r="B48" s="1275"/>
      <c r="C48" s="1276" t="str">
        <f>YEAR(C7)&amp;"-"&amp;MONTH(C7)</f>
        <v>2021-7</v>
      </c>
      <c r="D48" s="1277">
        <f>EDATE(C48,-1)</f>
        <v>44348</v>
      </c>
      <c r="E48" s="1277">
        <f t="shared" ref="E48:O48" si="16">EDATE(D48,-1)</f>
        <v>44317</v>
      </c>
      <c r="F48" s="1277">
        <f t="shared" si="16"/>
        <v>44287</v>
      </c>
      <c r="G48" s="1277">
        <f t="shared" si="16"/>
        <v>44256</v>
      </c>
      <c r="H48" s="1277">
        <f t="shared" si="16"/>
        <v>44228</v>
      </c>
      <c r="I48" s="1277">
        <f t="shared" si="16"/>
        <v>44197</v>
      </c>
      <c r="J48" s="1277">
        <f t="shared" si="16"/>
        <v>44166</v>
      </c>
      <c r="K48" s="1277">
        <f t="shared" si="16"/>
        <v>44136</v>
      </c>
      <c r="L48" s="1277">
        <f t="shared" si="16"/>
        <v>44105</v>
      </c>
      <c r="M48" s="1277">
        <f t="shared" si="16"/>
        <v>44075</v>
      </c>
      <c r="N48" s="1277">
        <f t="shared" si="16"/>
        <v>44044</v>
      </c>
      <c r="O48" s="1277">
        <f t="shared" si="16"/>
        <v>44013</v>
      </c>
      <c r="P48" s="1351"/>
      <c r="Q48" s="1359"/>
      <c r="R48" s="1359"/>
      <c r="S48" s="1359"/>
      <c r="T48" s="1359"/>
      <c r="U48" s="1359"/>
      <c r="V48" s="1359"/>
      <c r="W48" s="1359"/>
      <c r="X48" s="1359"/>
      <c r="Y48" s="1359"/>
      <c r="Z48" s="1359"/>
      <c r="AA48" s="1359"/>
      <c r="AB48" s="1359"/>
      <c r="AC48" s="1359"/>
    </row>
    <row r="49" spans="1:29" s="874" customFormat="1" ht="15">
      <c r="A49" s="1278"/>
      <c r="B49" s="1112"/>
      <c r="C49" s="1339">
        <v>100</v>
      </c>
      <c r="D49" s="1116"/>
      <c r="E49" s="1116"/>
      <c r="F49" s="1116"/>
      <c r="G49" s="1116"/>
      <c r="H49" s="1116"/>
      <c r="I49" s="1116"/>
      <c r="J49" s="1116"/>
      <c r="K49" s="1116"/>
      <c r="L49" s="1116"/>
      <c r="M49" s="1288"/>
      <c r="N49" s="1116"/>
      <c r="O49" s="1288"/>
      <c r="P49" s="1352"/>
      <c r="Q49" s="1360"/>
      <c r="R49" s="1360"/>
      <c r="S49" s="1360"/>
      <c r="T49" s="1360"/>
      <c r="U49" s="1360"/>
      <c r="V49" s="1360"/>
      <c r="W49" s="1360"/>
      <c r="X49" s="1360"/>
      <c r="Y49" s="1360"/>
      <c r="Z49" s="1360"/>
      <c r="AA49" s="1360"/>
      <c r="AB49" s="1360"/>
      <c r="AC49" s="1360"/>
    </row>
    <row r="50" spans="1:29" s="874" customFormat="1" ht="15">
      <c r="A50" s="1107" t="s">
        <v>992</v>
      </c>
      <c r="B50" s="1108"/>
      <c r="C50" s="1109"/>
      <c r="D50" s="1110"/>
      <c r="E50" s="1110"/>
      <c r="F50" s="1110"/>
      <c r="G50" s="1110"/>
      <c r="H50" s="1110"/>
      <c r="I50" s="1110"/>
      <c r="J50" s="1110"/>
      <c r="K50" s="1110"/>
      <c r="L50" s="1110"/>
      <c r="M50" s="1165"/>
      <c r="N50" s="1110"/>
      <c r="O50" s="1165"/>
      <c r="P50" s="1352"/>
      <c r="Q50" s="1358"/>
      <c r="R50" s="1360"/>
      <c r="S50" s="1360"/>
      <c r="T50" s="1360"/>
      <c r="U50" s="1360"/>
      <c r="V50" s="1360"/>
      <c r="W50" s="1360"/>
      <c r="X50" s="1360"/>
      <c r="Y50" s="1360"/>
      <c r="Z50" s="1360"/>
      <c r="AA50" s="1360"/>
      <c r="AB50" s="1360"/>
      <c r="AC50" s="1360"/>
    </row>
    <row r="51" spans="1:29" s="874" customFormat="1" ht="15">
      <c r="A51" s="1111" t="s">
        <v>941</v>
      </c>
      <c r="B51" s="1112"/>
      <c r="C51" s="1113" t="s">
        <v>942</v>
      </c>
      <c r="D51" s="1114"/>
      <c r="E51" s="1114"/>
      <c r="F51" s="1114"/>
      <c r="G51" s="1114"/>
      <c r="H51" s="1114"/>
      <c r="I51" s="1114"/>
      <c r="J51" s="1114"/>
      <c r="K51" s="1114"/>
      <c r="L51" s="1167"/>
      <c r="M51" s="1168"/>
      <c r="N51" s="1169"/>
      <c r="O51" s="1169"/>
      <c r="P51" s="1353"/>
      <c r="Q51" s="1358"/>
      <c r="R51" s="1360"/>
      <c r="S51" s="1360"/>
      <c r="T51" s="1360"/>
      <c r="U51" s="1360"/>
      <c r="V51" s="1360"/>
      <c r="W51" s="1360"/>
      <c r="X51" s="1360"/>
      <c r="Y51" s="1360"/>
      <c r="Z51" s="1360"/>
      <c r="AA51" s="1360"/>
      <c r="AB51" s="1360"/>
      <c r="AC51" s="1360"/>
    </row>
    <row r="52" spans="1:29" s="874" customFormat="1" ht="15">
      <c r="A52" s="1111"/>
      <c r="B52" s="1112"/>
      <c r="C52" s="1115">
        <v>100</v>
      </c>
      <c r="D52" s="1116"/>
      <c r="E52" s="1116"/>
      <c r="F52" s="1116"/>
      <c r="G52" s="1116"/>
      <c r="H52" s="1116"/>
      <c r="I52" s="1116"/>
      <c r="J52" s="1116"/>
      <c r="K52" s="1116"/>
      <c r="L52" s="1116"/>
      <c r="M52" s="1171"/>
      <c r="N52" s="1169"/>
      <c r="O52" s="1169"/>
      <c r="P52" s="1352"/>
      <c r="Q52" s="1358"/>
      <c r="R52" s="1360"/>
      <c r="S52" s="1360"/>
      <c r="T52" s="1360"/>
      <c r="U52" s="1360"/>
      <c r="V52" s="1360"/>
      <c r="W52" s="1360"/>
      <c r="X52" s="1360"/>
      <c r="Y52" s="1360"/>
      <c r="Z52" s="1360"/>
      <c r="AA52" s="1360"/>
      <c r="AB52" s="1360"/>
      <c r="AC52" s="1360"/>
    </row>
    <row r="53" spans="1:29">
      <c r="A53" s="1117" t="s">
        <v>993</v>
      </c>
      <c r="B53" s="1118" t="s">
        <v>349</v>
      </c>
      <c r="C53" s="1140">
        <f>C9</f>
        <v>0</v>
      </c>
      <c r="D53" s="1051"/>
      <c r="E53" s="1051"/>
      <c r="F53" s="1051"/>
      <c r="G53" s="1051"/>
      <c r="H53" s="1051"/>
      <c r="I53" s="1051"/>
      <c r="J53" s="1051"/>
      <c r="K53" s="1172"/>
      <c r="L53" s="1173"/>
      <c r="M53" s="1174"/>
      <c r="N53" s="1175"/>
      <c r="O53" s="1175"/>
      <c r="P53" s="1354"/>
      <c r="Q53" s="1358"/>
      <c r="R53" s="995"/>
      <c r="S53" s="995"/>
      <c r="T53" s="995"/>
      <c r="U53" s="995"/>
      <c r="V53" s="995"/>
      <c r="W53" s="995"/>
      <c r="X53" s="995"/>
      <c r="Y53" s="995"/>
      <c r="Z53" s="995"/>
      <c r="AA53" s="995"/>
      <c r="AB53" s="995"/>
      <c r="AC53" s="995"/>
    </row>
    <row r="54" spans="1:29" ht="15">
      <c r="A54" s="1119"/>
      <c r="B54" s="1120"/>
      <c r="C54" s="1121">
        <v>100</v>
      </c>
      <c r="D54" s="1121"/>
      <c r="E54" s="1121"/>
      <c r="F54" s="1121"/>
      <c r="G54" s="1121"/>
      <c r="H54" s="1121"/>
      <c r="I54" s="1121"/>
      <c r="J54" s="1121"/>
      <c r="K54" s="1121"/>
      <c r="L54" s="1121"/>
      <c r="M54" s="1177"/>
      <c r="N54" s="1178"/>
      <c r="O54" s="1178"/>
      <c r="P54" s="1354"/>
      <c r="Q54" s="1358"/>
      <c r="R54" s="995"/>
      <c r="S54" s="995"/>
      <c r="T54" s="995"/>
      <c r="U54" s="995"/>
      <c r="V54" s="995"/>
      <c r="W54" s="995"/>
      <c r="X54" s="995"/>
      <c r="Y54" s="995"/>
      <c r="Z54" s="995"/>
      <c r="AA54" s="995"/>
      <c r="AB54" s="995"/>
      <c r="AC54" s="995"/>
    </row>
    <row r="55" spans="1:29" ht="27">
      <c r="A55" s="1119"/>
      <c r="B55" s="1122" t="s">
        <v>947</v>
      </c>
      <c r="C55" s="1123" t="s">
        <v>1456</v>
      </c>
      <c r="D55" s="1123" t="s">
        <v>1457</v>
      </c>
      <c r="E55" s="1123" t="s">
        <v>1458</v>
      </c>
      <c r="F55" s="1123" t="s">
        <v>1459</v>
      </c>
      <c r="G55" s="1123" t="s">
        <v>1460</v>
      </c>
      <c r="H55" s="1123" t="s">
        <v>1461</v>
      </c>
      <c r="I55" s="1123" t="s">
        <v>1462</v>
      </c>
      <c r="J55" s="1123"/>
      <c r="K55" s="1179"/>
      <c r="L55" s="1180"/>
      <c r="M55" s="1181"/>
      <c r="N55" s="1175"/>
      <c r="O55" s="1175"/>
      <c r="P55" s="1354"/>
      <c r="Q55" s="1358"/>
      <c r="R55" s="995"/>
      <c r="S55" s="995"/>
      <c r="T55" s="995"/>
      <c r="U55" s="995"/>
      <c r="V55" s="995"/>
      <c r="W55" s="995"/>
      <c r="X55" s="995"/>
      <c r="Y55" s="995"/>
      <c r="Z55" s="995"/>
      <c r="AA55" s="995"/>
      <c r="AB55" s="995"/>
      <c r="AC55" s="995"/>
    </row>
    <row r="56" spans="1:29" ht="15">
      <c r="A56" s="1119"/>
      <c r="B56" s="1124"/>
      <c r="C56" s="1125" t="s">
        <v>989</v>
      </c>
      <c r="D56" s="1125" t="s">
        <v>989</v>
      </c>
      <c r="E56" s="1125">
        <v>100</v>
      </c>
      <c r="F56" s="1125">
        <f>E56-$K10</f>
        <v>100</v>
      </c>
      <c r="G56" s="1125">
        <f>F56-$K10</f>
        <v>100</v>
      </c>
      <c r="H56" s="1125">
        <f>G56-$K10</f>
        <v>100</v>
      </c>
      <c r="I56" s="1125">
        <f>H56-$K10</f>
        <v>100</v>
      </c>
      <c r="J56" s="1125"/>
      <c r="K56" s="1125"/>
      <c r="L56" s="1125"/>
      <c r="M56" s="1182"/>
      <c r="N56" s="1178"/>
      <c r="O56" s="1178"/>
      <c r="P56" s="1354"/>
      <c r="Q56" s="1358"/>
      <c r="R56" s="995"/>
      <c r="S56" s="995"/>
      <c r="T56" s="995"/>
      <c r="U56" s="995"/>
      <c r="V56" s="995"/>
      <c r="W56" s="995"/>
      <c r="X56" s="995"/>
      <c r="Y56" s="995"/>
      <c r="Z56" s="995"/>
      <c r="AA56" s="995"/>
      <c r="AB56" s="995"/>
      <c r="AC56" s="995"/>
    </row>
    <row r="57" spans="1:29" ht="15">
      <c r="A57" s="1119"/>
      <c r="B57" s="1146">
        <f>B11</f>
        <v>111</v>
      </c>
      <c r="C57" s="926"/>
      <c r="D57" s="926"/>
      <c r="E57" s="926"/>
      <c r="F57" s="926"/>
      <c r="G57" s="926"/>
      <c r="H57" s="926"/>
      <c r="I57" s="926"/>
      <c r="J57" s="926"/>
      <c r="K57" s="1183"/>
      <c r="L57" s="1184"/>
      <c r="M57" s="1185"/>
      <c r="N57" s="1175"/>
      <c r="O57" s="1175"/>
      <c r="P57" s="1354"/>
      <c r="Q57" s="1358"/>
      <c r="R57" s="995"/>
      <c r="S57" s="995"/>
      <c r="T57" s="995"/>
      <c r="U57" s="995"/>
      <c r="V57" s="995"/>
      <c r="W57" s="995"/>
      <c r="X57" s="995"/>
      <c r="Y57" s="995"/>
      <c r="Z57" s="995"/>
      <c r="AA57" s="995"/>
      <c r="AB57" s="995"/>
      <c r="AC57" s="995"/>
    </row>
    <row r="58" spans="1:29" ht="15">
      <c r="A58" s="1119"/>
      <c r="B58" s="1120"/>
      <c r="C58" s="1132"/>
      <c r="D58" s="1121"/>
      <c r="E58" s="1121"/>
      <c r="F58" s="1121"/>
      <c r="G58" s="1121"/>
      <c r="H58" s="1121"/>
      <c r="I58" s="1121"/>
      <c r="J58" s="1121"/>
      <c r="K58" s="1121"/>
      <c r="L58" s="1121"/>
      <c r="M58" s="1177"/>
      <c r="N58" s="1178"/>
      <c r="O58" s="1178"/>
      <c r="P58" s="1354"/>
      <c r="Q58" s="1358"/>
      <c r="R58" s="995"/>
      <c r="S58" s="995"/>
      <c r="T58" s="995"/>
      <c r="U58" s="995"/>
      <c r="V58" s="995"/>
      <c r="W58" s="995"/>
      <c r="X58" s="995"/>
      <c r="Y58" s="995"/>
      <c r="Z58" s="995"/>
      <c r="AA58" s="995"/>
      <c r="AB58" s="995"/>
      <c r="AC58" s="995"/>
    </row>
    <row r="59" spans="1:29" s="876" customFormat="1" ht="15">
      <c r="A59" s="1129"/>
      <c r="B59" s="1122">
        <f>B12</f>
        <v>111</v>
      </c>
      <c r="C59" s="926"/>
      <c r="D59" s="926"/>
      <c r="E59" s="926"/>
      <c r="F59" s="926"/>
      <c r="G59" s="1130"/>
      <c r="H59" s="1131"/>
      <c r="I59" s="1131"/>
      <c r="J59" s="1131"/>
      <c r="K59" s="1131"/>
      <c r="L59" s="1186"/>
      <c r="M59" s="1187"/>
      <c r="N59" s="1188"/>
      <c r="O59" s="1188"/>
      <c r="P59" s="1355"/>
      <c r="Q59" s="1361"/>
      <c r="R59" s="1362"/>
      <c r="S59" s="1362"/>
      <c r="T59" s="1362"/>
      <c r="U59" s="1362"/>
      <c r="V59" s="1362"/>
      <c r="W59" s="1362"/>
      <c r="X59" s="1362"/>
      <c r="Y59" s="1362"/>
      <c r="Z59" s="1362"/>
      <c r="AA59" s="1362"/>
      <c r="AB59" s="1362"/>
      <c r="AC59" s="1362"/>
    </row>
    <row r="60" spans="1:29" s="876" customFormat="1" ht="15">
      <c r="A60" s="1129"/>
      <c r="B60" s="1124"/>
      <c r="C60" s="1132"/>
      <c r="D60" s="1121"/>
      <c r="E60" s="1121"/>
      <c r="F60" s="1121"/>
      <c r="G60" s="1121"/>
      <c r="H60" s="1121"/>
      <c r="I60" s="1121"/>
      <c r="J60" s="1121"/>
      <c r="K60" s="1121"/>
      <c r="L60" s="1121"/>
      <c r="M60" s="1177"/>
      <c r="N60" s="1178"/>
      <c r="O60" s="1178"/>
      <c r="P60" s="1355"/>
      <c r="Q60" s="1361"/>
      <c r="R60" s="1362"/>
      <c r="S60" s="1362"/>
      <c r="T60" s="1362"/>
      <c r="U60" s="1362"/>
      <c r="V60" s="1362"/>
      <c r="W60" s="1362"/>
      <c r="X60" s="1362"/>
      <c r="Y60" s="1362"/>
      <c r="Z60" s="1362"/>
      <c r="AA60" s="1362"/>
      <c r="AB60" s="1362"/>
      <c r="AC60" s="1362"/>
    </row>
    <row r="61" spans="1:29" s="876" customFormat="1" ht="15">
      <c r="A61" s="1129"/>
      <c r="B61" s="1122">
        <f>B13</f>
        <v>111</v>
      </c>
      <c r="C61" s="1130"/>
      <c r="D61" s="1130"/>
      <c r="E61" s="1130"/>
      <c r="F61" s="1130"/>
      <c r="G61" s="1130"/>
      <c r="H61" s="1131"/>
      <c r="I61" s="1131"/>
      <c r="J61" s="1131"/>
      <c r="K61" s="1131"/>
      <c r="L61" s="1186"/>
      <c r="M61" s="1187"/>
      <c r="N61" s="1188"/>
      <c r="O61" s="1188"/>
      <c r="P61" s="1356"/>
      <c r="Q61" s="1363"/>
      <c r="R61" s="1362"/>
      <c r="S61" s="1362"/>
      <c r="T61" s="1362"/>
      <c r="U61" s="1362"/>
      <c r="V61" s="1362"/>
      <c r="W61" s="1362"/>
      <c r="X61" s="1362"/>
      <c r="Y61" s="1362"/>
      <c r="Z61" s="1362"/>
      <c r="AA61" s="1362"/>
      <c r="AB61" s="1362"/>
      <c r="AC61" s="1362"/>
    </row>
    <row r="62" spans="1:29" s="876" customFormat="1" ht="15">
      <c r="A62" s="1129"/>
      <c r="B62" s="1124"/>
      <c r="C62" s="1132"/>
      <c r="D62" s="1132"/>
      <c r="E62" s="1132"/>
      <c r="F62" s="1132"/>
      <c r="G62" s="1132"/>
      <c r="H62" s="1133"/>
      <c r="I62" s="1133"/>
      <c r="J62" s="1133"/>
      <c r="K62" s="1133"/>
      <c r="L62" s="1133"/>
      <c r="M62" s="1191"/>
      <c r="N62" s="1188"/>
      <c r="O62" s="1188"/>
      <c r="P62" s="1355"/>
      <c r="Q62" s="1361"/>
      <c r="R62" s="1362"/>
      <c r="S62" s="1362"/>
      <c r="T62" s="1362"/>
      <c r="U62" s="1362"/>
      <c r="V62" s="1362"/>
      <c r="W62" s="1362"/>
      <c r="X62" s="1362"/>
      <c r="Y62" s="1362"/>
      <c r="Z62" s="1362"/>
      <c r="AA62" s="1362"/>
      <c r="AB62" s="1362"/>
      <c r="AC62" s="1362"/>
    </row>
    <row r="63" spans="1:29">
      <c r="A63" s="1117" t="s">
        <v>949</v>
      </c>
      <c r="B63" s="1118" t="s">
        <v>663</v>
      </c>
      <c r="C63" s="1139" t="s">
        <v>994</v>
      </c>
      <c r="D63" s="1139" t="s">
        <v>995</v>
      </c>
      <c r="E63" s="1139" t="s">
        <v>996</v>
      </c>
      <c r="F63" s="1139" t="s">
        <v>997</v>
      </c>
      <c r="G63" s="1139" t="s">
        <v>998</v>
      </c>
      <c r="H63" s="1140"/>
      <c r="I63" s="1140"/>
      <c r="J63" s="1140"/>
      <c r="K63" s="1196"/>
      <c r="L63" s="1197"/>
      <c r="M63" s="1198"/>
      <c r="N63" s="1175"/>
      <c r="O63" s="1175"/>
      <c r="P63" s="1357"/>
      <c r="Q63" s="1358"/>
      <c r="R63" s="995"/>
      <c r="S63" s="995"/>
      <c r="T63" s="995"/>
      <c r="U63" s="995"/>
      <c r="V63" s="995"/>
      <c r="W63" s="995"/>
      <c r="X63" s="995"/>
      <c r="Y63" s="995"/>
      <c r="Z63" s="995"/>
      <c r="AA63" s="995"/>
      <c r="AB63" s="995"/>
      <c r="AC63" s="995"/>
    </row>
    <row r="64" spans="1:29" ht="15">
      <c r="A64" s="1119"/>
      <c r="B64" s="1124"/>
      <c r="C64" s="1125">
        <v>100</v>
      </c>
      <c r="D64" s="1125">
        <f>C64-$K14</f>
        <v>100</v>
      </c>
      <c r="E64" s="1125">
        <f>D64-$K14</f>
        <v>100</v>
      </c>
      <c r="F64" s="1125">
        <f>E64-$K14</f>
        <v>100</v>
      </c>
      <c r="G64" s="1125">
        <f>F64-$K14</f>
        <v>100</v>
      </c>
      <c r="H64" s="1125"/>
      <c r="I64" s="1125"/>
      <c r="J64" s="1125"/>
      <c r="K64" s="1125"/>
      <c r="L64" s="1125"/>
      <c r="M64" s="1182"/>
      <c r="N64" s="1178"/>
      <c r="O64" s="1178"/>
      <c r="P64" s="1354"/>
      <c r="Q64" s="1358"/>
      <c r="R64" s="995"/>
      <c r="S64" s="995"/>
      <c r="T64" s="995"/>
      <c r="U64" s="995"/>
      <c r="V64" s="995"/>
      <c r="W64" s="995"/>
      <c r="X64" s="995"/>
      <c r="Y64" s="995"/>
      <c r="Z64" s="995"/>
      <c r="AA64" s="995"/>
      <c r="AB64" s="995"/>
      <c r="AC64" s="995"/>
    </row>
    <row r="65" spans="1:29" ht="15">
      <c r="A65" s="1119"/>
      <c r="B65" s="1122" t="s">
        <v>667</v>
      </c>
      <c r="C65" s="1141" t="s">
        <v>994</v>
      </c>
      <c r="D65" s="1141" t="s">
        <v>995</v>
      </c>
      <c r="E65" s="1141" t="s">
        <v>996</v>
      </c>
      <c r="F65" s="1141" t="s">
        <v>997</v>
      </c>
      <c r="G65" s="1141" t="s">
        <v>998</v>
      </c>
      <c r="H65" s="1123"/>
      <c r="I65" s="1123"/>
      <c r="J65" s="1123"/>
      <c r="K65" s="1179"/>
      <c r="L65" s="1180"/>
      <c r="M65" s="1181"/>
      <c r="N65" s="1175"/>
      <c r="O65" s="1175"/>
      <c r="P65" s="1354"/>
      <c r="Q65" s="1358"/>
      <c r="R65" s="995"/>
      <c r="S65" s="995"/>
      <c r="T65" s="995"/>
      <c r="U65" s="995"/>
      <c r="V65" s="995"/>
      <c r="W65" s="995"/>
      <c r="X65" s="995"/>
      <c r="Y65" s="995"/>
      <c r="Z65" s="995"/>
      <c r="AA65" s="995"/>
      <c r="AB65" s="995"/>
      <c r="AC65" s="995"/>
    </row>
    <row r="66" spans="1:29" ht="15">
      <c r="A66" s="1119"/>
      <c r="B66" s="1124"/>
      <c r="C66" s="1125">
        <v>100</v>
      </c>
      <c r="D66" s="1125">
        <f>C66-$K16</f>
        <v>100</v>
      </c>
      <c r="E66" s="1125">
        <f>D66-$K16</f>
        <v>100</v>
      </c>
      <c r="F66" s="1125">
        <f>E66-$K16</f>
        <v>100</v>
      </c>
      <c r="G66" s="1125">
        <f>F66-$K16</f>
        <v>100</v>
      </c>
      <c r="H66" s="1125"/>
      <c r="I66" s="1125"/>
      <c r="J66" s="1125"/>
      <c r="K66" s="1125"/>
      <c r="L66" s="1125"/>
      <c r="M66" s="1182"/>
      <c r="N66" s="1178"/>
      <c r="O66" s="1178"/>
      <c r="P66" s="1354"/>
      <c r="Q66" s="1358"/>
      <c r="R66" s="995"/>
      <c r="S66" s="995"/>
      <c r="T66" s="995"/>
      <c r="U66" s="995"/>
      <c r="V66" s="995"/>
      <c r="W66" s="995"/>
      <c r="X66" s="995"/>
      <c r="Y66" s="995"/>
      <c r="Z66" s="995"/>
      <c r="AA66" s="995"/>
      <c r="AB66" s="995"/>
      <c r="AC66" s="995"/>
    </row>
    <row r="67" spans="1:29" ht="15">
      <c r="A67" s="1119"/>
      <c r="B67" s="1126" t="s">
        <v>669</v>
      </c>
      <c r="C67" s="1146" t="s">
        <v>999</v>
      </c>
      <c r="D67" s="1146" t="s">
        <v>1000</v>
      </c>
      <c r="E67" s="1146" t="s">
        <v>1001</v>
      </c>
      <c r="F67" s="1146" t="s">
        <v>1002</v>
      </c>
      <c r="G67" s="1146" t="s">
        <v>1003</v>
      </c>
      <c r="H67" s="1123"/>
      <c r="I67" s="1123"/>
      <c r="J67" s="1123"/>
      <c r="K67" s="1123"/>
      <c r="L67" s="1123"/>
      <c r="M67" s="1294"/>
      <c r="N67" s="1178"/>
      <c r="O67" s="1178"/>
      <c r="P67" s="1354"/>
      <c r="Q67" s="1358"/>
      <c r="R67" s="995"/>
      <c r="S67" s="995"/>
      <c r="T67" s="995"/>
      <c r="U67" s="995"/>
      <c r="V67" s="995"/>
      <c r="W67" s="995"/>
      <c r="X67" s="995"/>
      <c r="Y67" s="995"/>
      <c r="Z67" s="995"/>
      <c r="AA67" s="995"/>
      <c r="AB67" s="995"/>
      <c r="AC67" s="995"/>
    </row>
    <row r="68" spans="1:29" ht="15">
      <c r="A68" s="1119"/>
      <c r="B68" s="1126"/>
      <c r="C68" s="1125">
        <v>100</v>
      </c>
      <c r="D68" s="1125">
        <f>C68-$K18</f>
        <v>100</v>
      </c>
      <c r="E68" s="1125">
        <f>D68-$K18</f>
        <v>100</v>
      </c>
      <c r="F68" s="1125">
        <f>E68-$K18</f>
        <v>100</v>
      </c>
      <c r="G68" s="1125">
        <f>F68-$K18</f>
        <v>100</v>
      </c>
      <c r="H68" s="1146"/>
      <c r="I68" s="1146"/>
      <c r="J68" s="1146"/>
      <c r="K68" s="1146"/>
      <c r="L68" s="1146"/>
      <c r="M68" s="941"/>
      <c r="N68" s="1178"/>
      <c r="O68" s="1178"/>
      <c r="P68" s="1354"/>
      <c r="Q68" s="1358"/>
      <c r="R68" s="995"/>
      <c r="S68" s="995"/>
      <c r="T68" s="995"/>
      <c r="U68" s="995"/>
      <c r="V68" s="995"/>
      <c r="W68" s="995"/>
      <c r="X68" s="995"/>
      <c r="Y68" s="995"/>
      <c r="Z68" s="995"/>
      <c r="AA68" s="995"/>
      <c r="AB68" s="995"/>
      <c r="AC68" s="995"/>
    </row>
    <row r="69" spans="1:29" ht="15">
      <c r="A69" s="1119"/>
      <c r="B69" s="1122" t="s">
        <v>673</v>
      </c>
      <c r="C69" s="1141" t="s">
        <v>994</v>
      </c>
      <c r="D69" s="1141" t="s">
        <v>995</v>
      </c>
      <c r="E69" s="1141" t="s">
        <v>996</v>
      </c>
      <c r="F69" s="1141" t="s">
        <v>997</v>
      </c>
      <c r="G69" s="1141" t="s">
        <v>998</v>
      </c>
      <c r="H69" s="1123"/>
      <c r="I69" s="1123"/>
      <c r="J69" s="1123"/>
      <c r="K69" s="1179"/>
      <c r="L69" s="1180"/>
      <c r="M69" s="1181"/>
      <c r="N69" s="1175"/>
      <c r="O69" s="1175"/>
      <c r="P69" s="1354"/>
      <c r="Q69" s="1358"/>
      <c r="R69" s="995"/>
      <c r="S69" s="995"/>
      <c r="T69" s="995"/>
      <c r="U69" s="995"/>
      <c r="V69" s="995"/>
      <c r="W69" s="995"/>
      <c r="X69" s="995"/>
      <c r="Y69" s="995"/>
      <c r="Z69" s="995"/>
      <c r="AA69" s="995"/>
      <c r="AB69" s="995"/>
      <c r="AC69" s="995"/>
    </row>
    <row r="70" spans="1:29" ht="15">
      <c r="A70" s="1119"/>
      <c r="B70" s="1124"/>
      <c r="C70" s="1125">
        <v>100</v>
      </c>
      <c r="D70" s="1125">
        <f>C70-$K20</f>
        <v>100</v>
      </c>
      <c r="E70" s="1125">
        <f>D70-$K20</f>
        <v>100</v>
      </c>
      <c r="F70" s="1125">
        <f>E70-$K20</f>
        <v>100</v>
      </c>
      <c r="G70" s="1125">
        <f>F70-$K20</f>
        <v>100</v>
      </c>
      <c r="H70" s="1125"/>
      <c r="I70" s="1125"/>
      <c r="J70" s="1125"/>
      <c r="K70" s="1125"/>
      <c r="L70" s="1125"/>
      <c r="M70" s="1182"/>
      <c r="N70" s="1178"/>
      <c r="O70" s="1178"/>
      <c r="P70" s="1354"/>
      <c r="Q70" s="1358"/>
      <c r="R70" s="995"/>
      <c r="S70" s="995"/>
      <c r="T70" s="995"/>
      <c r="U70" s="995"/>
      <c r="V70" s="995"/>
      <c r="W70" s="995"/>
      <c r="X70" s="995"/>
      <c r="Y70" s="995"/>
      <c r="Z70" s="995"/>
      <c r="AA70" s="995"/>
      <c r="AB70" s="995"/>
      <c r="AC70" s="995"/>
    </row>
    <row r="71" spans="1:29" ht="15">
      <c r="A71" s="1119"/>
      <c r="B71" s="1122" t="s">
        <v>1486</v>
      </c>
      <c r="C71" s="1130"/>
      <c r="D71" s="1130"/>
      <c r="E71" s="1130"/>
      <c r="F71" s="1130"/>
      <c r="G71" s="1130"/>
      <c r="H71" s="1147"/>
      <c r="I71" s="1147"/>
      <c r="J71" s="1147"/>
      <c r="K71" s="1206"/>
      <c r="L71" s="1207"/>
      <c r="M71" s="1208"/>
      <c r="N71" s="1175"/>
      <c r="O71" s="1175"/>
      <c r="P71" s="1354"/>
      <c r="Q71" s="1358"/>
      <c r="R71" s="995"/>
      <c r="S71" s="995"/>
      <c r="T71" s="995"/>
      <c r="U71" s="995"/>
      <c r="V71" s="995"/>
      <c r="W71" s="995"/>
      <c r="X71" s="995"/>
      <c r="Y71" s="995"/>
      <c r="Z71" s="995"/>
      <c r="AA71" s="995"/>
      <c r="AB71" s="995"/>
      <c r="AC71" s="995"/>
    </row>
    <row r="72" spans="1:29" ht="15">
      <c r="A72" s="1119"/>
      <c r="B72" s="1124"/>
      <c r="C72" s="1125">
        <v>100</v>
      </c>
      <c r="D72" s="1125">
        <f>C72-$K22</f>
        <v>100</v>
      </c>
      <c r="E72" s="1125">
        <f>D72-$K22</f>
        <v>100</v>
      </c>
      <c r="F72" s="1125">
        <f>E72-$K22</f>
        <v>100</v>
      </c>
      <c r="G72" s="1125">
        <f>F72-$K22</f>
        <v>100</v>
      </c>
      <c r="H72" s="1125"/>
      <c r="I72" s="1125"/>
      <c r="J72" s="1125"/>
      <c r="K72" s="1125"/>
      <c r="L72" s="1125"/>
      <c r="M72" s="1182"/>
      <c r="N72" s="1178"/>
      <c r="O72" s="1178"/>
      <c r="P72" s="1354"/>
      <c r="Q72" s="1358"/>
      <c r="R72" s="995"/>
      <c r="S72" s="995"/>
      <c r="T72" s="995"/>
      <c r="U72" s="995"/>
      <c r="V72" s="995"/>
      <c r="W72" s="995"/>
      <c r="X72" s="995"/>
      <c r="Y72" s="995"/>
      <c r="Z72" s="995"/>
      <c r="AA72" s="995"/>
      <c r="AB72" s="995"/>
      <c r="AC72" s="995"/>
    </row>
    <row r="73" spans="1:29" s="874" customFormat="1" ht="15">
      <c r="A73" s="1142"/>
      <c r="B73" s="1122">
        <f>B23</f>
        <v>111</v>
      </c>
      <c r="C73" s="926"/>
      <c r="D73" s="926"/>
      <c r="E73" s="926"/>
      <c r="F73" s="926"/>
      <c r="G73" s="1130"/>
      <c r="H73" s="1130"/>
      <c r="I73" s="1130"/>
      <c r="J73" s="1130"/>
      <c r="K73" s="1130"/>
      <c r="L73" s="1295"/>
      <c r="M73" s="1296"/>
      <c r="N73" s="1169"/>
      <c r="O73" s="1169"/>
      <c r="P73" s="1354"/>
      <c r="Q73" s="1358"/>
      <c r="R73" s="1360"/>
      <c r="S73" s="1360"/>
      <c r="T73" s="1360"/>
      <c r="U73" s="1360"/>
      <c r="V73" s="1360"/>
      <c r="W73" s="1360"/>
      <c r="X73" s="1360"/>
      <c r="Y73" s="1360"/>
      <c r="Z73" s="1360"/>
      <c r="AA73" s="1360"/>
      <c r="AB73" s="1360"/>
      <c r="AC73" s="1360"/>
    </row>
    <row r="74" spans="1:29" s="874" customFormat="1" ht="15">
      <c r="A74" s="1142"/>
      <c r="B74" s="1124"/>
      <c r="C74" s="1132"/>
      <c r="D74" s="1121"/>
      <c r="E74" s="1121"/>
      <c r="F74" s="1121"/>
      <c r="G74" s="1121"/>
      <c r="H74" s="1121"/>
      <c r="I74" s="1121"/>
      <c r="J74" s="1121"/>
      <c r="K74" s="1121"/>
      <c r="L74" s="1121"/>
      <c r="M74" s="1177"/>
      <c r="N74" s="1178"/>
      <c r="O74" s="1178"/>
      <c r="P74" s="1354"/>
      <c r="Q74" s="1358"/>
      <c r="R74" s="1360"/>
      <c r="S74" s="1360"/>
      <c r="T74" s="1360"/>
      <c r="U74" s="1360"/>
      <c r="V74" s="1360"/>
      <c r="W74" s="1360"/>
      <c r="X74" s="1360"/>
      <c r="Y74" s="1360"/>
      <c r="Z74" s="1360"/>
      <c r="AA74" s="1360"/>
      <c r="AB74" s="1360"/>
      <c r="AC74" s="1360"/>
    </row>
    <row r="75" spans="1:29" s="874" customFormat="1" ht="15">
      <c r="A75" s="1142"/>
      <c r="B75" s="1122">
        <f>B24</f>
        <v>111</v>
      </c>
      <c r="C75" s="926"/>
      <c r="D75" s="926"/>
      <c r="E75" s="926"/>
      <c r="F75" s="926"/>
      <c r="G75" s="1130"/>
      <c r="H75" s="1130"/>
      <c r="I75" s="1130"/>
      <c r="J75" s="1130"/>
      <c r="K75" s="1130"/>
      <c r="L75" s="1130"/>
      <c r="M75" s="1296"/>
      <c r="N75" s="1169"/>
      <c r="O75" s="1169"/>
      <c r="P75" s="1354"/>
      <c r="Q75" s="1358"/>
      <c r="R75" s="1360"/>
      <c r="S75" s="1360"/>
      <c r="T75" s="1360"/>
      <c r="U75" s="1360"/>
      <c r="V75" s="1360"/>
      <c r="W75" s="1360"/>
      <c r="X75" s="1360"/>
      <c r="Y75" s="1360"/>
      <c r="Z75" s="1360"/>
      <c r="AA75" s="1360"/>
      <c r="AB75" s="1360"/>
      <c r="AC75" s="1360"/>
    </row>
    <row r="76" spans="1:29" s="874" customFormat="1" ht="15">
      <c r="A76" s="1142"/>
      <c r="B76" s="1124"/>
      <c r="C76" s="1132"/>
      <c r="D76" s="1121"/>
      <c r="E76" s="1121"/>
      <c r="F76" s="1121"/>
      <c r="G76" s="1121"/>
      <c r="H76" s="1121"/>
      <c r="I76" s="1121"/>
      <c r="J76" s="1121"/>
      <c r="K76" s="1121"/>
      <c r="L76" s="1121"/>
      <c r="M76" s="1177"/>
      <c r="N76" s="1178"/>
      <c r="O76" s="1178"/>
      <c r="P76" s="1354"/>
      <c r="Q76" s="1358"/>
      <c r="R76" s="1360"/>
      <c r="S76" s="1360"/>
      <c r="T76" s="1360"/>
      <c r="U76" s="1360"/>
      <c r="V76" s="1360"/>
      <c r="W76" s="1360"/>
      <c r="X76" s="1360"/>
      <c r="Y76" s="1360"/>
      <c r="Z76" s="1360"/>
      <c r="AA76" s="1360"/>
      <c r="AB76" s="1360"/>
      <c r="AC76" s="1360"/>
    </row>
    <row r="77" spans="1:29" s="876" customFormat="1" ht="15">
      <c r="A77" s="1129"/>
      <c r="B77" s="1122">
        <f>B25</f>
        <v>111</v>
      </c>
      <c r="C77" s="1130"/>
      <c r="D77" s="1130"/>
      <c r="E77" s="1130"/>
      <c r="F77" s="1130"/>
      <c r="G77" s="1130"/>
      <c r="H77" s="1131"/>
      <c r="I77" s="1131"/>
      <c r="J77" s="1131"/>
      <c r="K77" s="1131"/>
      <c r="L77" s="1186"/>
      <c r="M77" s="1187"/>
      <c r="N77" s="1188"/>
      <c r="O77" s="1188"/>
      <c r="P77" s="1355"/>
      <c r="Q77" s="1361"/>
      <c r="R77" s="1362"/>
      <c r="S77" s="1362"/>
      <c r="T77" s="1362"/>
      <c r="U77" s="1362"/>
      <c r="V77" s="1362"/>
      <c r="W77" s="1362"/>
      <c r="X77" s="1362"/>
      <c r="Y77" s="1362"/>
      <c r="Z77" s="1362"/>
      <c r="AA77" s="1362"/>
      <c r="AB77" s="1362"/>
      <c r="AC77" s="1362"/>
    </row>
    <row r="78" spans="1:29" s="876" customFormat="1" ht="15">
      <c r="A78" s="1129"/>
      <c r="B78" s="1124"/>
      <c r="C78" s="1132"/>
      <c r="D78" s="1132"/>
      <c r="E78" s="1132"/>
      <c r="F78" s="1132"/>
      <c r="G78" s="1121"/>
      <c r="H78" s="1121"/>
      <c r="I78" s="1121"/>
      <c r="J78" s="1121"/>
      <c r="K78" s="1121"/>
      <c r="L78" s="1121"/>
      <c r="M78" s="1177"/>
      <c r="N78" s="1188"/>
      <c r="O78" s="1188"/>
      <c r="P78" s="1355"/>
      <c r="Q78" s="1361"/>
      <c r="R78" s="1362"/>
      <c r="S78" s="1362"/>
      <c r="T78" s="1362"/>
      <c r="U78" s="1362"/>
      <c r="V78" s="1362"/>
      <c r="W78" s="1362"/>
      <c r="X78" s="1362"/>
      <c r="Y78" s="1362"/>
      <c r="Z78" s="1362"/>
      <c r="AA78" s="1362"/>
      <c r="AB78" s="1362"/>
      <c r="AC78" s="1362"/>
    </row>
    <row r="79" spans="1:29" ht="27">
      <c r="A79" s="1117" t="s">
        <v>952</v>
      </c>
      <c r="B79" s="1118" t="s">
        <v>1511</v>
      </c>
      <c r="C79" s="1140">
        <f>C26</f>
        <v>0</v>
      </c>
      <c r="D79" s="1051"/>
      <c r="E79" s="1051"/>
      <c r="F79" s="1051"/>
      <c r="G79" s="1051"/>
      <c r="H79" s="1051"/>
      <c r="I79" s="1051"/>
      <c r="J79" s="1051"/>
      <c r="K79" s="1172"/>
      <c r="L79" s="1173"/>
      <c r="M79" s="1174"/>
      <c r="N79" s="1175"/>
      <c r="O79" s="1175"/>
      <c r="P79" s="1354"/>
      <c r="Q79" s="1358"/>
      <c r="R79" s="995"/>
      <c r="S79" s="995"/>
      <c r="T79" s="995"/>
      <c r="U79" s="995"/>
      <c r="V79" s="995"/>
      <c r="W79" s="995"/>
      <c r="X79" s="995"/>
      <c r="Y79" s="995"/>
      <c r="Z79" s="995"/>
      <c r="AA79" s="995"/>
      <c r="AB79" s="995"/>
      <c r="AC79" s="995"/>
    </row>
    <row r="80" spans="1:29" ht="15">
      <c r="A80" s="1119"/>
      <c r="B80" s="1124"/>
      <c r="C80" s="1125">
        <v>100</v>
      </c>
      <c r="D80" s="1125">
        <f t="shared" ref="D80:M80" si="17">C80-$K26</f>
        <v>100</v>
      </c>
      <c r="E80" s="1125">
        <f t="shared" si="17"/>
        <v>100</v>
      </c>
      <c r="F80" s="1125">
        <f t="shared" si="17"/>
        <v>100</v>
      </c>
      <c r="G80" s="1125">
        <f t="shared" si="17"/>
        <v>100</v>
      </c>
      <c r="H80" s="1125">
        <f t="shared" si="17"/>
        <v>100</v>
      </c>
      <c r="I80" s="1125">
        <f t="shared" si="17"/>
        <v>100</v>
      </c>
      <c r="J80" s="1125">
        <f t="shared" si="17"/>
        <v>100</v>
      </c>
      <c r="K80" s="1125">
        <f t="shared" si="17"/>
        <v>100</v>
      </c>
      <c r="L80" s="1125">
        <f t="shared" si="17"/>
        <v>100</v>
      </c>
      <c r="M80" s="1182">
        <f t="shared" si="17"/>
        <v>100</v>
      </c>
      <c r="N80" s="1178"/>
      <c r="O80" s="1178"/>
      <c r="P80" s="1354"/>
      <c r="Q80" s="1358"/>
      <c r="R80" s="995"/>
      <c r="S80" s="995"/>
      <c r="T80" s="995"/>
      <c r="U80" s="995"/>
      <c r="V80" s="995"/>
      <c r="W80" s="995"/>
      <c r="X80" s="995"/>
      <c r="Y80" s="995"/>
      <c r="Z80" s="995"/>
      <c r="AA80" s="995"/>
      <c r="AB80" s="995"/>
      <c r="AC80" s="995"/>
    </row>
    <row r="81" spans="1:29" ht="15">
      <c r="A81" s="1119"/>
      <c r="B81" s="1122" t="s">
        <v>1503</v>
      </c>
      <c r="C81" s="1364"/>
      <c r="D81" s="1364"/>
      <c r="E81" s="1364"/>
      <c r="F81" s="1364"/>
      <c r="G81" s="1364"/>
      <c r="H81" s="1364"/>
      <c r="I81" s="1364"/>
      <c r="J81" s="1364"/>
      <c r="K81" s="1365"/>
      <c r="L81" s="1366"/>
      <c r="M81" s="1367"/>
      <c r="N81" s="1169"/>
      <c r="O81" s="1169"/>
      <c r="P81" s="1354"/>
      <c r="Q81" s="1358"/>
      <c r="R81" s="995"/>
      <c r="S81" s="995"/>
      <c r="T81" s="995"/>
      <c r="U81" s="995"/>
      <c r="V81" s="995"/>
      <c r="W81" s="995"/>
      <c r="X81" s="995"/>
      <c r="Y81" s="995"/>
      <c r="Z81" s="995"/>
      <c r="AA81" s="995"/>
      <c r="AB81" s="995"/>
      <c r="AC81" s="995"/>
    </row>
    <row r="82" spans="1:29" s="876" customFormat="1" ht="15">
      <c r="A82" s="1129"/>
      <c r="B82" s="1124"/>
      <c r="C82" s="1132"/>
      <c r="D82" s="1121"/>
      <c r="E82" s="1121"/>
      <c r="F82" s="1121"/>
      <c r="G82" s="1121"/>
      <c r="H82" s="1121"/>
      <c r="I82" s="1121"/>
      <c r="J82" s="1121"/>
      <c r="K82" s="1121"/>
      <c r="L82" s="1121"/>
      <c r="M82" s="1177"/>
      <c r="N82" s="1178"/>
      <c r="O82" s="1178"/>
      <c r="P82" s="1355"/>
      <c r="Q82" s="1361"/>
      <c r="R82" s="1362"/>
      <c r="S82" s="1362"/>
      <c r="T82" s="1362"/>
      <c r="U82" s="1362"/>
      <c r="V82" s="1362"/>
      <c r="W82" s="1362"/>
      <c r="X82" s="1362"/>
      <c r="Y82" s="1362"/>
      <c r="Z82" s="1362"/>
      <c r="AA82" s="1362"/>
      <c r="AB82" s="1362"/>
      <c r="AC82" s="1362"/>
    </row>
    <row r="83" spans="1:29">
      <c r="A83" s="1153"/>
      <c r="B83" s="1122" t="s">
        <v>1448</v>
      </c>
      <c r="C83" s="1130"/>
      <c r="D83" s="1130"/>
      <c r="E83" s="1147"/>
      <c r="F83" s="1147"/>
      <c r="G83" s="1147"/>
      <c r="H83" s="1147"/>
      <c r="I83" s="1147"/>
      <c r="J83" s="1147"/>
      <c r="K83" s="1206"/>
      <c r="L83" s="1207"/>
      <c r="M83" s="1208"/>
      <c r="N83" s="1175"/>
      <c r="O83" s="1175"/>
      <c r="P83" s="1354"/>
      <c r="Q83" s="1358"/>
      <c r="R83" s="995"/>
      <c r="S83" s="995"/>
      <c r="T83" s="995"/>
      <c r="U83" s="995"/>
      <c r="V83" s="995"/>
      <c r="W83" s="995"/>
      <c r="X83" s="995"/>
      <c r="Y83" s="995"/>
      <c r="Z83" s="995"/>
      <c r="AA83" s="995"/>
      <c r="AB83" s="995"/>
      <c r="AC83" s="995"/>
    </row>
    <row r="84" spans="1:29" ht="15">
      <c r="A84" s="1119"/>
      <c r="B84" s="1124"/>
      <c r="C84" s="1125">
        <v>100</v>
      </c>
      <c r="D84" s="1125">
        <f t="shared" ref="D84:M84" si="18">C84-$K28</f>
        <v>100</v>
      </c>
      <c r="E84" s="1125">
        <f t="shared" si="18"/>
        <v>100</v>
      </c>
      <c r="F84" s="1125">
        <f t="shared" si="18"/>
        <v>100</v>
      </c>
      <c r="G84" s="1125">
        <f t="shared" si="18"/>
        <v>100</v>
      </c>
      <c r="H84" s="1125">
        <f t="shared" si="18"/>
        <v>100</v>
      </c>
      <c r="I84" s="1125">
        <f t="shared" si="18"/>
        <v>100</v>
      </c>
      <c r="J84" s="1125">
        <f t="shared" si="18"/>
        <v>100</v>
      </c>
      <c r="K84" s="1125">
        <f t="shared" si="18"/>
        <v>100</v>
      </c>
      <c r="L84" s="1125">
        <f t="shared" si="18"/>
        <v>100</v>
      </c>
      <c r="M84" s="1182">
        <f t="shared" si="18"/>
        <v>100</v>
      </c>
      <c r="N84" s="1178"/>
      <c r="O84" s="1178"/>
      <c r="P84" s="1354"/>
      <c r="Q84" s="1358"/>
      <c r="R84" s="995"/>
      <c r="S84" s="995"/>
      <c r="T84" s="995"/>
      <c r="U84" s="995"/>
      <c r="V84" s="995"/>
      <c r="W84" s="995"/>
      <c r="X84" s="995"/>
      <c r="Y84" s="995"/>
      <c r="Z84" s="995"/>
      <c r="AA84" s="995"/>
      <c r="AB84" s="995"/>
      <c r="AC84" s="995"/>
    </row>
    <row r="85" spans="1:29">
      <c r="A85" s="1153"/>
      <c r="B85" s="1122" t="s">
        <v>1504</v>
      </c>
      <c r="C85" s="1141" t="str">
        <f>C86&amp;"(含)"&amp;"-"&amp;D86</f>
        <v>0.5(含)-0.6</v>
      </c>
      <c r="D85" s="1141" t="str">
        <f>D86&amp;"(含)"&amp;"-"&amp;E86</f>
        <v>0.6(含)-0.7</v>
      </c>
      <c r="E85" s="1141" t="str">
        <f>E86&amp;"(含)"&amp;"-"&amp;F86</f>
        <v>0.7(含)-0.8</v>
      </c>
      <c r="F85" s="1141" t="str">
        <f>F86&amp;"(含)"&amp;"-"&amp;G86</f>
        <v>0.8(含)-0.9</v>
      </c>
      <c r="G85" s="1141" t="str">
        <f>G86&amp;"(含)"&amp;"-"&amp;ROUND(H86,0)&amp;"(含)"</f>
        <v>0.9(含)-1(含)</v>
      </c>
      <c r="H85" s="1141"/>
      <c r="I85" s="1147"/>
      <c r="J85" s="1147"/>
      <c r="K85" s="1206"/>
      <c r="L85" s="1207"/>
      <c r="M85" s="1208"/>
      <c r="N85" s="1175"/>
      <c r="O85" s="1175"/>
      <c r="P85" s="1354"/>
      <c r="Q85" s="1358"/>
      <c r="R85" s="995"/>
      <c r="S85" s="995"/>
      <c r="T85" s="995"/>
      <c r="U85" s="995"/>
      <c r="V85" s="995"/>
      <c r="W85" s="995"/>
      <c r="X85" s="995"/>
      <c r="Y85" s="995"/>
      <c r="Z85" s="995"/>
      <c r="AA85" s="995"/>
      <c r="AB85" s="995"/>
      <c r="AC85" s="995"/>
    </row>
    <row r="86" spans="1:29">
      <c r="A86" s="1153"/>
      <c r="B86" s="1126"/>
      <c r="C86" s="809">
        <v>0.5</v>
      </c>
      <c r="D86" s="809">
        <v>0.6</v>
      </c>
      <c r="E86" s="809">
        <v>0.7</v>
      </c>
      <c r="F86" s="809">
        <v>0.8</v>
      </c>
      <c r="G86" s="809">
        <v>0.9</v>
      </c>
      <c r="H86" s="809">
        <v>1.0001</v>
      </c>
      <c r="I86" s="1368"/>
      <c r="J86" s="1368"/>
      <c r="K86" s="1369"/>
      <c r="L86" s="1370"/>
      <c r="M86" s="1371"/>
      <c r="N86" s="1175"/>
      <c r="O86" s="1175"/>
      <c r="P86" s="1354"/>
      <c r="Q86" s="1358"/>
      <c r="R86" s="995"/>
      <c r="S86" s="995"/>
      <c r="T86" s="995"/>
      <c r="U86" s="995"/>
      <c r="V86" s="995"/>
      <c r="W86" s="995"/>
      <c r="X86" s="995"/>
      <c r="Y86" s="995"/>
      <c r="Z86" s="995"/>
      <c r="AA86" s="995"/>
      <c r="AB86" s="995"/>
      <c r="AC86" s="995"/>
    </row>
    <row r="87" spans="1:29" ht="15">
      <c r="A87" s="1119"/>
      <c r="B87" s="1124"/>
      <c r="C87" s="1143">
        <v>100</v>
      </c>
      <c r="D87" s="1125">
        <f>C87+$K$29</f>
        <v>100</v>
      </c>
      <c r="E87" s="1125">
        <f t="shared" ref="E87:M87" si="19">D87+$K$29</f>
        <v>100</v>
      </c>
      <c r="F87" s="1125">
        <f t="shared" si="19"/>
        <v>100</v>
      </c>
      <c r="G87" s="1125">
        <f t="shared" si="19"/>
        <v>100</v>
      </c>
      <c r="H87" s="1125">
        <f t="shared" si="19"/>
        <v>100</v>
      </c>
      <c r="I87" s="1125">
        <f t="shared" si="19"/>
        <v>100</v>
      </c>
      <c r="J87" s="1125">
        <f t="shared" si="19"/>
        <v>100</v>
      </c>
      <c r="K87" s="1125">
        <f t="shared" si="19"/>
        <v>100</v>
      </c>
      <c r="L87" s="1125">
        <f t="shared" si="19"/>
        <v>100</v>
      </c>
      <c r="M87" s="1125">
        <f t="shared" si="19"/>
        <v>100</v>
      </c>
      <c r="N87" s="1178"/>
      <c r="O87" s="1178"/>
      <c r="P87" s="1354"/>
      <c r="Q87" s="1358"/>
      <c r="R87" s="995"/>
      <c r="S87" s="995"/>
      <c r="T87" s="995"/>
      <c r="U87" s="995"/>
      <c r="V87" s="995"/>
      <c r="W87" s="995"/>
      <c r="X87" s="995"/>
      <c r="Y87" s="995"/>
      <c r="Z87" s="995"/>
      <c r="AA87" s="995"/>
      <c r="AB87" s="995"/>
      <c r="AC87" s="995"/>
    </row>
    <row r="88" spans="1:29">
      <c r="A88" s="1153"/>
      <c r="B88" s="1126" t="s">
        <v>1505</v>
      </c>
      <c r="C88" s="1051"/>
      <c r="D88" s="1051"/>
      <c r="E88" s="1051"/>
      <c r="F88" s="1051"/>
      <c r="G88" s="1051"/>
      <c r="H88" s="1051"/>
      <c r="I88" s="1051"/>
      <c r="J88" s="1051"/>
      <c r="K88" s="1172"/>
      <c r="L88" s="1173"/>
      <c r="M88" s="1174"/>
      <c r="N88" s="1175"/>
      <c r="O88" s="1175"/>
      <c r="P88" s="1354"/>
      <c r="Q88" s="1358"/>
      <c r="R88" s="995"/>
      <c r="S88" s="995"/>
      <c r="T88" s="995"/>
      <c r="U88" s="995"/>
      <c r="V88" s="995"/>
      <c r="W88" s="995"/>
      <c r="X88" s="995"/>
      <c r="Y88" s="995"/>
      <c r="Z88" s="995"/>
      <c r="AA88" s="995"/>
      <c r="AB88" s="995"/>
      <c r="AC88" s="995"/>
    </row>
    <row r="89" spans="1:29" ht="15">
      <c r="A89" s="1119"/>
      <c r="B89" s="1124"/>
      <c r="C89" s="1143">
        <v>100</v>
      </c>
      <c r="D89" s="1125">
        <f t="shared" ref="D89:M89" si="20">C89+$K30</f>
        <v>100</v>
      </c>
      <c r="E89" s="1125">
        <f t="shared" si="20"/>
        <v>100</v>
      </c>
      <c r="F89" s="1125">
        <f t="shared" si="20"/>
        <v>100</v>
      </c>
      <c r="G89" s="1125">
        <f t="shared" si="20"/>
        <v>100</v>
      </c>
      <c r="H89" s="1125">
        <f t="shared" si="20"/>
        <v>100</v>
      </c>
      <c r="I89" s="1125">
        <f t="shared" si="20"/>
        <v>100</v>
      </c>
      <c r="J89" s="1125">
        <f t="shared" si="20"/>
        <v>100</v>
      </c>
      <c r="K89" s="1125">
        <f t="shared" si="20"/>
        <v>100</v>
      </c>
      <c r="L89" s="1125">
        <f t="shared" si="20"/>
        <v>100</v>
      </c>
      <c r="M89" s="1125">
        <f t="shared" si="20"/>
        <v>100</v>
      </c>
      <c r="N89" s="1178"/>
      <c r="O89" s="1178"/>
      <c r="P89" s="1354"/>
      <c r="Q89" s="1358"/>
      <c r="R89" s="995"/>
      <c r="S89" s="995"/>
      <c r="T89" s="995"/>
      <c r="U89" s="995"/>
      <c r="V89" s="995"/>
      <c r="W89" s="995"/>
      <c r="X89" s="995"/>
      <c r="Y89" s="995"/>
      <c r="Z89" s="995"/>
      <c r="AA89" s="995"/>
      <c r="AB89" s="995"/>
      <c r="AC89" s="995"/>
    </row>
    <row r="90" spans="1:29" s="876" customFormat="1">
      <c r="A90" s="1150"/>
      <c r="B90" s="1122" t="s">
        <v>1506</v>
      </c>
      <c r="C90" s="1141" t="str">
        <f>C91&amp;"(含)"&amp;"-"&amp;D91</f>
        <v>(含)-</v>
      </c>
      <c r="D90" s="1141" t="str">
        <f t="shared" ref="D90:L90" si="21">D91&amp;"(含)"&amp;"-"&amp;E91</f>
        <v>(含)-</v>
      </c>
      <c r="E90" s="1141" t="str">
        <f t="shared" si="21"/>
        <v>(含)-</v>
      </c>
      <c r="F90" s="1141" t="str">
        <f t="shared" si="21"/>
        <v>(含)-</v>
      </c>
      <c r="G90" s="1141" t="str">
        <f t="shared" si="21"/>
        <v>(含)-</v>
      </c>
      <c r="H90" s="1141" t="str">
        <f t="shared" si="21"/>
        <v>(含)-</v>
      </c>
      <c r="I90" s="1141" t="str">
        <f t="shared" si="21"/>
        <v>(含)-</v>
      </c>
      <c r="J90" s="1141" t="str">
        <f t="shared" si="21"/>
        <v>(含)-</v>
      </c>
      <c r="K90" s="1141" t="str">
        <f t="shared" si="21"/>
        <v>(含)-</v>
      </c>
      <c r="L90" s="1141" t="str">
        <f t="shared" si="21"/>
        <v>(含)-</v>
      </c>
      <c r="M90" s="1201" t="str">
        <f>M91&amp;"(含)"&amp;"-"&amp;P91</f>
        <v>(含)-</v>
      </c>
      <c r="N90" s="1188"/>
      <c r="O90" s="1188"/>
      <c r="P90" s="1355"/>
      <c r="Q90" s="1361"/>
      <c r="R90" s="1362"/>
      <c r="S90" s="1362"/>
      <c r="T90" s="1362"/>
      <c r="U90" s="1362"/>
      <c r="V90" s="1362"/>
      <c r="W90" s="1362"/>
      <c r="X90" s="1362"/>
      <c r="Y90" s="1362"/>
      <c r="Z90" s="1362"/>
      <c r="AA90" s="1362"/>
      <c r="AB90" s="1362"/>
      <c r="AC90" s="1362"/>
    </row>
    <row r="91" spans="1:29" s="876" customFormat="1">
      <c r="A91" s="1150"/>
      <c r="B91" s="1126"/>
      <c r="C91" s="1106"/>
      <c r="D91" s="1106"/>
      <c r="E91" s="1106"/>
      <c r="F91" s="1106"/>
      <c r="G91" s="1106"/>
      <c r="H91" s="1106"/>
      <c r="I91" s="1106"/>
      <c r="J91" s="1213"/>
      <c r="K91" s="1213"/>
      <c r="L91" s="1214"/>
      <c r="M91" s="1215"/>
      <c r="N91" s="1188"/>
      <c r="O91" s="1188"/>
      <c r="P91" s="1355"/>
      <c r="Q91" s="1361"/>
      <c r="R91" s="1362"/>
      <c r="S91" s="1362"/>
      <c r="T91" s="1362"/>
      <c r="U91" s="1362"/>
      <c r="V91" s="1362"/>
      <c r="W91" s="1362"/>
      <c r="X91" s="1362"/>
      <c r="Y91" s="1362"/>
      <c r="Z91" s="1362"/>
      <c r="AA91" s="1362"/>
      <c r="AB91" s="1362"/>
      <c r="AC91" s="1362"/>
    </row>
    <row r="92" spans="1:29" s="876" customFormat="1" ht="15">
      <c r="A92" s="1129"/>
      <c r="B92" s="1124"/>
      <c r="C92" s="1132"/>
      <c r="D92" s="1121"/>
      <c r="E92" s="1121"/>
      <c r="F92" s="1121"/>
      <c r="G92" s="1121"/>
      <c r="H92" s="1121"/>
      <c r="I92" s="1121"/>
      <c r="J92" s="1121"/>
      <c r="K92" s="1121"/>
      <c r="L92" s="1121"/>
      <c r="M92" s="1177"/>
      <c r="N92" s="1188"/>
      <c r="O92" s="1188"/>
      <c r="P92" s="1355"/>
      <c r="Q92" s="1361"/>
      <c r="R92" s="1362"/>
      <c r="S92" s="1362"/>
      <c r="T92" s="1362"/>
      <c r="U92" s="1362"/>
      <c r="V92" s="1362"/>
      <c r="W92" s="1362"/>
      <c r="X92" s="1362"/>
      <c r="Y92" s="1362"/>
      <c r="Z92" s="1362"/>
      <c r="AA92" s="1362"/>
      <c r="AB92" s="1362"/>
      <c r="AC92" s="1362"/>
    </row>
    <row r="93" spans="1:29">
      <c r="A93" s="1153"/>
      <c r="B93" s="1122" t="s">
        <v>1507</v>
      </c>
      <c r="C93" s="1130"/>
      <c r="D93" s="1130"/>
      <c r="E93" s="1147"/>
      <c r="F93" s="1147"/>
      <c r="G93" s="1147"/>
      <c r="H93" s="1147"/>
      <c r="I93" s="1147"/>
      <c r="J93" s="1147"/>
      <c r="K93" s="1206"/>
      <c r="L93" s="1207"/>
      <c r="M93" s="1208"/>
      <c r="N93" s="1175"/>
      <c r="O93" s="1175"/>
      <c r="P93" s="1354"/>
      <c r="Q93" s="1358"/>
      <c r="R93" s="995"/>
      <c r="S93" s="995"/>
      <c r="T93" s="995"/>
      <c r="U93" s="995"/>
      <c r="V93" s="995"/>
      <c r="W93" s="995"/>
      <c r="X93" s="995"/>
      <c r="Y93" s="995"/>
      <c r="Z93" s="995"/>
      <c r="AA93" s="995"/>
      <c r="AB93" s="995"/>
      <c r="AC93" s="995"/>
    </row>
    <row r="94" spans="1:29" ht="15">
      <c r="A94" s="1119"/>
      <c r="B94" s="1124"/>
      <c r="C94" s="1125">
        <v>100</v>
      </c>
      <c r="D94" s="1125">
        <f t="shared" ref="D94:M94" si="22">C94-$K32</f>
        <v>100</v>
      </c>
      <c r="E94" s="1125">
        <f t="shared" si="22"/>
        <v>100</v>
      </c>
      <c r="F94" s="1125">
        <f t="shared" si="22"/>
        <v>100</v>
      </c>
      <c r="G94" s="1125">
        <f t="shared" si="22"/>
        <v>100</v>
      </c>
      <c r="H94" s="1125">
        <f t="shared" si="22"/>
        <v>100</v>
      </c>
      <c r="I94" s="1125">
        <f t="shared" si="22"/>
        <v>100</v>
      </c>
      <c r="J94" s="1125">
        <f t="shared" si="22"/>
        <v>100</v>
      </c>
      <c r="K94" s="1125">
        <f t="shared" si="22"/>
        <v>100</v>
      </c>
      <c r="L94" s="1125">
        <f t="shared" si="22"/>
        <v>100</v>
      </c>
      <c r="M94" s="1182">
        <f t="shared" si="22"/>
        <v>100</v>
      </c>
      <c r="N94" s="1178"/>
      <c r="O94" s="1178"/>
      <c r="P94" s="1354"/>
      <c r="Q94" s="1358"/>
      <c r="R94" s="995"/>
      <c r="S94" s="995"/>
      <c r="T94" s="995"/>
      <c r="U94" s="995"/>
      <c r="V94" s="995"/>
      <c r="W94" s="995"/>
      <c r="X94" s="995"/>
      <c r="Y94" s="995"/>
      <c r="Z94" s="995"/>
      <c r="AA94" s="995"/>
      <c r="AB94" s="995"/>
      <c r="AC94" s="995"/>
    </row>
    <row r="95" spans="1:29">
      <c r="A95" s="1153"/>
      <c r="B95" s="1122" t="s">
        <v>1508</v>
      </c>
      <c r="C95" s="1051"/>
      <c r="D95" s="1051"/>
      <c r="E95" s="1051"/>
      <c r="F95" s="1051"/>
      <c r="G95" s="1051"/>
      <c r="H95" s="1051"/>
      <c r="I95" s="1051"/>
      <c r="J95" s="1051"/>
      <c r="K95" s="1172"/>
      <c r="L95" s="1173"/>
      <c r="M95" s="1174"/>
      <c r="N95" s="1175"/>
      <c r="O95" s="1175"/>
      <c r="P95" s="1354"/>
      <c r="Q95" s="1358"/>
      <c r="R95" s="995"/>
      <c r="S95" s="995"/>
      <c r="T95" s="995"/>
      <c r="U95" s="995"/>
      <c r="V95" s="995"/>
      <c r="W95" s="995"/>
      <c r="X95" s="995"/>
      <c r="Y95" s="995"/>
      <c r="Z95" s="995"/>
      <c r="AA95" s="995"/>
      <c r="AB95" s="995"/>
      <c r="AC95" s="995"/>
    </row>
    <row r="96" spans="1:29" ht="15">
      <c r="A96" s="1119"/>
      <c r="B96" s="1124"/>
      <c r="C96" s="1125">
        <v>100</v>
      </c>
      <c r="D96" s="1125">
        <f>C96-$K33</f>
        <v>100</v>
      </c>
      <c r="E96" s="1125">
        <f>D96-$K33</f>
        <v>100</v>
      </c>
      <c r="F96" s="1125">
        <f>E96-$K33</f>
        <v>100</v>
      </c>
      <c r="G96" s="1125">
        <f>F96-$K33</f>
        <v>100</v>
      </c>
      <c r="H96" s="1125"/>
      <c r="I96" s="1125"/>
      <c r="J96" s="1125"/>
      <c r="K96" s="1125"/>
      <c r="L96" s="1125"/>
      <c r="M96" s="1182"/>
      <c r="N96" s="1178"/>
      <c r="O96" s="1178"/>
      <c r="P96" s="1354"/>
      <c r="Q96" s="1358"/>
      <c r="R96" s="995"/>
      <c r="S96" s="995"/>
      <c r="T96" s="995"/>
      <c r="U96" s="995"/>
      <c r="V96" s="995"/>
      <c r="W96" s="995"/>
      <c r="X96" s="995"/>
      <c r="Y96" s="995"/>
      <c r="Z96" s="995"/>
      <c r="AA96" s="995"/>
      <c r="AB96" s="995"/>
      <c r="AC96" s="995"/>
    </row>
    <row r="97" spans="1:29">
      <c r="A97" s="1153"/>
      <c r="B97" s="1292">
        <f>B34</f>
        <v>111</v>
      </c>
      <c r="C97" s="926"/>
      <c r="D97" s="926"/>
      <c r="E97" s="926"/>
      <c r="F97" s="926"/>
      <c r="G97" s="1130"/>
      <c r="H97" s="1131"/>
      <c r="I97" s="1131"/>
      <c r="J97" s="1131"/>
      <c r="K97" s="1131"/>
      <c r="L97" s="1186"/>
      <c r="M97" s="1187"/>
      <c r="N97" s="1178"/>
      <c r="O97" s="1178"/>
      <c r="P97" s="1372"/>
      <c r="Q97" s="1373"/>
      <c r="R97" s="995"/>
      <c r="S97" s="995"/>
      <c r="T97" s="995"/>
      <c r="U97" s="995"/>
      <c r="V97" s="995"/>
      <c r="W97" s="995"/>
      <c r="X97" s="995"/>
      <c r="Y97" s="995"/>
      <c r="Z97" s="995"/>
      <c r="AA97" s="995"/>
      <c r="AB97" s="995"/>
      <c r="AC97" s="995"/>
    </row>
    <row r="98" spans="1:29" ht="15">
      <c r="A98" s="1119"/>
      <c r="B98" s="1124"/>
      <c r="C98" s="1132"/>
      <c r="D98" s="1121"/>
      <c r="E98" s="1121"/>
      <c r="F98" s="1121"/>
      <c r="G98" s="1132"/>
      <c r="H98" s="1133"/>
      <c r="I98" s="1133"/>
      <c r="J98" s="1133"/>
      <c r="K98" s="1133"/>
      <c r="L98" s="1133"/>
      <c r="M98" s="1191"/>
      <c r="N98" s="1178"/>
      <c r="O98" s="1178"/>
      <c r="P98" s="1354"/>
      <c r="Q98" s="1358"/>
      <c r="R98" s="995"/>
      <c r="S98" s="995"/>
      <c r="T98" s="995"/>
      <c r="U98" s="995"/>
      <c r="V98" s="995"/>
      <c r="W98" s="995"/>
      <c r="X98" s="995"/>
      <c r="Y98" s="995"/>
      <c r="Z98" s="995"/>
      <c r="AA98" s="995"/>
      <c r="AB98" s="995"/>
      <c r="AC98" s="995"/>
    </row>
    <row r="99" spans="1:29" s="876" customFormat="1">
      <c r="A99" s="1150"/>
      <c r="B99" s="1122">
        <f>B35</f>
        <v>111</v>
      </c>
      <c r="C99" s="926"/>
      <c r="D99" s="926"/>
      <c r="E99" s="926"/>
      <c r="F99" s="926"/>
      <c r="G99" s="1130"/>
      <c r="H99" s="1131"/>
      <c r="I99" s="1131"/>
      <c r="J99" s="1131"/>
      <c r="K99" s="1131"/>
      <c r="L99" s="1186"/>
      <c r="M99" s="1187"/>
      <c r="N99" s="1188"/>
      <c r="O99" s="1188"/>
      <c r="P99" s="1355"/>
      <c r="Q99" s="1361"/>
      <c r="R99" s="1362"/>
      <c r="S99" s="1362"/>
      <c r="T99" s="1362"/>
      <c r="U99" s="1362"/>
      <c r="V99" s="1362"/>
      <c r="W99" s="1362"/>
      <c r="X99" s="1362"/>
      <c r="Y99" s="1362"/>
      <c r="Z99" s="1362"/>
      <c r="AA99" s="1362"/>
      <c r="AB99" s="1362"/>
      <c r="AC99" s="1362"/>
    </row>
    <row r="100" spans="1:29" s="876" customFormat="1" ht="15">
      <c r="A100" s="1129"/>
      <c r="B100" s="1120"/>
      <c r="C100" s="1132"/>
      <c r="D100" s="1121"/>
      <c r="E100" s="1121"/>
      <c r="F100" s="1121"/>
      <c r="G100" s="1132"/>
      <c r="H100" s="1133"/>
      <c r="I100" s="1133"/>
      <c r="J100" s="1133"/>
      <c r="K100" s="1133"/>
      <c r="L100" s="1133"/>
      <c r="M100" s="1191"/>
      <c r="N100" s="1188"/>
      <c r="O100" s="1188"/>
      <c r="P100" s="1355"/>
      <c r="Q100" s="1361"/>
      <c r="R100" s="1362"/>
      <c r="S100" s="1362"/>
      <c r="T100" s="1362"/>
      <c r="U100" s="1362"/>
      <c r="V100" s="1362"/>
      <c r="W100" s="1362"/>
      <c r="X100" s="1362"/>
      <c r="Y100" s="1362"/>
      <c r="Z100" s="1362"/>
      <c r="AA100" s="1362"/>
      <c r="AB100" s="1362"/>
      <c r="AC100" s="1362"/>
    </row>
    <row r="101" spans="1:29">
      <c r="A101" s="1153"/>
      <c r="B101" s="1122">
        <f>B36</f>
        <v>111</v>
      </c>
      <c r="C101" s="1130"/>
      <c r="D101" s="1130"/>
      <c r="E101" s="1130"/>
      <c r="F101" s="1130"/>
      <c r="G101" s="1130"/>
      <c r="H101" s="1131"/>
      <c r="I101" s="1131"/>
      <c r="J101" s="1131"/>
      <c r="K101" s="1131"/>
      <c r="L101" s="1186"/>
      <c r="M101" s="1187"/>
      <c r="N101" s="1175"/>
      <c r="O101" s="1175"/>
      <c r="P101" s="1354"/>
      <c r="Q101" s="1358"/>
      <c r="R101" s="995"/>
      <c r="S101" s="995"/>
      <c r="T101" s="995"/>
      <c r="U101" s="995"/>
      <c r="V101" s="995"/>
      <c r="W101" s="995"/>
      <c r="X101" s="995"/>
      <c r="Y101" s="995"/>
      <c r="Z101" s="995"/>
      <c r="AA101" s="995"/>
      <c r="AB101" s="995"/>
      <c r="AC101" s="995"/>
    </row>
    <row r="102" spans="1:29" ht="15">
      <c r="A102" s="1119"/>
      <c r="B102" s="1124"/>
      <c r="C102" s="1132"/>
      <c r="D102" s="1132"/>
      <c r="E102" s="1132"/>
      <c r="F102" s="1132"/>
      <c r="G102" s="1132"/>
      <c r="H102" s="1133"/>
      <c r="I102" s="1133"/>
      <c r="J102" s="1133"/>
      <c r="K102" s="1133"/>
      <c r="L102" s="1133"/>
      <c r="M102" s="1191"/>
      <c r="N102" s="1178"/>
      <c r="O102" s="1178"/>
      <c r="P102" s="1354"/>
      <c r="Q102" s="1358"/>
      <c r="R102" s="995"/>
      <c r="S102" s="995"/>
      <c r="T102" s="995"/>
      <c r="U102" s="995"/>
      <c r="V102" s="995"/>
      <c r="W102" s="995"/>
      <c r="X102" s="995"/>
      <c r="Y102" s="995"/>
      <c r="Z102" s="995"/>
      <c r="AA102" s="995"/>
      <c r="AB102" s="995"/>
      <c r="AC102" s="9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20" customFormat="1" ht="28.5" customHeight="1">
      <c r="A1" s="1221" t="s">
        <v>1500</v>
      </c>
      <c r="B1" s="1222"/>
      <c r="C1" s="1223" t="s">
        <v>1436</v>
      </c>
      <c r="D1" s="1224"/>
      <c r="E1" s="1225"/>
      <c r="F1" s="1226"/>
      <c r="G1" s="1227" t="s">
        <v>924</v>
      </c>
      <c r="H1" s="1225"/>
      <c r="I1" s="1225"/>
      <c r="J1" s="1225"/>
      <c r="K1" s="1280"/>
      <c r="L1" s="1281"/>
      <c r="M1" s="1282"/>
      <c r="N1" s="1282"/>
      <c r="O1" s="1282"/>
      <c r="P1" s="1223"/>
      <c r="Q1" s="1223"/>
      <c r="R1" s="1223"/>
      <c r="S1" s="1223"/>
      <c r="T1" s="1223"/>
      <c r="U1" s="1223"/>
      <c r="V1" s="1223"/>
      <c r="W1" s="1223"/>
      <c r="X1" s="1223"/>
      <c r="Y1" s="1223"/>
      <c r="Z1" s="1223"/>
      <c r="AA1" s="1223"/>
      <c r="AB1" s="1223"/>
      <c r="AC1" s="1291"/>
    </row>
    <row r="2" spans="1:29" s="873" customFormat="1" ht="28.5" customHeight="1">
      <c r="A2" s="1228" t="s">
        <v>925</v>
      </c>
      <c r="B2" s="1229" t="e">
        <f ca="1">IF(C2="——",ROUND(C37*D3/10000,0),ROUND(C37*D3/10000,0)-D2)</f>
        <v>#DIV/0!</v>
      </c>
      <c r="C2" s="1230"/>
      <c r="D2" s="889" t="e">
        <f ca="1">SUMIF(INDIRECT("'"&amp;F2&amp;"'"&amp;"!A:A"),"承租人权益价值",INDIRECT("'"&amp;F2&amp;"'"&amp;"!c:c"))</f>
        <v>#REF!</v>
      </c>
      <c r="E2" s="1231" t="s">
        <v>1011</v>
      </c>
      <c r="F2" s="1232"/>
      <c r="G2" s="890"/>
      <c r="H2" s="890"/>
      <c r="I2" s="890"/>
      <c r="J2" s="890"/>
      <c r="K2" s="1025"/>
      <c r="L2" s="1026"/>
      <c r="M2" s="1027"/>
      <c r="N2" s="1027"/>
      <c r="O2" s="1027"/>
      <c r="P2" s="1024"/>
      <c r="Q2" s="1024"/>
      <c r="R2" s="1024"/>
      <c r="S2" s="1024"/>
      <c r="T2" s="1024"/>
      <c r="U2" s="1024"/>
      <c r="V2" s="1024"/>
      <c r="W2" s="1024"/>
      <c r="X2" s="1024"/>
      <c r="Y2" s="1024"/>
      <c r="Z2" s="1024"/>
      <c r="AA2" s="1024"/>
      <c r="AB2" s="1024"/>
      <c r="AC2" s="1082"/>
    </row>
    <row r="3" spans="1:29" s="873" customFormat="1" ht="28.5" customHeight="1">
      <c r="A3" s="147" t="s">
        <v>926</v>
      </c>
      <c r="B3" s="892" t="e">
        <f ca="1">IF(C2="——",C37,ROUND(B2*10000/D3,0))</f>
        <v>#DIV/0!</v>
      </c>
      <c r="C3" s="1233" t="s">
        <v>927</v>
      </c>
      <c r="D3" s="1234">
        <f>SUMIF('数据-汇总表'!$C19:$C33,D1,'数据-汇总表'!$E19:$E33)</f>
        <v>0</v>
      </c>
      <c r="E3" s="890"/>
      <c r="F3" s="891"/>
      <c r="G3" s="890"/>
      <c r="H3" s="890"/>
      <c r="I3" s="890"/>
      <c r="J3" s="890"/>
      <c r="K3" s="1025"/>
      <c r="L3" s="1026"/>
      <c r="M3" s="1027"/>
      <c r="N3" s="1027"/>
      <c r="O3" s="1027"/>
      <c r="P3" s="1024"/>
      <c r="Q3" s="1024"/>
      <c r="R3" s="1024"/>
      <c r="S3" s="1024"/>
      <c r="T3" s="1024"/>
      <c r="U3" s="1024"/>
      <c r="V3" s="1024"/>
      <c r="W3" s="1024"/>
      <c r="X3" s="1024"/>
      <c r="Y3" s="1024"/>
      <c r="Z3" s="1024"/>
      <c r="AA3" s="1024"/>
      <c r="AB3" s="1084"/>
      <c r="AC3" s="1085"/>
    </row>
    <row r="4" spans="1:29"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6" t="s">
        <v>931</v>
      </c>
      <c r="AC4" s="3195" t="s">
        <v>932</v>
      </c>
    </row>
    <row r="5" spans="1:29" ht="15">
      <c r="A5" s="896"/>
      <c r="B5" s="897"/>
      <c r="C5" s="3171" t="s">
        <v>935</v>
      </c>
      <c r="D5" s="3172"/>
      <c r="E5" s="3173" t="s">
        <v>1438</v>
      </c>
      <c r="F5" s="3174"/>
      <c r="G5" s="3171" t="s">
        <v>1439</v>
      </c>
      <c r="H5" s="3172"/>
      <c r="I5" s="3171" t="s">
        <v>1440</v>
      </c>
      <c r="J5" s="3172"/>
      <c r="K5" s="1028"/>
      <c r="L5" s="1029"/>
      <c r="M5" s="1030"/>
      <c r="N5" s="1030"/>
      <c r="O5" s="1030"/>
      <c r="P5" s="3200"/>
      <c r="Q5" s="3201"/>
      <c r="R5" s="3206"/>
      <c r="S5" s="3207"/>
      <c r="T5" s="3206"/>
      <c r="U5" s="3207"/>
      <c r="V5" s="3183"/>
      <c r="W5" s="3183"/>
      <c r="X5" s="1070"/>
      <c r="Y5" s="3206"/>
      <c r="Z5" s="3207"/>
      <c r="AA5" s="3196"/>
      <c r="AB5" s="3196"/>
      <c r="AC5" s="3196"/>
    </row>
    <row r="6" spans="1:29" ht="15">
      <c r="A6" s="898"/>
      <c r="B6" s="899"/>
      <c r="C6" s="3240" t="s">
        <v>1441</v>
      </c>
      <c r="D6" s="3241"/>
      <c r="E6" s="3242" t="s">
        <v>1441</v>
      </c>
      <c r="F6" s="3243"/>
      <c r="G6" s="3240" t="s">
        <v>1441</v>
      </c>
      <c r="H6" s="3241"/>
      <c r="I6" s="3240" t="s">
        <v>1441</v>
      </c>
      <c r="J6" s="3241"/>
      <c r="K6" s="1028" t="s">
        <v>937</v>
      </c>
      <c r="L6" s="1029"/>
      <c r="M6" s="1030"/>
      <c r="N6" s="1030"/>
      <c r="O6" s="1030"/>
      <c r="P6" s="3202"/>
      <c r="Q6" s="3203"/>
      <c r="R6" s="3206"/>
      <c r="S6" s="3207"/>
      <c r="T6" s="3208"/>
      <c r="U6" s="3209"/>
      <c r="V6" s="3183"/>
      <c r="W6" s="3183"/>
      <c r="X6" s="1070"/>
      <c r="Y6" s="3208"/>
      <c r="Z6" s="3209"/>
      <c r="AA6" s="3197"/>
      <c r="AB6" s="3197"/>
      <c r="AC6" s="3197"/>
    </row>
    <row r="7" spans="1:29" s="874" customFormat="1" ht="15">
      <c r="A7" s="900" t="s">
        <v>938</v>
      </c>
      <c r="B7" s="901"/>
      <c r="C7" s="902">
        <f>'数据-取费表'!B2</f>
        <v>44393</v>
      </c>
      <c r="D7" s="903">
        <v>100</v>
      </c>
      <c r="E7" s="904"/>
      <c r="F7" s="905">
        <f>SUMIF(46:46,YEAR(E7)&amp;"-"&amp;MONTH(E7),47:47)</f>
        <v>0</v>
      </c>
      <c r="G7" s="906"/>
      <c r="H7" s="903">
        <f>SUMIF(46:46,YEAR(G7)&amp;"-"&amp;MONTH(G7),47:47)</f>
        <v>0</v>
      </c>
      <c r="I7" s="904"/>
      <c r="J7" s="903">
        <f>SUMIF(46:46,YEAR(I7)&amp;"-"&amp;MONTH(I7),47:47)</f>
        <v>0</v>
      </c>
      <c r="K7" s="1031"/>
      <c r="L7" s="1032"/>
      <c r="M7" s="1033"/>
      <c r="N7" s="1033"/>
      <c r="O7" s="1033"/>
      <c r="P7" s="3179" t="s">
        <v>939</v>
      </c>
      <c r="Q7" s="3180"/>
      <c r="R7" s="1071" t="s">
        <v>940</v>
      </c>
      <c r="S7" s="1072">
        <f t="shared" ref="S7:S14" si="0">F7</f>
        <v>0</v>
      </c>
      <c r="T7" s="1071" t="s">
        <v>940</v>
      </c>
      <c r="U7" s="1072">
        <f t="shared" ref="U7:U14" si="1">H7</f>
        <v>0</v>
      </c>
      <c r="V7" s="1071" t="s">
        <v>940</v>
      </c>
      <c r="W7" s="1072">
        <f t="shared" ref="W7:W14" si="2">J7</f>
        <v>0</v>
      </c>
      <c r="X7" s="1073"/>
      <c r="Y7" s="3179" t="s">
        <v>939</v>
      </c>
      <c r="Z7" s="3181"/>
      <c r="AA7" s="1086" t="e">
        <f>D7/F7</f>
        <v>#DIV/0!</v>
      </c>
      <c r="AB7" s="1086" t="e">
        <f>D7/H7</f>
        <v>#DIV/0!</v>
      </c>
      <c r="AC7" s="1086" t="e">
        <f>D7/J7</f>
        <v>#DIV/0!</v>
      </c>
    </row>
    <row r="8" spans="1:29" s="874" customFormat="1" ht="15">
      <c r="A8" s="900" t="s">
        <v>941</v>
      </c>
      <c r="B8" s="901"/>
      <c r="C8" s="907" t="s">
        <v>942</v>
      </c>
      <c r="D8" s="903">
        <v>100</v>
      </c>
      <c r="E8" s="907"/>
      <c r="F8" s="905">
        <f>SUMIF(49:49,E8,50:50)-SUMIF(49:49,C8,50:50)+100</f>
        <v>0</v>
      </c>
      <c r="G8" s="907"/>
      <c r="H8" s="903">
        <f>SUMIF(49:49,G8,50:50)-SUMIF(49:49,C8,50:50)+100</f>
        <v>0</v>
      </c>
      <c r="I8" s="907"/>
      <c r="J8" s="903">
        <f>SUMIF(49:49,I8,50:50)-SUMIF(49:49,C8,50:50)+100</f>
        <v>0</v>
      </c>
      <c r="K8" s="1031"/>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34" si="3">D8/F8</f>
        <v>#DIV/0!</v>
      </c>
      <c r="AB8" s="1086" t="e">
        <f t="shared" ref="AB8:AB34" si="4">D8/H8</f>
        <v>#DIV/0!</v>
      </c>
      <c r="AC8" s="1086" t="e">
        <f t="shared" ref="AC8:AC34" si="5">D8/J8</f>
        <v>#DIV/0!</v>
      </c>
    </row>
    <row r="9" spans="1:29" s="874" customFormat="1">
      <c r="A9" s="908" t="s">
        <v>944</v>
      </c>
      <c r="B9" s="909" t="s">
        <v>349</v>
      </c>
      <c r="C9" s="1235"/>
      <c r="D9" s="911">
        <v>100</v>
      </c>
      <c r="E9" s="1236"/>
      <c r="F9" s="1237">
        <f>SUMIF(51:51,E9,52:52)-SUMIF(51:51,C9,52:52)+100</f>
        <v>100</v>
      </c>
      <c r="G9" s="1236"/>
      <c r="H9" s="911">
        <f>SUMIF(51:51,G9,52:52)-SUMIF(51:51,C9,52:52)+100</f>
        <v>100</v>
      </c>
      <c r="I9" s="1236"/>
      <c r="J9" s="911">
        <f>SUMIF(51:51,I9,52:52)-SUMIF(51:51,C9,52:52)+100</f>
        <v>100</v>
      </c>
      <c r="K9" s="1031"/>
      <c r="L9" s="1032"/>
      <c r="M9" s="1033"/>
      <c r="N9" s="1033"/>
      <c r="O9" s="1034"/>
      <c r="P9" s="3182" t="s">
        <v>945</v>
      </c>
      <c r="Q9" s="1075" t="str">
        <f t="shared" ref="Q9:Q14" si="6">B9</f>
        <v>用途</v>
      </c>
      <c r="R9" s="1071" t="s">
        <v>940</v>
      </c>
      <c r="S9" s="1072">
        <f t="shared" si="0"/>
        <v>100</v>
      </c>
      <c r="T9" s="1071" t="s">
        <v>940</v>
      </c>
      <c r="U9" s="1072">
        <f t="shared" si="1"/>
        <v>100</v>
      </c>
      <c r="V9" s="1071" t="s">
        <v>940</v>
      </c>
      <c r="W9" s="1072">
        <f t="shared" si="2"/>
        <v>100</v>
      </c>
      <c r="X9" s="1073"/>
      <c r="Y9" s="3047" t="s">
        <v>946</v>
      </c>
      <c r="Z9" s="1087" t="str">
        <f t="shared" ref="Z9:Z14" si="7">Q9</f>
        <v>用途</v>
      </c>
      <c r="AA9" s="1086">
        <f t="shared" si="3"/>
        <v>1</v>
      </c>
      <c r="AB9" s="1086">
        <f t="shared" si="4"/>
        <v>1</v>
      </c>
      <c r="AC9" s="1086">
        <f t="shared" si="5"/>
        <v>1</v>
      </c>
    </row>
    <row r="10" spans="1:29" s="875" customFormat="1" ht="27">
      <c r="A10" s="912"/>
      <c r="B10" s="913" t="s">
        <v>947</v>
      </c>
      <c r="C10" s="1238"/>
      <c r="D10" s="915">
        <v>100</v>
      </c>
      <c r="E10" s="1238"/>
      <c r="F10" s="1239">
        <f>SUMIF(53:53,E10,54:54)-SUMIF(53:53,C10,54:54)+100</f>
        <v>100</v>
      </c>
      <c r="G10" s="1238"/>
      <c r="H10" s="915">
        <f>SUMIF(53:53,G10,54:54)-SUMIF(53:53,C10,54:54)+100</f>
        <v>100</v>
      </c>
      <c r="I10" s="1238"/>
      <c r="J10" s="915">
        <f>SUMIF(53:53,I10,54:54)-SUMIF(53:53,C10,54:54)+100</f>
        <v>100</v>
      </c>
      <c r="K10" s="1048"/>
      <c r="L10" s="1036"/>
      <c r="M10" s="1037"/>
      <c r="N10" s="1037"/>
      <c r="O10" s="1038"/>
      <c r="P10" s="3182"/>
      <c r="Q10" s="1075" t="str">
        <f t="shared" si="6"/>
        <v>土地使用年限（年）</v>
      </c>
      <c r="R10" s="1071" t="s">
        <v>940</v>
      </c>
      <c r="S10" s="1072">
        <f t="shared" si="0"/>
        <v>100</v>
      </c>
      <c r="T10" s="1071" t="s">
        <v>940</v>
      </c>
      <c r="U10" s="1072">
        <f t="shared" si="1"/>
        <v>100</v>
      </c>
      <c r="V10" s="1071" t="s">
        <v>940</v>
      </c>
      <c r="W10" s="1072">
        <f t="shared" si="2"/>
        <v>100</v>
      </c>
      <c r="X10" s="1073"/>
      <c r="Y10" s="3047"/>
      <c r="Z10" s="1087" t="str">
        <f t="shared" si="7"/>
        <v>土地使用年限（年）</v>
      </c>
      <c r="AA10" s="1086">
        <f t="shared" si="3"/>
        <v>1</v>
      </c>
      <c r="AB10" s="1086">
        <f t="shared" si="4"/>
        <v>1</v>
      </c>
      <c r="AC10" s="1086">
        <f t="shared" si="5"/>
        <v>1</v>
      </c>
    </row>
    <row r="11" spans="1:29" ht="15">
      <c r="A11" s="918"/>
      <c r="B11" s="922">
        <v>111</v>
      </c>
      <c r="C11" s="914"/>
      <c r="D11" s="915">
        <v>100</v>
      </c>
      <c r="E11" s="1240"/>
      <c r="F11" s="1239">
        <f>SUMIF(55:55,E11,56:56)-SUMIF(55:55,C11,56:56)+100</f>
        <v>100</v>
      </c>
      <c r="G11" s="1240"/>
      <c r="H11" s="915">
        <f>SUMIF(55:55,G11,56:56)-SUMIF(55:55,C11,56:56)+100</f>
        <v>100</v>
      </c>
      <c r="I11" s="1240"/>
      <c r="J11" s="915">
        <f>SUMIF(55:55,I11,56:56)-SUMIF(55:55,C11,56:56)+100</f>
        <v>100</v>
      </c>
      <c r="K11" s="1047"/>
      <c r="L11" s="1040"/>
      <c r="M11" s="1030"/>
      <c r="N11" s="1030"/>
      <c r="O11" s="1041"/>
      <c r="P11" s="3182"/>
      <c r="Q11" s="1075">
        <f t="shared" si="6"/>
        <v>111</v>
      </c>
      <c r="R11" s="1071" t="s">
        <v>940</v>
      </c>
      <c r="S11" s="1072">
        <f t="shared" si="0"/>
        <v>100</v>
      </c>
      <c r="T11" s="1071" t="s">
        <v>940</v>
      </c>
      <c r="U11" s="1072">
        <f t="shared" si="1"/>
        <v>100</v>
      </c>
      <c r="V11" s="1071" t="s">
        <v>940</v>
      </c>
      <c r="W11" s="1072">
        <f t="shared" si="2"/>
        <v>100</v>
      </c>
      <c r="X11" s="1073"/>
      <c r="Y11" s="3047"/>
      <c r="Z11" s="1087">
        <f t="shared" si="7"/>
        <v>111</v>
      </c>
      <c r="AA11" s="1086">
        <f t="shared" si="3"/>
        <v>1</v>
      </c>
      <c r="AB11" s="1086">
        <f t="shared" si="4"/>
        <v>1</v>
      </c>
      <c r="AC11" s="1086">
        <f t="shared" si="5"/>
        <v>1</v>
      </c>
    </row>
    <row r="12" spans="1:29" s="874" customFormat="1" ht="15">
      <c r="A12" s="921"/>
      <c r="B12" s="922">
        <v>111</v>
      </c>
      <c r="C12" s="914"/>
      <c r="D12" s="923">
        <v>100</v>
      </c>
      <c r="E12" s="1240"/>
      <c r="F12" s="1239">
        <f>SUMIF(57:57,E12,58:58)-SUMIF(57:57,C12,58:58)+100</f>
        <v>100</v>
      </c>
      <c r="G12" s="1240"/>
      <c r="H12" s="915">
        <f>SUMIF(57:57,G12,58:58)-SUMIF(57:57,C12,58:58)+100</f>
        <v>100</v>
      </c>
      <c r="I12" s="1240"/>
      <c r="J12" s="915">
        <f>SUMIF(57:57,I12,58:58)-SUMIF(57:57,C12,58:58)+100</f>
        <v>100</v>
      </c>
      <c r="K12" s="1047"/>
      <c r="L12" s="1032"/>
      <c r="M12" s="1033"/>
      <c r="N12" s="1033"/>
      <c r="O12" s="1034"/>
      <c r="P12" s="3182"/>
      <c r="Q12" s="1075">
        <f t="shared" si="6"/>
        <v>111</v>
      </c>
      <c r="R12" s="1071" t="s">
        <v>940</v>
      </c>
      <c r="S12" s="1072">
        <f t="shared" si="0"/>
        <v>100</v>
      </c>
      <c r="T12" s="1071" t="s">
        <v>940</v>
      </c>
      <c r="U12" s="1072">
        <f t="shared" si="1"/>
        <v>100</v>
      </c>
      <c r="V12" s="1071" t="s">
        <v>940</v>
      </c>
      <c r="W12" s="1072">
        <f t="shared" si="2"/>
        <v>100</v>
      </c>
      <c r="X12" s="1073"/>
      <c r="Y12" s="3047"/>
      <c r="Z12" s="1087">
        <f t="shared" si="7"/>
        <v>111</v>
      </c>
      <c r="AA12" s="1086">
        <f t="shared" si="3"/>
        <v>1</v>
      </c>
      <c r="AB12" s="1086">
        <f t="shared" si="4"/>
        <v>1</v>
      </c>
      <c r="AC12" s="1086">
        <f t="shared" si="5"/>
        <v>1</v>
      </c>
    </row>
    <row r="13" spans="1:29" ht="15">
      <c r="A13" s="918"/>
      <c r="B13" s="922">
        <v>111</v>
      </c>
      <c r="C13" s="924"/>
      <c r="D13" s="925">
        <v>100</v>
      </c>
      <c r="E13" s="1240"/>
      <c r="F13" s="1239">
        <f>SUMIF(59:59,E13,60:60)-SUMIF(59:59,C13,60:60)+100</f>
        <v>100</v>
      </c>
      <c r="G13" s="1241"/>
      <c r="H13" s="931">
        <f>SUMIF(59:59,G13,60:60)-SUMIF(59:59,C13,60:60)+100</f>
        <v>100</v>
      </c>
      <c r="I13" s="1240"/>
      <c r="J13" s="925">
        <f>SUMIF(59:59,I13,60:60)-SUMIF(59:59,C13,60:60)+100</f>
        <v>100</v>
      </c>
      <c r="K13" s="1047"/>
      <c r="L13" s="1042"/>
      <c r="M13" s="1030"/>
      <c r="N13" s="1030"/>
      <c r="O13" s="1041"/>
      <c r="P13" s="3182"/>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29" ht="85.5">
      <c r="A14" s="932" t="s">
        <v>949</v>
      </c>
      <c r="B14" s="933" t="s">
        <v>663</v>
      </c>
      <c r="C14" s="1242" t="str">
        <f>IF(B1="工业",估价对象房地状况!G4,估价对象房地状况!C6)</f>
        <v>估价对象周边道路状况、公共交通通达情况、停车便捷程度，综合评价交通便捷度较好</v>
      </c>
      <c r="D14" s="935">
        <v>100</v>
      </c>
      <c r="E14" s="936"/>
      <c r="F14" s="1243">
        <f>SUMIF(61:61,E15,62:62)-SUMIF(61:61,C15,62:62)+100</f>
        <v>100</v>
      </c>
      <c r="G14" s="1043"/>
      <c r="H14" s="935">
        <f>SUMIF(61:61,G15,62:62)-SUMIF(61:61,C15,62:62)+100</f>
        <v>100</v>
      </c>
      <c r="I14" s="936"/>
      <c r="J14" s="935">
        <f>SUMIF(61:61,I15,62:62)-SUMIF(61:61,C15,62:62)+100</f>
        <v>100</v>
      </c>
      <c r="K14" s="1283"/>
      <c r="L14" s="1042"/>
      <c r="M14" s="1030"/>
      <c r="N14" s="1030"/>
      <c r="O14" s="1041"/>
      <c r="P14" s="3185" t="s">
        <v>950</v>
      </c>
      <c r="Q14" s="657" t="str">
        <f t="shared" si="6"/>
        <v>交通便捷度</v>
      </c>
      <c r="R14" s="1076" t="s">
        <v>940</v>
      </c>
      <c r="S14" s="1077">
        <f t="shared" si="0"/>
        <v>100</v>
      </c>
      <c r="T14" s="1076" t="s">
        <v>940</v>
      </c>
      <c r="U14" s="1077">
        <f t="shared" si="1"/>
        <v>100</v>
      </c>
      <c r="V14" s="1076" t="s">
        <v>940</v>
      </c>
      <c r="W14" s="1077">
        <f t="shared" si="2"/>
        <v>100</v>
      </c>
      <c r="X14" s="1070"/>
      <c r="Y14" s="3185" t="s">
        <v>950</v>
      </c>
      <c r="Z14" s="1069" t="str">
        <f t="shared" si="7"/>
        <v>交通便捷度</v>
      </c>
      <c r="AA14" s="1088">
        <f t="shared" si="3"/>
        <v>1</v>
      </c>
      <c r="AB14" s="1088">
        <f t="shared" si="4"/>
        <v>1</v>
      </c>
      <c r="AC14" s="1088">
        <f t="shared" si="5"/>
        <v>1</v>
      </c>
    </row>
    <row r="15" spans="1:29" ht="15">
      <c r="A15" s="918"/>
      <c r="B15" s="937"/>
      <c r="C15" s="938"/>
      <c r="D15" s="939"/>
      <c r="E15" s="938"/>
      <c r="F15" s="1244"/>
      <c r="G15" s="938"/>
      <c r="H15" s="941"/>
      <c r="I15" s="938"/>
      <c r="J15" s="939"/>
      <c r="K15" s="1284"/>
      <c r="L15" s="1042"/>
      <c r="M15" s="1030"/>
      <c r="N15" s="1030"/>
      <c r="O15" s="1041"/>
      <c r="P15" s="3186"/>
      <c r="Q15" s="657"/>
      <c r="R15" s="1076"/>
      <c r="S15" s="1077"/>
      <c r="T15" s="1076"/>
      <c r="U15" s="1077"/>
      <c r="V15" s="1076"/>
      <c r="W15" s="1077"/>
      <c r="X15" s="1070"/>
      <c r="Y15" s="3186"/>
      <c r="Z15" s="1069"/>
      <c r="AA15" s="1088">
        <v>1</v>
      </c>
      <c r="AB15" s="1088">
        <v>1</v>
      </c>
      <c r="AC15" s="1088">
        <v>1</v>
      </c>
    </row>
    <row r="16" spans="1:29" ht="42.75">
      <c r="A16" s="918"/>
      <c r="B16" s="942" t="s">
        <v>667</v>
      </c>
      <c r="C16" s="949" t="str">
        <f>IF(B1="工业",估价对象房地状况!G5,估价对象房地状况!C7)</f>
        <v>估价对象所在区域公共配套设施齐备情况</v>
      </c>
      <c r="D16" s="944">
        <v>100</v>
      </c>
      <c r="E16" s="948"/>
      <c r="F16" s="1245">
        <f>SUMIF(63:63,E17,64:64)-SUMIF(63:63,C17,64:64)+100</f>
        <v>100</v>
      </c>
      <c r="G16" s="1045"/>
      <c r="H16" s="944">
        <f>SUMIF(63:63,G17,64:64)-SUMIF(63:63,C17,64:64)+100</f>
        <v>100</v>
      </c>
      <c r="I16" s="948"/>
      <c r="J16" s="944">
        <f>SUMIF(63:63,I17,64:64)-SUMIF(63:63,C17,64:64)+100</f>
        <v>100</v>
      </c>
      <c r="K16" s="1283"/>
      <c r="L16" s="1042"/>
      <c r="M16" s="1030"/>
      <c r="N16" s="1030"/>
      <c r="O16" s="1041"/>
      <c r="P16" s="3186"/>
      <c r="Q16" s="657" t="str">
        <f>B16</f>
        <v>公共配套设施</v>
      </c>
      <c r="R16" s="1076" t="s">
        <v>940</v>
      </c>
      <c r="S16" s="1077">
        <f>F16</f>
        <v>100</v>
      </c>
      <c r="T16" s="1076" t="s">
        <v>940</v>
      </c>
      <c r="U16" s="1077">
        <f>H16</f>
        <v>100</v>
      </c>
      <c r="V16" s="1076" t="s">
        <v>940</v>
      </c>
      <c r="W16" s="1077">
        <f>J16</f>
        <v>100</v>
      </c>
      <c r="X16" s="1070"/>
      <c r="Y16" s="3186"/>
      <c r="Z16" s="1069" t="str">
        <f>Q16</f>
        <v>公共配套设施</v>
      </c>
      <c r="AA16" s="1088">
        <f t="shared" si="3"/>
        <v>1</v>
      </c>
      <c r="AB16" s="1088">
        <f t="shared" si="4"/>
        <v>1</v>
      </c>
      <c r="AC16" s="1088">
        <f t="shared" si="5"/>
        <v>1</v>
      </c>
    </row>
    <row r="17" spans="1:29" ht="15">
      <c r="A17" s="918"/>
      <c r="B17" s="945"/>
      <c r="C17" s="946"/>
      <c r="D17" s="939"/>
      <c r="E17" s="938"/>
      <c r="F17" s="1244"/>
      <c r="G17" s="938"/>
      <c r="H17" s="939"/>
      <c r="I17" s="938"/>
      <c r="J17" s="939"/>
      <c r="K17" s="1284"/>
      <c r="L17" s="1042"/>
      <c r="M17" s="1030"/>
      <c r="N17" s="1030"/>
      <c r="O17" s="1041"/>
      <c r="P17" s="3186"/>
      <c r="Q17" s="657"/>
      <c r="R17" s="1076"/>
      <c r="S17" s="1077"/>
      <c r="T17" s="1076"/>
      <c r="U17" s="1077"/>
      <c r="V17" s="1076"/>
      <c r="W17" s="1077"/>
      <c r="X17" s="1070"/>
      <c r="Y17" s="3186"/>
      <c r="Z17" s="1069"/>
      <c r="AA17" s="1088">
        <v>1</v>
      </c>
      <c r="AB17" s="1088">
        <v>1</v>
      </c>
      <c r="AC17" s="1088">
        <v>1</v>
      </c>
    </row>
    <row r="18" spans="1:29" ht="28.5">
      <c r="A18" s="918"/>
      <c r="B18" s="950" t="s">
        <v>669</v>
      </c>
      <c r="C18" s="949" t="str">
        <f>IF(B1="工业",估价对象房地状况!G6,估价对象房地状况!C8)</f>
        <v>估价对象所在区域基础设施水平</v>
      </c>
      <c r="D18" s="944">
        <v>100</v>
      </c>
      <c r="E18" s="943"/>
      <c r="F18" s="1245">
        <f>SUMIF(65:65,E19,66:66)-SUMIF(65:65,C19,66:66)+100</f>
        <v>100</v>
      </c>
      <c r="G18" s="952"/>
      <c r="H18" s="944">
        <f>SUMIF(65:65,G19,66:66)-SUMIF(65:65,C19,66:66)+100</f>
        <v>100</v>
      </c>
      <c r="I18" s="948"/>
      <c r="J18" s="944">
        <f>SUMIF(65:65,I19,66:66)-SUMIF(65:65,C19,66:66)+100</f>
        <v>100</v>
      </c>
      <c r="K18" s="1283"/>
      <c r="L18" s="1042"/>
      <c r="M18" s="1030"/>
      <c r="N18" s="1030"/>
      <c r="O18" s="1041"/>
      <c r="P18" s="3186"/>
      <c r="Q18" s="657" t="str">
        <f>B18</f>
        <v>基础设施水平</v>
      </c>
      <c r="R18" s="1076" t="s">
        <v>940</v>
      </c>
      <c r="S18" s="1077">
        <f>F18</f>
        <v>100</v>
      </c>
      <c r="T18" s="1076" t="s">
        <v>940</v>
      </c>
      <c r="U18" s="1077">
        <f>H18</f>
        <v>100</v>
      </c>
      <c r="V18" s="1076" t="s">
        <v>940</v>
      </c>
      <c r="W18" s="1077">
        <f>J18</f>
        <v>100</v>
      </c>
      <c r="X18" s="1070"/>
      <c r="Y18" s="3186"/>
      <c r="Z18" s="1069" t="str">
        <f>Q18</f>
        <v>基础设施水平</v>
      </c>
      <c r="AA18" s="1088">
        <f t="shared" ref="AA18" si="8">D18/F18</f>
        <v>1</v>
      </c>
      <c r="AB18" s="1088">
        <f t="shared" ref="AB18" si="9">D18/H18</f>
        <v>1</v>
      </c>
      <c r="AC18" s="1088">
        <f t="shared" ref="AC18" si="10">D18/J18</f>
        <v>1</v>
      </c>
    </row>
    <row r="19" spans="1:29" ht="15">
      <c r="A19" s="918"/>
      <c r="B19" s="950"/>
      <c r="C19" s="946"/>
      <c r="D19" s="941"/>
      <c r="E19" s="946"/>
      <c r="F19" s="1246"/>
      <c r="G19" s="946"/>
      <c r="H19" s="939"/>
      <c r="I19" s="938"/>
      <c r="J19" s="939"/>
      <c r="K19" s="1285"/>
      <c r="L19" s="1042"/>
      <c r="M19" s="1030"/>
      <c r="N19" s="1030"/>
      <c r="O19" s="1041"/>
      <c r="P19" s="3186"/>
      <c r="Q19" s="657"/>
      <c r="R19" s="1076"/>
      <c r="S19" s="1077"/>
      <c r="T19" s="1076"/>
      <c r="U19" s="1077"/>
      <c r="V19" s="1076"/>
      <c r="W19" s="1077"/>
      <c r="X19" s="1070"/>
      <c r="Y19" s="3186"/>
      <c r="Z19" s="1069"/>
      <c r="AA19" s="1088">
        <v>1</v>
      </c>
      <c r="AB19" s="1088">
        <v>1</v>
      </c>
      <c r="AC19" s="1088">
        <v>1</v>
      </c>
    </row>
    <row r="20" spans="1:29" ht="57">
      <c r="A20" s="918"/>
      <c r="B20" s="942" t="s">
        <v>673</v>
      </c>
      <c r="C20" s="949" t="str">
        <f>IF(B1="工业",估价对象房地状况!G7,估价对象房地状况!C9)</f>
        <v>区域自然环境：；人文环境；综合评价环境状况一般</v>
      </c>
      <c r="D20" s="944">
        <v>100</v>
      </c>
      <c r="E20" s="948"/>
      <c r="F20" s="1245">
        <f>SUMIF(67:67,E21,68:68)-SUMIF(67:67,C21,68:68)+100</f>
        <v>100</v>
      </c>
      <c r="G20" s="1045"/>
      <c r="H20" s="941">
        <f>SUMIF(67:67,G21,68:68)-SUMIF(67:67,C21,68:68)+100</f>
        <v>100</v>
      </c>
      <c r="I20" s="943"/>
      <c r="J20" s="941">
        <f>SUMIF(67:67,I21,68:68)-SUMIF(67:67,C21,68:68)+100</f>
        <v>100</v>
      </c>
      <c r="K20" s="1283"/>
      <c r="L20" s="1042"/>
      <c r="M20" s="1030"/>
      <c r="N20" s="1030"/>
      <c r="O20" s="1041"/>
      <c r="P20" s="3186"/>
      <c r="Q20" s="657" t="str">
        <f>B20</f>
        <v>自然及人文环境</v>
      </c>
      <c r="R20" s="1076" t="s">
        <v>940</v>
      </c>
      <c r="S20" s="1077">
        <f>F20</f>
        <v>100</v>
      </c>
      <c r="T20" s="1076" t="s">
        <v>940</v>
      </c>
      <c r="U20" s="1077">
        <f>H20</f>
        <v>100</v>
      </c>
      <c r="V20" s="1076" t="s">
        <v>940</v>
      </c>
      <c r="W20" s="1077">
        <f>J20</f>
        <v>100</v>
      </c>
      <c r="X20" s="1070"/>
      <c r="Y20" s="3186"/>
      <c r="Z20" s="1069" t="str">
        <f>Q20</f>
        <v>自然及人文环境</v>
      </c>
      <c r="AA20" s="1088">
        <f t="shared" si="3"/>
        <v>1</v>
      </c>
      <c r="AB20" s="1088">
        <f t="shared" si="4"/>
        <v>1</v>
      </c>
      <c r="AC20" s="1088">
        <f t="shared" si="5"/>
        <v>1</v>
      </c>
    </row>
    <row r="21" spans="1:29" ht="15">
      <c r="A21" s="918"/>
      <c r="B21" s="945"/>
      <c r="C21" s="938"/>
      <c r="D21" s="939"/>
      <c r="E21" s="938"/>
      <c r="F21" s="1244"/>
      <c r="G21" s="938"/>
      <c r="H21" s="939"/>
      <c r="I21" s="938"/>
      <c r="J21" s="939"/>
      <c r="K21" s="1284"/>
      <c r="L21" s="1042"/>
      <c r="M21" s="1030"/>
      <c r="N21" s="1030"/>
      <c r="O21" s="1041"/>
      <c r="P21" s="3186"/>
      <c r="Q21" s="657"/>
      <c r="R21" s="1076"/>
      <c r="S21" s="1077"/>
      <c r="T21" s="1076"/>
      <c r="U21" s="1077"/>
      <c r="V21" s="1076"/>
      <c r="W21" s="1077"/>
      <c r="X21" s="1070"/>
      <c r="Y21" s="3186"/>
      <c r="Z21" s="1069"/>
      <c r="AA21" s="1088">
        <v>1</v>
      </c>
      <c r="AB21" s="1088">
        <v>1</v>
      </c>
      <c r="AC21" s="1088">
        <v>1</v>
      </c>
    </row>
    <row r="22" spans="1:29" ht="15">
      <c r="A22" s="918"/>
      <c r="B22" s="942" t="s">
        <v>1486</v>
      </c>
      <c r="C22" s="953"/>
      <c r="D22" s="941">
        <v>100</v>
      </c>
      <c r="E22" s="953"/>
      <c r="F22" s="1247">
        <f>SUMIF(69:69,E22,70:70)-SUMIF(69:69,C22,70:70)+100</f>
        <v>100</v>
      </c>
      <c r="G22" s="953"/>
      <c r="H22" s="925">
        <f>SUMIF(69:69,G22,70:70)-SUMIF(69:69,C22,70:70)+100</f>
        <v>100</v>
      </c>
      <c r="I22" s="953"/>
      <c r="J22" s="925">
        <f>SUMIF(69:69,I22,70:70)-SUMIF(69:69,C22,70:70)+100</f>
        <v>100</v>
      </c>
      <c r="K22" s="1048"/>
      <c r="L22" s="1042"/>
      <c r="M22" s="1030"/>
      <c r="N22" s="1030"/>
      <c r="O22" s="1041"/>
      <c r="P22" s="3186"/>
      <c r="Q22" s="657" t="str">
        <f>B22</f>
        <v>楼层</v>
      </c>
      <c r="R22" s="1076" t="s">
        <v>940</v>
      </c>
      <c r="S22" s="1077">
        <f>F22</f>
        <v>100</v>
      </c>
      <c r="T22" s="1076" t="s">
        <v>940</v>
      </c>
      <c r="U22" s="1077">
        <f>H22</f>
        <v>100</v>
      </c>
      <c r="V22" s="1076" t="s">
        <v>940</v>
      </c>
      <c r="W22" s="1077">
        <f>J22</f>
        <v>100</v>
      </c>
      <c r="X22" s="1070"/>
      <c r="Y22" s="3186"/>
      <c r="Z22" s="1069" t="str">
        <f>Q22</f>
        <v>楼层</v>
      </c>
      <c r="AA22" s="1088">
        <f t="shared" si="3"/>
        <v>1</v>
      </c>
      <c r="AB22" s="1088">
        <f t="shared" si="4"/>
        <v>1</v>
      </c>
      <c r="AC22" s="1088">
        <f t="shared" si="5"/>
        <v>1</v>
      </c>
    </row>
    <row r="23" spans="1:29" ht="15">
      <c r="A23" s="896"/>
      <c r="B23" s="922">
        <v>111</v>
      </c>
      <c r="C23" s="914"/>
      <c r="D23" s="925">
        <v>100</v>
      </c>
      <c r="E23" s="924"/>
      <c r="F23" s="1247">
        <f>SUMIF(71:71,E23,72:72)-SUMIF(71:71,C23,72:72)+100</f>
        <v>100</v>
      </c>
      <c r="G23" s="924"/>
      <c r="H23" s="925">
        <f>SUMIF(71:71,G23,72:72)-SUMIF(71:71,C23,72:72)+100</f>
        <v>100</v>
      </c>
      <c r="I23" s="924"/>
      <c r="J23" s="925">
        <f>SUMIF(71:71,I23,72:72)-SUMIF(71:71,C23,72:72)+100</f>
        <v>100</v>
      </c>
      <c r="K23" s="1047"/>
      <c r="L23" s="1042"/>
      <c r="M23" s="1030"/>
      <c r="N23" s="1030"/>
      <c r="O23" s="1041"/>
      <c r="P23" s="3186"/>
      <c r="Q23" s="657">
        <f>B23</f>
        <v>111</v>
      </c>
      <c r="R23" s="1076" t="s">
        <v>940</v>
      </c>
      <c r="S23" s="1077">
        <f>F23</f>
        <v>100</v>
      </c>
      <c r="T23" s="1076" t="s">
        <v>940</v>
      </c>
      <c r="U23" s="1077">
        <f>H23</f>
        <v>100</v>
      </c>
      <c r="V23" s="1076" t="s">
        <v>940</v>
      </c>
      <c r="W23" s="1077">
        <f>J23</f>
        <v>100</v>
      </c>
      <c r="X23" s="1070"/>
      <c r="Y23" s="3186"/>
      <c r="Z23" s="1069">
        <f>Q23</f>
        <v>111</v>
      </c>
      <c r="AA23" s="1088">
        <f t="shared" si="3"/>
        <v>1</v>
      </c>
      <c r="AB23" s="1088">
        <f t="shared" si="4"/>
        <v>1</v>
      </c>
      <c r="AC23" s="1088">
        <f t="shared" si="5"/>
        <v>1</v>
      </c>
    </row>
    <row r="24" spans="1:29" ht="15">
      <c r="A24" s="918"/>
      <c r="B24" s="922">
        <v>111</v>
      </c>
      <c r="C24" s="914"/>
      <c r="D24" s="925">
        <v>100</v>
      </c>
      <c r="E24" s="924"/>
      <c r="F24" s="1247">
        <f>SUMIF(73:73,E24,74:74)-SUMIF(73:73,C24,74:74)+100</f>
        <v>100</v>
      </c>
      <c r="G24" s="924"/>
      <c r="H24" s="925">
        <f>SUMIF(73:73,G24,74:74)-SUMIF(73:73,C24,74:74)+100</f>
        <v>100</v>
      </c>
      <c r="I24" s="924"/>
      <c r="J24" s="925">
        <f>SUMIF(73:73,I24,74:74)-SUMIF(73:73,C24,74:74)+100</f>
        <v>100</v>
      </c>
      <c r="K24" s="1047"/>
      <c r="L24" s="1042"/>
      <c r="M24" s="1030"/>
      <c r="N24" s="1030"/>
      <c r="O24" s="1041"/>
      <c r="P24" s="3186"/>
      <c r="Q24" s="657">
        <f t="shared" ref="Q24:Q34" si="11">B24</f>
        <v>111</v>
      </c>
      <c r="R24" s="1076" t="s">
        <v>940</v>
      </c>
      <c r="S24" s="1077">
        <f>F24</f>
        <v>100</v>
      </c>
      <c r="T24" s="1076" t="s">
        <v>940</v>
      </c>
      <c r="U24" s="1077">
        <f>H24</f>
        <v>100</v>
      </c>
      <c r="V24" s="1076" t="s">
        <v>940</v>
      </c>
      <c r="W24" s="1077">
        <f>J24</f>
        <v>100</v>
      </c>
      <c r="X24" s="1070"/>
      <c r="Y24" s="3186"/>
      <c r="Z24" s="1069">
        <f>Q24</f>
        <v>111</v>
      </c>
      <c r="AA24" s="1088">
        <f t="shared" si="3"/>
        <v>1</v>
      </c>
      <c r="AB24" s="1088">
        <f t="shared" si="4"/>
        <v>1</v>
      </c>
      <c r="AC24" s="1088">
        <f t="shared" si="5"/>
        <v>1</v>
      </c>
    </row>
    <row r="25" spans="1:29" s="874"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47"/>
      <c r="L25" s="1032"/>
      <c r="M25" s="1033"/>
      <c r="N25" s="1033"/>
      <c r="O25" s="1034"/>
      <c r="P25" s="3186"/>
      <c r="Q25" s="1075">
        <f t="shared" si="11"/>
        <v>111</v>
      </c>
      <c r="R25" s="1071" t="s">
        <v>940</v>
      </c>
      <c r="S25" s="1072">
        <f>F25</f>
        <v>100</v>
      </c>
      <c r="T25" s="1071" t="s">
        <v>940</v>
      </c>
      <c r="U25" s="1072">
        <f>H25</f>
        <v>100</v>
      </c>
      <c r="V25" s="1071" t="s">
        <v>940</v>
      </c>
      <c r="W25" s="1072">
        <f>J25</f>
        <v>100</v>
      </c>
      <c r="X25" s="1073"/>
      <c r="Y25" s="3186"/>
      <c r="Z25" s="1087">
        <f>Q25</f>
        <v>111</v>
      </c>
      <c r="AA25" s="1088">
        <f t="shared" si="3"/>
        <v>1</v>
      </c>
      <c r="AB25" s="1088">
        <f t="shared" si="4"/>
        <v>1</v>
      </c>
      <c r="AC25" s="1088">
        <f t="shared" si="5"/>
        <v>1</v>
      </c>
    </row>
    <row r="26" spans="1:29" ht="28.5">
      <c r="A26" s="1251" t="s">
        <v>952</v>
      </c>
      <c r="B26" s="909" t="s">
        <v>1448</v>
      </c>
      <c r="C26" s="1252"/>
      <c r="D26" s="971">
        <v>100</v>
      </c>
      <c r="E26" s="1252"/>
      <c r="F26" s="1253">
        <f>SUMIF(77:77,E26,78:78)-SUMIF(77:77,C26,78:78)+100</f>
        <v>100</v>
      </c>
      <c r="G26" s="1252"/>
      <c r="H26" s="971">
        <f>SUMIF(77:77,G26,78:78)-SUMIF(77:77,C26,78:78)+100</f>
        <v>100</v>
      </c>
      <c r="I26" s="1252"/>
      <c r="J26" s="971">
        <f>SUMIF(77:77,I26,78:78)-SUMIF(77:77,C26,78:78)+100</f>
        <v>100</v>
      </c>
      <c r="K26" s="1048"/>
      <c r="L26" s="1042"/>
      <c r="M26" s="1030"/>
      <c r="N26" s="1030"/>
      <c r="O26" s="1041"/>
      <c r="P26" s="3187" t="s">
        <v>951</v>
      </c>
      <c r="Q26" s="657" t="str">
        <f t="shared" si="11"/>
        <v>公共部分装修</v>
      </c>
      <c r="R26" s="1076" t="s">
        <v>940</v>
      </c>
      <c r="S26" s="1077">
        <f t="shared" ref="S26:S34" si="12">F26</f>
        <v>100</v>
      </c>
      <c r="T26" s="1076" t="s">
        <v>940</v>
      </c>
      <c r="U26" s="1077">
        <f t="shared" ref="U26:U34" si="13">H26</f>
        <v>100</v>
      </c>
      <c r="V26" s="1076" t="s">
        <v>940</v>
      </c>
      <c r="W26" s="1077">
        <f t="shared" ref="W26:W34" si="14">J26</f>
        <v>100</v>
      </c>
      <c r="X26" s="1070"/>
      <c r="Y26" s="3188" t="s">
        <v>951</v>
      </c>
      <c r="Z26" s="1069" t="str">
        <f t="shared" ref="Z26:Z34" si="15">Q26</f>
        <v>公共部分装修</v>
      </c>
      <c r="AA26" s="1088">
        <f t="shared" si="3"/>
        <v>1</v>
      </c>
      <c r="AB26" s="1088">
        <f t="shared" si="4"/>
        <v>1</v>
      </c>
      <c r="AC26" s="1088">
        <f t="shared" si="5"/>
        <v>1</v>
      </c>
    </row>
    <row r="27" spans="1:29" s="876" customFormat="1" ht="15">
      <c r="A27" s="975"/>
      <c r="B27" s="913" t="s">
        <v>1504</v>
      </c>
      <c r="C27" s="1254"/>
      <c r="D27" s="915">
        <v>100</v>
      </c>
      <c r="E27" s="1255"/>
      <c r="F27" s="1247" t="e">
        <f>LOOKUP(E27,80:80,81:81)-LOOKUP(C27,80:80,81:81)+100</f>
        <v>#N/A</v>
      </c>
      <c r="G27" s="1256"/>
      <c r="H27" s="925" t="e">
        <f>LOOKUP(G27,80:80,81:81)-LOOKUP(C27,80:80,81:81)+100</f>
        <v>#N/A</v>
      </c>
      <c r="I27" s="1256"/>
      <c r="J27" s="925" t="e">
        <f>LOOKUP(I27,80:80,81:81)-LOOKUP(C27,80:80,81:81)+100</f>
        <v>#N/A</v>
      </c>
      <c r="K27" s="1048"/>
      <c r="L27" s="1040"/>
      <c r="M27" s="1049"/>
      <c r="N27" s="1049"/>
      <c r="O27" s="1050"/>
      <c r="P27" s="3188"/>
      <c r="Q27" s="1290" t="str">
        <f t="shared" si="11"/>
        <v>成新率</v>
      </c>
      <c r="R27" s="1078" t="s">
        <v>940</v>
      </c>
      <c r="S27" s="1079" t="e">
        <f t="shared" si="12"/>
        <v>#N/A</v>
      </c>
      <c r="T27" s="1078" t="s">
        <v>940</v>
      </c>
      <c r="U27" s="1079" t="e">
        <f t="shared" si="13"/>
        <v>#N/A</v>
      </c>
      <c r="V27" s="1078" t="s">
        <v>940</v>
      </c>
      <c r="W27" s="1079" t="e">
        <f t="shared" si="14"/>
        <v>#N/A</v>
      </c>
      <c r="X27" s="1080"/>
      <c r="Y27" s="3188"/>
      <c r="Z27" s="1089" t="str">
        <f t="shared" si="15"/>
        <v>成新率</v>
      </c>
      <c r="AA27" s="1088" t="e">
        <f t="shared" si="3"/>
        <v>#N/A</v>
      </c>
      <c r="AB27" s="1088" t="e">
        <f t="shared" si="4"/>
        <v>#N/A</v>
      </c>
      <c r="AC27" s="1088" t="e">
        <f t="shared" si="5"/>
        <v>#N/A</v>
      </c>
    </row>
    <row r="28" spans="1:29" ht="15">
      <c r="A28" s="969"/>
      <c r="B28" s="913" t="s">
        <v>1505</v>
      </c>
      <c r="C28" s="1257"/>
      <c r="D28" s="925">
        <v>100</v>
      </c>
      <c r="E28" s="1257"/>
      <c r="F28" s="1247">
        <f>SUMIF(82:82,E28,83:83)-SUMIF(82:82,C28,83:83)+100</f>
        <v>100</v>
      </c>
      <c r="G28" s="1257"/>
      <c r="H28" s="925">
        <f>SUMIF(82:82,G28,83:83)-SUMIF(82:82,C28,83:83)+100</f>
        <v>100</v>
      </c>
      <c r="I28" s="1257"/>
      <c r="J28" s="925">
        <f>SUMIF(82:82,I28,83:83)-SUMIF(82:82,C28,83:83)+100</f>
        <v>100</v>
      </c>
      <c r="K28" s="1048"/>
      <c r="L28" s="1042"/>
      <c r="M28" s="1030"/>
      <c r="N28" s="1030"/>
      <c r="O28" s="1041"/>
      <c r="P28" s="3188"/>
      <c r="Q28" s="657" t="str">
        <f t="shared" si="11"/>
        <v>物业等级</v>
      </c>
      <c r="R28" s="1076" t="s">
        <v>940</v>
      </c>
      <c r="S28" s="1077">
        <f t="shared" si="12"/>
        <v>100</v>
      </c>
      <c r="T28" s="1076" t="s">
        <v>940</v>
      </c>
      <c r="U28" s="1077">
        <f t="shared" si="13"/>
        <v>100</v>
      </c>
      <c r="V28" s="1076" t="s">
        <v>940</v>
      </c>
      <c r="W28" s="1077">
        <f t="shared" si="14"/>
        <v>100</v>
      </c>
      <c r="X28" s="1070"/>
      <c r="Y28" s="3188"/>
      <c r="Z28" s="1069" t="str">
        <f t="shared" si="15"/>
        <v>物业等级</v>
      </c>
      <c r="AA28" s="1088">
        <f t="shared" si="3"/>
        <v>1</v>
      </c>
      <c r="AB28" s="1088">
        <f t="shared" si="4"/>
        <v>1</v>
      </c>
      <c r="AC28" s="1088">
        <f t="shared" si="5"/>
        <v>1</v>
      </c>
    </row>
    <row r="29" spans="1:29" ht="15">
      <c r="A29" s="969"/>
      <c r="B29" s="913" t="s">
        <v>1512</v>
      </c>
      <c r="C29" s="1258"/>
      <c r="D29" s="925">
        <v>100</v>
      </c>
      <c r="E29" s="1258"/>
      <c r="F29" s="1247">
        <f>SUMIF(84:84,E29,85:85)-SUMIF(84:84,C29,85:85)+100</f>
        <v>100</v>
      </c>
      <c r="G29" s="1258"/>
      <c r="H29" s="925">
        <f>SUMIF(84:84,G29,85:85)-SUMIF(84:84,C29,85:85)+100</f>
        <v>100</v>
      </c>
      <c r="I29" s="1258"/>
      <c r="J29" s="925">
        <f>SUMIF(84:84,I29,85:85)-SUMIF(84:84,C29,85:85)+100</f>
        <v>100</v>
      </c>
      <c r="K29" s="1048"/>
      <c r="L29" s="1042"/>
      <c r="M29" s="1030"/>
      <c r="N29" s="1030"/>
      <c r="O29" s="1041"/>
      <c r="P29" s="3188"/>
      <c r="Q29" s="657" t="str">
        <f t="shared" si="11"/>
        <v>有无电梯</v>
      </c>
      <c r="R29" s="1076" t="s">
        <v>940</v>
      </c>
      <c r="S29" s="1077">
        <f t="shared" si="12"/>
        <v>100</v>
      </c>
      <c r="T29" s="1076" t="s">
        <v>940</v>
      </c>
      <c r="U29" s="1077">
        <f t="shared" si="13"/>
        <v>100</v>
      </c>
      <c r="V29" s="1076" t="s">
        <v>940</v>
      </c>
      <c r="W29" s="1077">
        <f t="shared" si="14"/>
        <v>100</v>
      </c>
      <c r="X29" s="1070"/>
      <c r="Y29" s="3188"/>
      <c r="Z29" s="1069" t="str">
        <f t="shared" si="15"/>
        <v>有无电梯</v>
      </c>
      <c r="AA29" s="1088">
        <f t="shared" si="3"/>
        <v>1</v>
      </c>
      <c r="AB29" s="1088">
        <f t="shared" si="4"/>
        <v>1</v>
      </c>
      <c r="AC29" s="1088">
        <f t="shared" si="5"/>
        <v>1</v>
      </c>
    </row>
    <row r="30" spans="1:29" ht="15">
      <c r="A30" s="969"/>
      <c r="B30" s="913" t="s">
        <v>532</v>
      </c>
      <c r="C30" s="1240"/>
      <c r="D30" s="925">
        <v>100</v>
      </c>
      <c r="E30" s="1240"/>
      <c r="F30" s="1247" t="e">
        <f>LOOKUP(E30,87:87,88:88)-LOOKUP(C30,87:87,88:88)+100</f>
        <v>#N/A</v>
      </c>
      <c r="G30" s="1240"/>
      <c r="H30" s="925" t="e">
        <f>LOOKUP(G30,87:87,88:88)-LOOKUP(C30,87:87,88:88)+100</f>
        <v>#N/A</v>
      </c>
      <c r="I30" s="1240"/>
      <c r="J30" s="925" t="e">
        <f>LOOKUP(I30,87:87,88:88)-LOOKUP(C30,87:87,88:88)+100</f>
        <v>#N/A</v>
      </c>
      <c r="K30" s="1047"/>
      <c r="L30" s="1042"/>
      <c r="M30" s="1030"/>
      <c r="N30" s="1030"/>
      <c r="O30" s="1041"/>
      <c r="P30" s="3188"/>
      <c r="Q30" s="657" t="str">
        <f t="shared" si="11"/>
        <v>建筑面积</v>
      </c>
      <c r="R30" s="1076" t="s">
        <v>940</v>
      </c>
      <c r="S30" s="1077" t="e">
        <f t="shared" si="12"/>
        <v>#N/A</v>
      </c>
      <c r="T30" s="1076" t="s">
        <v>940</v>
      </c>
      <c r="U30" s="1077" t="e">
        <f t="shared" si="13"/>
        <v>#N/A</v>
      </c>
      <c r="V30" s="1076" t="s">
        <v>940</v>
      </c>
      <c r="W30" s="1077" t="e">
        <f t="shared" si="14"/>
        <v>#N/A</v>
      </c>
      <c r="X30" s="1070"/>
      <c r="Y30" s="3188"/>
      <c r="Z30" s="1069" t="str">
        <f t="shared" si="15"/>
        <v>建筑面积</v>
      </c>
      <c r="AA30" s="1088" t="e">
        <f t="shared" si="3"/>
        <v>#N/A</v>
      </c>
      <c r="AB30" s="1088" t="e">
        <f t="shared" si="4"/>
        <v>#N/A</v>
      </c>
      <c r="AC30" s="1088" t="e">
        <f t="shared" si="5"/>
        <v>#N/A</v>
      </c>
    </row>
    <row r="31" spans="1:29" s="874" customFormat="1" ht="15">
      <c r="A31" s="973"/>
      <c r="B31" s="913" t="s">
        <v>1513</v>
      </c>
      <c r="C31" s="1258"/>
      <c r="D31" s="915">
        <v>100</v>
      </c>
      <c r="E31" s="1258"/>
      <c r="F31" s="1247">
        <f>SUMIF(89:89,E31,90:90)-SUMIF(89:89,C31,90:90)+100</f>
        <v>100</v>
      </c>
      <c r="G31" s="1258"/>
      <c r="H31" s="925">
        <f>SUMIF(89:89,G31,90:90)-SUMIF(89:89,C31,90:90)+100</f>
        <v>100</v>
      </c>
      <c r="I31" s="1258"/>
      <c r="J31" s="925">
        <f>SUMIF(89:89,I31,90:90)-SUMIF(89:89,C31,90:90)+100</f>
        <v>100</v>
      </c>
      <c r="K31" s="1048"/>
      <c r="L31" s="1032"/>
      <c r="M31" s="1033"/>
      <c r="N31" s="1033"/>
      <c r="O31" s="1034"/>
      <c r="P31" s="3188"/>
      <c r="Q31" s="1075" t="str">
        <f t="shared" si="11"/>
        <v>是否封闭</v>
      </c>
      <c r="R31" s="1071" t="s">
        <v>940</v>
      </c>
      <c r="S31" s="1072">
        <f t="shared" si="12"/>
        <v>100</v>
      </c>
      <c r="T31" s="1071" t="s">
        <v>940</v>
      </c>
      <c r="U31" s="1072">
        <f t="shared" si="13"/>
        <v>100</v>
      </c>
      <c r="V31" s="1071" t="s">
        <v>940</v>
      </c>
      <c r="W31" s="1072">
        <f t="shared" si="14"/>
        <v>100</v>
      </c>
      <c r="X31" s="1073"/>
      <c r="Y31" s="3188"/>
      <c r="Z31" s="1087" t="str">
        <f t="shared" si="15"/>
        <v>是否封闭</v>
      </c>
      <c r="AA31" s="1086">
        <f t="shared" si="3"/>
        <v>1</v>
      </c>
      <c r="AB31" s="1086">
        <f t="shared" si="4"/>
        <v>1</v>
      </c>
      <c r="AC31" s="1086">
        <f t="shared" si="5"/>
        <v>1</v>
      </c>
    </row>
    <row r="32" spans="1:29" ht="15">
      <c r="A32" s="969"/>
      <c r="B32" s="922">
        <v>111</v>
      </c>
      <c r="C32" s="914"/>
      <c r="D32" s="925">
        <v>100</v>
      </c>
      <c r="E32" s="1240"/>
      <c r="F32" s="1247">
        <f>SUMIF(91:91,E32,92:92)-SUMIF(91:91,C32,92:92)+100</f>
        <v>100</v>
      </c>
      <c r="G32" s="1240"/>
      <c r="H32" s="925">
        <f>SUMIF(91:91,G32,92:92)-SUMIF(91:91,C32,92:92)+100</f>
        <v>100</v>
      </c>
      <c r="I32" s="1240"/>
      <c r="J32" s="925">
        <f>SUMIF(91:91,I32,92:92)-SUMIF(91:91,C32,92:92)+100</f>
        <v>100</v>
      </c>
      <c r="K32" s="1047"/>
      <c r="L32" s="1042"/>
      <c r="M32" s="1030"/>
      <c r="N32" s="1030"/>
      <c r="O32" s="1041"/>
      <c r="P32" s="3188" t="s">
        <v>951</v>
      </c>
      <c r="Q32" s="657">
        <f t="shared" si="11"/>
        <v>111</v>
      </c>
      <c r="R32" s="1076" t="s">
        <v>940</v>
      </c>
      <c r="S32" s="1077">
        <f t="shared" si="12"/>
        <v>100</v>
      </c>
      <c r="T32" s="1076" t="s">
        <v>940</v>
      </c>
      <c r="U32" s="1077">
        <f t="shared" si="13"/>
        <v>100</v>
      </c>
      <c r="V32" s="1076" t="s">
        <v>940</v>
      </c>
      <c r="W32" s="1077">
        <f t="shared" si="14"/>
        <v>100</v>
      </c>
      <c r="X32" s="1070"/>
      <c r="Y32" s="3188" t="s">
        <v>951</v>
      </c>
      <c r="Z32" s="1069">
        <f t="shared" si="15"/>
        <v>111</v>
      </c>
      <c r="AA32" s="1088">
        <f t="shared" si="3"/>
        <v>1</v>
      </c>
      <c r="AB32" s="1088">
        <f t="shared" si="4"/>
        <v>1</v>
      </c>
      <c r="AC32" s="1088">
        <f t="shared" si="5"/>
        <v>1</v>
      </c>
    </row>
    <row r="33" spans="1:29" ht="15">
      <c r="A33" s="969"/>
      <c r="B33" s="922">
        <v>111</v>
      </c>
      <c r="C33" s="914"/>
      <c r="D33" s="925">
        <v>100</v>
      </c>
      <c r="E33" s="1240"/>
      <c r="F33" s="1247">
        <f>SUMIF(93:93,E33,94:94)-SUMIF(93:93,C33,94:94)+100</f>
        <v>100</v>
      </c>
      <c r="G33" s="1240"/>
      <c r="H33" s="925">
        <f>SUMIF(93:93,G33,94:94)-SUMIF(93:93,C33,94:94)+100</f>
        <v>100</v>
      </c>
      <c r="I33" s="1240"/>
      <c r="J33" s="925">
        <f>SUMIF(93:93,I33,94:94)-SUMIF(93:93,C33,94:94)+100</f>
        <v>100</v>
      </c>
      <c r="K33" s="1047"/>
      <c r="L33" s="1042"/>
      <c r="M33" s="1030"/>
      <c r="N33" s="1030"/>
      <c r="O33" s="1041"/>
      <c r="P33" s="3188"/>
      <c r="Q33" s="657">
        <f t="shared" si="11"/>
        <v>111</v>
      </c>
      <c r="R33" s="1076" t="s">
        <v>940</v>
      </c>
      <c r="S33" s="1077">
        <f t="shared" si="12"/>
        <v>100</v>
      </c>
      <c r="T33" s="1076" t="s">
        <v>940</v>
      </c>
      <c r="U33" s="1077">
        <f t="shared" si="13"/>
        <v>100</v>
      </c>
      <c r="V33" s="1076" t="s">
        <v>940</v>
      </c>
      <c r="W33" s="1077">
        <f t="shared" si="14"/>
        <v>100</v>
      </c>
      <c r="X33" s="1070"/>
      <c r="Y33" s="3188"/>
      <c r="Z33" s="1069">
        <f t="shared" si="15"/>
        <v>111</v>
      </c>
      <c r="AA33" s="1088">
        <f t="shared" si="3"/>
        <v>1</v>
      </c>
      <c r="AB33" s="1088">
        <f t="shared" si="4"/>
        <v>1</v>
      </c>
      <c r="AC33" s="1088">
        <f t="shared" si="5"/>
        <v>1</v>
      </c>
    </row>
    <row r="34" spans="1:29" ht="15">
      <c r="A34" s="1259"/>
      <c r="B34" s="929">
        <v>111</v>
      </c>
      <c r="C34" s="930"/>
      <c r="D34" s="931">
        <v>100</v>
      </c>
      <c r="E34" s="1241"/>
      <c r="F34" s="1260">
        <f>SUMIF(95:95,E34,96:96)-SUMIF(95:95,C34,96:96)+100</f>
        <v>100</v>
      </c>
      <c r="G34" s="1241"/>
      <c r="H34" s="931">
        <f>SUMIF(95:95,G34,96:96)-SUMIF(95:95,C34,96:96)+100</f>
        <v>100</v>
      </c>
      <c r="I34" s="1241"/>
      <c r="J34" s="931">
        <f>SUMIF(95:95,I34,96:96)-SUMIF(95:95,C34,96:96)+100</f>
        <v>100</v>
      </c>
      <c r="K34" s="1047"/>
      <c r="L34" s="1042"/>
      <c r="M34" s="1030"/>
      <c r="N34" s="1030"/>
      <c r="O34" s="1041"/>
      <c r="P34" s="3188"/>
      <c r="Q34" s="657">
        <f t="shared" si="11"/>
        <v>111</v>
      </c>
      <c r="R34" s="1076" t="s">
        <v>940</v>
      </c>
      <c r="S34" s="1077">
        <f t="shared" si="12"/>
        <v>100</v>
      </c>
      <c r="T34" s="1076" t="s">
        <v>940</v>
      </c>
      <c r="U34" s="1077">
        <f t="shared" si="13"/>
        <v>100</v>
      </c>
      <c r="V34" s="1076" t="s">
        <v>940</v>
      </c>
      <c r="W34" s="1077">
        <f t="shared" si="14"/>
        <v>100</v>
      </c>
      <c r="X34" s="1070"/>
      <c r="Y34" s="3188"/>
      <c r="Z34" s="1069">
        <f t="shared" si="15"/>
        <v>111</v>
      </c>
      <c r="AA34" s="1088">
        <f t="shared" si="3"/>
        <v>1</v>
      </c>
      <c r="AB34" s="1088">
        <f t="shared" si="4"/>
        <v>1</v>
      </c>
      <c r="AC34" s="1088">
        <f t="shared" si="5"/>
        <v>1</v>
      </c>
    </row>
    <row r="35" spans="1:29" ht="15">
      <c r="A35" s="978" t="s">
        <v>1455</v>
      </c>
      <c r="B35" s="1261"/>
      <c r="C35" s="1262" t="s">
        <v>124</v>
      </c>
      <c r="D35" s="1263"/>
      <c r="E35" s="1264"/>
      <c r="F35" s="1265"/>
      <c r="G35" s="1266"/>
      <c r="H35" s="1267"/>
      <c r="I35" s="1264"/>
      <c r="J35" s="1267"/>
      <c r="K35" s="1053"/>
      <c r="L35" s="1054"/>
      <c r="M35" s="995"/>
      <c r="N35" s="1030"/>
      <c r="O35" s="995"/>
      <c r="P35" s="3182" t="str">
        <f>A35</f>
        <v>成交单价（元/平方米）</v>
      </c>
      <c r="Q35" s="3182"/>
      <c r="R35" s="3244">
        <f>E35</f>
        <v>0</v>
      </c>
      <c r="S35" s="3244"/>
      <c r="T35" s="3244">
        <f>G35</f>
        <v>0</v>
      </c>
      <c r="U35" s="3244"/>
      <c r="V35" s="3244">
        <f>I35</f>
        <v>0</v>
      </c>
      <c r="W35" s="3244"/>
      <c r="X35" s="1081"/>
      <c r="Y35" s="1090"/>
      <c r="Z35" s="1081"/>
      <c r="AA35" s="1081"/>
      <c r="AB35" s="1081"/>
      <c r="AC35" s="1081"/>
    </row>
    <row r="36" spans="1:29" ht="15">
      <c r="A36" s="986" t="s">
        <v>960</v>
      </c>
      <c r="B36" s="1268"/>
      <c r="C36" s="1269" t="e">
        <f>R37</f>
        <v>#DIV/0!</v>
      </c>
      <c r="D36" s="1270"/>
      <c r="E36" s="1271" t="e">
        <f>R36</f>
        <v>#DIV/0!</v>
      </c>
      <c r="F36" s="1271"/>
      <c r="G36" s="1269" t="e">
        <f>T36</f>
        <v>#DIV/0!</v>
      </c>
      <c r="H36" s="1270"/>
      <c r="I36" s="1271" t="e">
        <f>V36</f>
        <v>#DIV/0!</v>
      </c>
      <c r="J36" s="1270"/>
      <c r="K36" s="1055"/>
      <c r="L36" s="1054"/>
      <c r="M36" s="995"/>
      <c r="N36" s="1030"/>
      <c r="O36" s="995"/>
      <c r="P36" s="3182" t="str">
        <f>A36</f>
        <v>比较价值（元/平方米）</v>
      </c>
      <c r="Q36" s="3182"/>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1081"/>
      <c r="Y36" s="1081"/>
      <c r="Z36" s="1081"/>
      <c r="AA36" s="1081"/>
      <c r="AB36" s="1081"/>
      <c r="AC36" s="1081"/>
    </row>
    <row r="37" spans="1:29" ht="15">
      <c r="A37" s="992" t="s">
        <v>961</v>
      </c>
      <c r="B37" s="993"/>
      <c r="C37" s="1272" t="e">
        <f>R37</f>
        <v>#DIV/0!</v>
      </c>
      <c r="D37" s="1272"/>
      <c r="E37" s="1272"/>
      <c r="F37" s="1272"/>
      <c r="G37" s="1272"/>
      <c r="H37" s="1272"/>
      <c r="I37" s="1272"/>
      <c r="J37" s="1272"/>
      <c r="K37" s="1056"/>
      <c r="L37" s="1054"/>
      <c r="M37" s="995"/>
      <c r="N37" s="995"/>
      <c r="O37" s="995"/>
      <c r="P37" s="3192" t="str">
        <f>A37</f>
        <v>估价对象XX用房的比较价值（楼面单价，元/平方米）</v>
      </c>
      <c r="Q37" s="3193"/>
      <c r="R37" s="3251" t="e">
        <f>IF(F1="售价",ROUND(AVERAGE(R36:V36),0),ROUND(AVERAGE(R36:V36),1))</f>
        <v>#DIV/0!</v>
      </c>
      <c r="S37" s="3251"/>
      <c r="T37" s="3251"/>
      <c r="U37" s="3251"/>
      <c r="V37" s="3251"/>
      <c r="W37" s="3251"/>
      <c r="X37" s="1081"/>
      <c r="Y37" s="1081"/>
      <c r="Z37" s="1081"/>
      <c r="AA37" s="1081"/>
      <c r="AB37" s="1081"/>
      <c r="AC37" s="1081"/>
    </row>
    <row r="38" spans="1:29">
      <c r="A38" s="995"/>
      <c r="B38" s="995"/>
      <c r="C38" s="995"/>
      <c r="D38" s="995"/>
      <c r="E38" s="995"/>
      <c r="F38" s="995"/>
      <c r="G38" s="996"/>
      <c r="H38" s="995"/>
      <c r="I38" s="995"/>
      <c r="J38" s="995"/>
      <c r="K38" s="1058"/>
      <c r="L38" s="1059"/>
      <c r="M38" s="995"/>
      <c r="N38" s="995"/>
      <c r="O38" s="995"/>
    </row>
    <row r="39" spans="1:29">
      <c r="A39" s="995"/>
      <c r="B39" s="995"/>
      <c r="C39" s="995"/>
      <c r="D39" s="995"/>
      <c r="E39" s="995"/>
      <c r="F39" s="995"/>
      <c r="G39" s="995"/>
      <c r="H39" s="995"/>
      <c r="I39" s="995"/>
      <c r="J39" s="995"/>
      <c r="K39" s="1058"/>
      <c r="L39" s="1059"/>
      <c r="M39" s="995"/>
      <c r="N39" s="995"/>
      <c r="O39" s="995"/>
    </row>
    <row r="40" spans="1:29" ht="13.5" customHeight="1">
      <c r="A40" s="995"/>
      <c r="B40" s="995"/>
      <c r="C40" s="997" t="s">
        <v>962</v>
      </c>
      <c r="D40" s="697"/>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58"/>
      <c r="L40" s="1059"/>
      <c r="M40" s="995"/>
      <c r="N40" s="995"/>
      <c r="O40" s="995"/>
    </row>
    <row r="41" spans="1:29" ht="13.5" customHeight="1">
      <c r="A41" s="995"/>
      <c r="B41" s="995"/>
      <c r="C41" s="997" t="s">
        <v>963</v>
      </c>
      <c r="D41" s="696"/>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58"/>
      <c r="L41" s="1059"/>
      <c r="M41" s="995"/>
      <c r="N41" s="995"/>
      <c r="O41" s="995"/>
    </row>
    <row r="42" spans="1:29" s="877" customFormat="1" ht="13.5" customHeight="1">
      <c r="A42" s="1000"/>
      <c r="B42" s="1000"/>
      <c r="C42" s="997" t="s">
        <v>964</v>
      </c>
      <c r="D42" s="696"/>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60"/>
      <c r="L42" s="1061"/>
      <c r="M42" s="1000"/>
      <c r="N42" s="1000"/>
      <c r="O42" s="1000"/>
    </row>
    <row r="43" spans="1:29" s="877" customFormat="1">
      <c r="A43" s="1000"/>
      <c r="B43" s="1001"/>
      <c r="C43" s="1273"/>
      <c r="D43" s="1000"/>
      <c r="E43" s="1000"/>
      <c r="F43" s="1000"/>
      <c r="G43" s="1000"/>
      <c r="H43" s="1000"/>
      <c r="I43" s="1000"/>
      <c r="J43" s="1000"/>
      <c r="K43" s="1060"/>
      <c r="L43" s="1061"/>
      <c r="M43" s="1000"/>
      <c r="N43" s="1000"/>
      <c r="O43" s="1000"/>
    </row>
    <row r="44" spans="1:29">
      <c r="A44" s="995"/>
      <c r="B44" s="1001"/>
      <c r="C44" s="1273"/>
      <c r="D44" s="995"/>
      <c r="E44" s="995"/>
      <c r="F44" s="995"/>
      <c r="G44" s="995"/>
      <c r="H44" s="995"/>
      <c r="I44" s="995"/>
      <c r="J44" s="995"/>
      <c r="K44" s="1058"/>
      <c r="L44" s="1059"/>
      <c r="M44" s="995"/>
      <c r="N44" s="995"/>
      <c r="O44" s="995"/>
    </row>
    <row r="45" spans="1:29" ht="21">
      <c r="A45" s="1098" t="s">
        <v>990</v>
      </c>
      <c r="B45" s="1081"/>
      <c r="C45" s="1099"/>
      <c r="D45" s="1099"/>
      <c r="E45" s="1099"/>
      <c r="F45" s="1100"/>
      <c r="G45" s="1100"/>
      <c r="H45" s="1099"/>
      <c r="I45" s="1099"/>
      <c r="J45" s="1099"/>
      <c r="K45" s="1286"/>
      <c r="L45" s="1287"/>
      <c r="M45" s="1099"/>
      <c r="N45" s="1099"/>
      <c r="O45" s="1099"/>
      <c r="P45" s="1160"/>
      <c r="Q45" s="1164"/>
    </row>
    <row r="46" spans="1:29" s="879" customFormat="1" ht="15">
      <c r="A46" s="1274" t="s">
        <v>938</v>
      </c>
      <c r="B46" s="1275"/>
      <c r="C46" s="1276" t="str">
        <f>YEAR(C7)&amp;"-"&amp;MONTH(C7)</f>
        <v>2021-7</v>
      </c>
      <c r="D46" s="1277">
        <f>EDATE(C46,-1)</f>
        <v>44348</v>
      </c>
      <c r="E46" s="1277">
        <f t="shared" ref="E46:O46" si="16">EDATE(D46,-1)</f>
        <v>44317</v>
      </c>
      <c r="F46" s="1277">
        <f t="shared" si="16"/>
        <v>44287</v>
      </c>
      <c r="G46" s="1277">
        <f t="shared" si="16"/>
        <v>44256</v>
      </c>
      <c r="H46" s="1277">
        <f t="shared" si="16"/>
        <v>44228</v>
      </c>
      <c r="I46" s="1277">
        <f t="shared" si="16"/>
        <v>44197</v>
      </c>
      <c r="J46" s="1277">
        <f t="shared" si="16"/>
        <v>44166</v>
      </c>
      <c r="K46" s="1277">
        <f t="shared" si="16"/>
        <v>44136</v>
      </c>
      <c r="L46" s="1277">
        <f t="shared" si="16"/>
        <v>44105</v>
      </c>
      <c r="M46" s="1277">
        <f t="shared" si="16"/>
        <v>44075</v>
      </c>
      <c r="N46" s="1277">
        <f t="shared" si="16"/>
        <v>44044</v>
      </c>
      <c r="O46" s="1277">
        <f t="shared" si="16"/>
        <v>44013</v>
      </c>
      <c r="P46" s="1161"/>
    </row>
    <row r="47" spans="1:29" s="874" customFormat="1" ht="15">
      <c r="A47" s="1278"/>
      <c r="B47" s="1112"/>
      <c r="C47" s="1279">
        <v>100</v>
      </c>
      <c r="D47" s="1116"/>
      <c r="E47" s="1116"/>
      <c r="F47" s="1116"/>
      <c r="G47" s="1116"/>
      <c r="H47" s="1116"/>
      <c r="I47" s="1116"/>
      <c r="J47" s="1116"/>
      <c r="K47" s="1116"/>
      <c r="L47" s="1116"/>
      <c r="M47" s="1288"/>
      <c r="N47" s="1116"/>
      <c r="O47" s="1171"/>
      <c r="P47" s="1164"/>
    </row>
    <row r="48" spans="1:29" s="874" customFormat="1" ht="15">
      <c r="A48" s="1107" t="s">
        <v>992</v>
      </c>
      <c r="B48" s="1108"/>
      <c r="C48" s="1109"/>
      <c r="D48" s="1110"/>
      <c r="E48" s="1110"/>
      <c r="F48" s="1110"/>
      <c r="G48" s="1110"/>
      <c r="H48" s="1110"/>
      <c r="I48" s="1110"/>
      <c r="J48" s="1110"/>
      <c r="K48" s="1110"/>
      <c r="L48" s="1110"/>
      <c r="M48" s="1165"/>
      <c r="N48" s="1110"/>
      <c r="O48" s="1289"/>
      <c r="P48" s="1164"/>
      <c r="Q48" s="1164"/>
    </row>
    <row r="49" spans="1:17" s="874" customFormat="1" ht="15">
      <c r="A49" s="1111" t="s">
        <v>941</v>
      </c>
      <c r="B49" s="1112"/>
      <c r="C49" s="1113" t="s">
        <v>942</v>
      </c>
      <c r="D49" s="1114"/>
      <c r="E49" s="1114"/>
      <c r="F49" s="1114"/>
      <c r="G49" s="1114"/>
      <c r="H49" s="1114"/>
      <c r="I49" s="1114"/>
      <c r="J49" s="1114"/>
      <c r="K49" s="1114"/>
      <c r="L49" s="1167"/>
      <c r="M49" s="1168"/>
      <c r="N49" s="1169"/>
      <c r="O49" s="1169"/>
      <c r="P49" s="1170"/>
      <c r="Q49" s="1164"/>
    </row>
    <row r="50" spans="1:17" s="874" customFormat="1" ht="15">
      <c r="A50" s="1111"/>
      <c r="B50" s="1112"/>
      <c r="C50" s="1115">
        <v>100</v>
      </c>
      <c r="D50" s="1116"/>
      <c r="E50" s="1116"/>
      <c r="F50" s="1116"/>
      <c r="G50" s="1116"/>
      <c r="H50" s="1116"/>
      <c r="I50" s="1116"/>
      <c r="J50" s="1116"/>
      <c r="K50" s="1116"/>
      <c r="L50" s="1116"/>
      <c r="M50" s="1171"/>
      <c r="N50" s="1169"/>
      <c r="O50" s="1169"/>
      <c r="P50" s="1164"/>
      <c r="Q50" s="1164"/>
    </row>
    <row r="51" spans="1:17">
      <c r="A51" s="1117" t="s">
        <v>993</v>
      </c>
      <c r="B51" s="1118" t="s">
        <v>349</v>
      </c>
      <c r="C51" s="1140">
        <f>C9</f>
        <v>0</v>
      </c>
      <c r="D51" s="1051"/>
      <c r="E51" s="1051"/>
      <c r="F51" s="1051"/>
      <c r="G51" s="1051"/>
      <c r="H51" s="1051"/>
      <c r="I51" s="1051"/>
      <c r="J51" s="1051"/>
      <c r="K51" s="1172"/>
      <c r="L51" s="1173"/>
      <c r="M51" s="1174"/>
      <c r="N51" s="1175"/>
      <c r="O51" s="1175"/>
      <c r="P51" s="1176"/>
      <c r="Q51" s="1164"/>
    </row>
    <row r="52" spans="1:17" ht="15">
      <c r="A52" s="1119"/>
      <c r="B52" s="1120"/>
      <c r="C52" s="1121">
        <v>100</v>
      </c>
      <c r="D52" s="1121"/>
      <c r="E52" s="1121"/>
      <c r="F52" s="1121"/>
      <c r="G52" s="1121"/>
      <c r="H52" s="1121"/>
      <c r="I52" s="1121"/>
      <c r="J52" s="1121"/>
      <c r="K52" s="1121"/>
      <c r="L52" s="1121"/>
      <c r="M52" s="1177"/>
      <c r="N52" s="1178"/>
      <c r="O52" s="1178"/>
      <c r="P52" s="1176"/>
      <c r="Q52" s="1164"/>
    </row>
    <row r="53" spans="1:17" ht="27">
      <c r="A53" s="1119"/>
      <c r="B53" s="1122" t="s">
        <v>947</v>
      </c>
      <c r="C53" s="1123" t="s">
        <v>1456</v>
      </c>
      <c r="D53" s="1123" t="s">
        <v>1457</v>
      </c>
      <c r="E53" s="1123" t="s">
        <v>1458</v>
      </c>
      <c r="F53" s="1123" t="s">
        <v>1459</v>
      </c>
      <c r="G53" s="1123" t="s">
        <v>1460</v>
      </c>
      <c r="H53" s="1123" t="s">
        <v>1461</v>
      </c>
      <c r="I53" s="1123" t="s">
        <v>1462</v>
      </c>
      <c r="J53" s="1123"/>
      <c r="K53" s="1179"/>
      <c r="L53" s="1180"/>
      <c r="M53" s="1181"/>
      <c r="N53" s="1175"/>
      <c r="O53" s="1175"/>
      <c r="P53" s="1176"/>
      <c r="Q53" s="1164"/>
    </row>
    <row r="54" spans="1:17" ht="15">
      <c r="A54" s="1119"/>
      <c r="B54" s="1124"/>
      <c r="C54" s="1125" t="s">
        <v>989</v>
      </c>
      <c r="D54" s="1125" t="s">
        <v>989</v>
      </c>
      <c r="E54" s="1125">
        <v>100</v>
      </c>
      <c r="F54" s="1125">
        <f>E54-$K10</f>
        <v>100</v>
      </c>
      <c r="G54" s="1125">
        <f>F54-$K10</f>
        <v>100</v>
      </c>
      <c r="H54" s="1125">
        <f>G54-$K10</f>
        <v>100</v>
      </c>
      <c r="I54" s="1125">
        <f>H54-$K10</f>
        <v>100</v>
      </c>
      <c r="J54" s="1125"/>
      <c r="K54" s="1125"/>
      <c r="L54" s="1125"/>
      <c r="M54" s="1182"/>
      <c r="N54" s="1178"/>
      <c r="O54" s="1178"/>
      <c r="P54" s="1176"/>
      <c r="Q54" s="1164"/>
    </row>
    <row r="55" spans="1:17" ht="15">
      <c r="A55" s="1119"/>
      <c r="B55" s="1146">
        <f>B11</f>
        <v>111</v>
      </c>
      <c r="C55" s="926"/>
      <c r="D55" s="926"/>
      <c r="E55" s="926"/>
      <c r="F55" s="926"/>
      <c r="G55" s="926"/>
      <c r="H55" s="926"/>
      <c r="I55" s="926"/>
      <c r="J55" s="926"/>
      <c r="K55" s="1183"/>
      <c r="L55" s="1184"/>
      <c r="M55" s="1185"/>
      <c r="N55" s="1175"/>
      <c r="O55" s="1175"/>
      <c r="P55" s="1176"/>
      <c r="Q55" s="1164"/>
    </row>
    <row r="56" spans="1:17" ht="15">
      <c r="A56" s="1119"/>
      <c r="B56" s="1120"/>
      <c r="C56" s="1132"/>
      <c r="D56" s="1121"/>
      <c r="E56" s="1121"/>
      <c r="F56" s="1121"/>
      <c r="G56" s="1121"/>
      <c r="H56" s="1121"/>
      <c r="I56" s="1121"/>
      <c r="J56" s="1121"/>
      <c r="K56" s="1121"/>
      <c r="L56" s="1121"/>
      <c r="M56" s="1177"/>
      <c r="N56" s="1178"/>
      <c r="O56" s="1178"/>
      <c r="P56" s="1176"/>
      <c r="Q56" s="1164"/>
    </row>
    <row r="57" spans="1:17" s="876" customFormat="1" ht="15">
      <c r="A57" s="1129"/>
      <c r="B57" s="1122">
        <f>B12</f>
        <v>111</v>
      </c>
      <c r="C57" s="926"/>
      <c r="D57" s="926"/>
      <c r="E57" s="926"/>
      <c r="F57" s="926"/>
      <c r="G57" s="1130"/>
      <c r="H57" s="1131"/>
      <c r="I57" s="1131"/>
      <c r="J57" s="1131"/>
      <c r="K57" s="1131"/>
      <c r="L57" s="1186"/>
      <c r="M57" s="1187"/>
      <c r="N57" s="1188"/>
      <c r="O57" s="1188"/>
      <c r="P57" s="1189"/>
      <c r="Q57" s="1217"/>
    </row>
    <row r="58" spans="1:17" s="876" customFormat="1" ht="15">
      <c r="A58" s="1129"/>
      <c r="B58" s="1124"/>
      <c r="C58" s="1132"/>
      <c r="D58" s="1121"/>
      <c r="E58" s="1121"/>
      <c r="F58" s="1121"/>
      <c r="G58" s="1121"/>
      <c r="H58" s="1121"/>
      <c r="I58" s="1121"/>
      <c r="J58" s="1121"/>
      <c r="K58" s="1121"/>
      <c r="L58" s="1121"/>
      <c r="M58" s="1177"/>
      <c r="N58" s="1178"/>
      <c r="O58" s="1178"/>
      <c r="P58" s="1189"/>
      <c r="Q58" s="1217"/>
    </row>
    <row r="59" spans="1:17" s="876" customFormat="1" ht="15">
      <c r="A59" s="1129"/>
      <c r="B59" s="1122">
        <f>B13</f>
        <v>111</v>
      </c>
      <c r="C59" s="926"/>
      <c r="D59" s="926"/>
      <c r="E59" s="926"/>
      <c r="F59" s="926"/>
      <c r="G59" s="1130"/>
      <c r="H59" s="1131"/>
      <c r="I59" s="1131"/>
      <c r="J59" s="1131"/>
      <c r="K59" s="1131"/>
      <c r="L59" s="1186"/>
      <c r="M59" s="1187"/>
      <c r="N59" s="1188"/>
      <c r="O59" s="1188"/>
      <c r="P59" s="1190"/>
      <c r="Q59" s="1218"/>
    </row>
    <row r="60" spans="1:17" s="876" customFormat="1" ht="15">
      <c r="A60" s="1129"/>
      <c r="B60" s="1124"/>
      <c r="C60" s="1132"/>
      <c r="D60" s="1132"/>
      <c r="E60" s="1132"/>
      <c r="F60" s="1132"/>
      <c r="G60" s="1132"/>
      <c r="H60" s="1133"/>
      <c r="I60" s="1133"/>
      <c r="J60" s="1133"/>
      <c r="K60" s="1133"/>
      <c r="L60" s="1133"/>
      <c r="M60" s="1191"/>
      <c r="N60" s="1188"/>
      <c r="O60" s="1188"/>
      <c r="P60" s="1189"/>
      <c r="Q60" s="1217"/>
    </row>
    <row r="61" spans="1:17">
      <c r="A61" s="1117" t="s">
        <v>949</v>
      </c>
      <c r="B61" s="1118" t="s">
        <v>663</v>
      </c>
      <c r="C61" s="1139" t="s">
        <v>994</v>
      </c>
      <c r="D61" s="1139" t="s">
        <v>995</v>
      </c>
      <c r="E61" s="1139" t="s">
        <v>996</v>
      </c>
      <c r="F61" s="1139" t="s">
        <v>997</v>
      </c>
      <c r="G61" s="1139" t="s">
        <v>998</v>
      </c>
      <c r="H61" s="1140"/>
      <c r="I61" s="1140"/>
      <c r="J61" s="1140"/>
      <c r="K61" s="1196"/>
      <c r="L61" s="1197"/>
      <c r="M61" s="1198"/>
      <c r="N61" s="1175"/>
      <c r="O61" s="1175"/>
      <c r="P61" s="1199"/>
      <c r="Q61" s="1164"/>
    </row>
    <row r="62" spans="1:17" ht="15">
      <c r="A62" s="1119"/>
      <c r="B62" s="1124"/>
      <c r="C62" s="1125">
        <v>100</v>
      </c>
      <c r="D62" s="1125">
        <f>C62-$K14</f>
        <v>100</v>
      </c>
      <c r="E62" s="1125">
        <f>D62-$K14</f>
        <v>100</v>
      </c>
      <c r="F62" s="1125">
        <f>E62-$K14</f>
        <v>100</v>
      </c>
      <c r="G62" s="1125">
        <f>F62-$K14</f>
        <v>100</v>
      </c>
      <c r="H62" s="1125"/>
      <c r="I62" s="1125"/>
      <c r="J62" s="1125"/>
      <c r="K62" s="1125"/>
      <c r="L62" s="1125"/>
      <c r="M62" s="1182"/>
      <c r="N62" s="1178"/>
      <c r="O62" s="1178"/>
      <c r="P62" s="1176"/>
      <c r="Q62" s="1164"/>
    </row>
    <row r="63" spans="1:17" ht="27">
      <c r="A63" s="1119"/>
      <c r="B63" s="1122" t="s">
        <v>1514</v>
      </c>
      <c r="C63" s="1141" t="s">
        <v>994</v>
      </c>
      <c r="D63" s="1141" t="s">
        <v>995</v>
      </c>
      <c r="E63" s="1141" t="s">
        <v>996</v>
      </c>
      <c r="F63" s="1141" t="s">
        <v>997</v>
      </c>
      <c r="G63" s="1141" t="s">
        <v>998</v>
      </c>
      <c r="H63" s="1123"/>
      <c r="I63" s="1123"/>
      <c r="J63" s="1123"/>
      <c r="K63" s="1179"/>
      <c r="L63" s="1180"/>
      <c r="M63" s="1181"/>
      <c r="N63" s="1175"/>
      <c r="O63" s="1175"/>
      <c r="P63" s="1176"/>
      <c r="Q63" s="1164"/>
    </row>
    <row r="64" spans="1:17" ht="15">
      <c r="A64" s="1119"/>
      <c r="B64" s="1124"/>
      <c r="C64" s="1125">
        <v>100</v>
      </c>
      <c r="D64" s="1125">
        <f>C64-$K16</f>
        <v>100</v>
      </c>
      <c r="E64" s="1125">
        <f>D64-$K16</f>
        <v>100</v>
      </c>
      <c r="F64" s="1125">
        <f>E64-$K16</f>
        <v>100</v>
      </c>
      <c r="G64" s="1125">
        <f>F64-$K16</f>
        <v>100</v>
      </c>
      <c r="H64" s="1125"/>
      <c r="I64" s="1125"/>
      <c r="J64" s="1125"/>
      <c r="K64" s="1125"/>
      <c r="L64" s="1125"/>
      <c r="M64" s="1182"/>
      <c r="N64" s="1178"/>
      <c r="O64" s="1178"/>
      <c r="P64" s="1176"/>
      <c r="Q64" s="1164"/>
    </row>
    <row r="65" spans="1:17" ht="15">
      <c r="A65" s="1119"/>
      <c r="B65" s="1126" t="s">
        <v>669</v>
      </c>
      <c r="C65" s="1146" t="s">
        <v>999</v>
      </c>
      <c r="D65" s="1146" t="s">
        <v>1000</v>
      </c>
      <c r="E65" s="1146" t="s">
        <v>1001</v>
      </c>
      <c r="F65" s="1146" t="s">
        <v>1002</v>
      </c>
      <c r="G65" s="1146" t="s">
        <v>1003</v>
      </c>
      <c r="H65" s="1123"/>
      <c r="I65" s="1123"/>
      <c r="J65" s="1123"/>
      <c r="K65" s="1123"/>
      <c r="L65" s="1123"/>
      <c r="M65" s="1294"/>
      <c r="N65" s="1178"/>
      <c r="O65" s="1178"/>
      <c r="P65" s="1176"/>
      <c r="Q65" s="1164"/>
    </row>
    <row r="66" spans="1:17" ht="15">
      <c r="A66" s="1119"/>
      <c r="B66" s="1126"/>
      <c r="C66" s="1125">
        <v>100</v>
      </c>
      <c r="D66" s="1125">
        <f>C66-$K18</f>
        <v>100</v>
      </c>
      <c r="E66" s="1125">
        <f>D66-$K18</f>
        <v>100</v>
      </c>
      <c r="F66" s="1125">
        <f>E66-$K18</f>
        <v>100</v>
      </c>
      <c r="G66" s="1125">
        <f>F66-$K18</f>
        <v>100</v>
      </c>
      <c r="H66" s="1146"/>
      <c r="I66" s="1146"/>
      <c r="J66" s="1146"/>
      <c r="K66" s="1146"/>
      <c r="L66" s="1146"/>
      <c r="M66" s="941"/>
      <c r="N66" s="1178"/>
      <c r="O66" s="1178"/>
      <c r="P66" s="1176"/>
      <c r="Q66" s="1164"/>
    </row>
    <row r="67" spans="1:17" ht="15">
      <c r="A67" s="1119"/>
      <c r="B67" s="1122" t="s">
        <v>673</v>
      </c>
      <c r="C67" s="1141" t="s">
        <v>994</v>
      </c>
      <c r="D67" s="1141" t="s">
        <v>995</v>
      </c>
      <c r="E67" s="1141" t="s">
        <v>996</v>
      </c>
      <c r="F67" s="1141" t="s">
        <v>997</v>
      </c>
      <c r="G67" s="1141" t="s">
        <v>998</v>
      </c>
      <c r="H67" s="1123"/>
      <c r="I67" s="1123"/>
      <c r="J67" s="1123"/>
      <c r="K67" s="1179"/>
      <c r="L67" s="1180"/>
      <c r="M67" s="1181"/>
      <c r="N67" s="1175"/>
      <c r="O67" s="1175"/>
      <c r="P67" s="1176"/>
      <c r="Q67" s="1164"/>
    </row>
    <row r="68" spans="1:17" ht="15">
      <c r="A68" s="1119"/>
      <c r="B68" s="1124"/>
      <c r="C68" s="1125">
        <v>100</v>
      </c>
      <c r="D68" s="1125">
        <f>C68-$K20</f>
        <v>100</v>
      </c>
      <c r="E68" s="1125">
        <f>D68-$K20</f>
        <v>100</v>
      </c>
      <c r="F68" s="1125">
        <f>E68-$K20</f>
        <v>100</v>
      </c>
      <c r="G68" s="1125">
        <f>F68-$K20</f>
        <v>100</v>
      </c>
      <c r="H68" s="1125"/>
      <c r="I68" s="1125"/>
      <c r="J68" s="1125"/>
      <c r="K68" s="1125"/>
      <c r="L68" s="1125"/>
      <c r="M68" s="1182"/>
      <c r="N68" s="1178"/>
      <c r="O68" s="1178"/>
      <c r="P68" s="1176"/>
      <c r="Q68" s="1164"/>
    </row>
    <row r="69" spans="1:17" ht="15">
      <c r="A69" s="1119"/>
      <c r="B69" s="1122" t="s">
        <v>1486</v>
      </c>
      <c r="C69" s="1130"/>
      <c r="D69" s="1130"/>
      <c r="E69" s="1130"/>
      <c r="F69" s="1130"/>
      <c r="G69" s="1130"/>
      <c r="H69" s="1147"/>
      <c r="I69" s="1147"/>
      <c r="J69" s="1147"/>
      <c r="K69" s="1206"/>
      <c r="L69" s="1207"/>
      <c r="M69" s="1208"/>
      <c r="N69" s="1175"/>
      <c r="O69" s="1175"/>
      <c r="P69" s="1176"/>
      <c r="Q69" s="1164"/>
    </row>
    <row r="70" spans="1:17" ht="15">
      <c r="A70" s="1119"/>
      <c r="B70" s="1124"/>
      <c r="C70" s="1125">
        <v>100</v>
      </c>
      <c r="D70" s="1125">
        <f>C70-$K22</f>
        <v>100</v>
      </c>
      <c r="E70" s="1125"/>
      <c r="F70" s="1125"/>
      <c r="G70" s="1125"/>
      <c r="H70" s="1125"/>
      <c r="I70" s="1125"/>
      <c r="J70" s="1125"/>
      <c r="K70" s="1125"/>
      <c r="L70" s="1125"/>
      <c r="M70" s="1182"/>
      <c r="N70" s="1178"/>
      <c r="O70" s="1178"/>
      <c r="P70" s="1176"/>
      <c r="Q70" s="1164"/>
    </row>
    <row r="71" spans="1:17" s="874" customFormat="1" ht="15">
      <c r="A71" s="1142"/>
      <c r="B71" s="1122">
        <f>B23</f>
        <v>111</v>
      </c>
      <c r="C71" s="926"/>
      <c r="D71" s="926"/>
      <c r="E71" s="926"/>
      <c r="F71" s="926"/>
      <c r="G71" s="1130"/>
      <c r="H71" s="1130"/>
      <c r="I71" s="1130"/>
      <c r="J71" s="1130"/>
      <c r="K71" s="1130"/>
      <c r="L71" s="1295"/>
      <c r="M71" s="1296"/>
      <c r="N71" s="1169"/>
      <c r="O71" s="1169"/>
      <c r="P71" s="1176"/>
      <c r="Q71" s="1164"/>
    </row>
    <row r="72" spans="1:17" s="874" customFormat="1" ht="15">
      <c r="A72" s="1142"/>
      <c r="B72" s="1124"/>
      <c r="C72" s="1132"/>
      <c r="D72" s="1121"/>
      <c r="E72" s="1121"/>
      <c r="F72" s="1121"/>
      <c r="G72" s="1121"/>
      <c r="H72" s="1121"/>
      <c r="I72" s="1121"/>
      <c r="J72" s="1121"/>
      <c r="K72" s="1121"/>
      <c r="L72" s="1121"/>
      <c r="M72" s="1177"/>
      <c r="N72" s="1178"/>
      <c r="O72" s="1178"/>
      <c r="P72" s="1176"/>
      <c r="Q72" s="1164"/>
    </row>
    <row r="73" spans="1:17" s="874" customFormat="1" ht="15">
      <c r="A73" s="1142"/>
      <c r="B73" s="1122">
        <f>B24</f>
        <v>111</v>
      </c>
      <c r="C73" s="926"/>
      <c r="D73" s="926"/>
      <c r="E73" s="926"/>
      <c r="F73" s="926"/>
      <c r="G73" s="1130"/>
      <c r="H73" s="1130"/>
      <c r="I73" s="1130"/>
      <c r="J73" s="1130"/>
      <c r="K73" s="1130"/>
      <c r="L73" s="1130"/>
      <c r="M73" s="1296"/>
      <c r="N73" s="1169"/>
      <c r="O73" s="1169"/>
      <c r="P73" s="1176"/>
      <c r="Q73" s="1164"/>
    </row>
    <row r="74" spans="1:17" s="874" customFormat="1" ht="15">
      <c r="A74" s="1142"/>
      <c r="B74" s="1124"/>
      <c r="C74" s="1132"/>
      <c r="D74" s="1121"/>
      <c r="E74" s="1121"/>
      <c r="F74" s="1121"/>
      <c r="G74" s="1121"/>
      <c r="H74" s="1121"/>
      <c r="I74" s="1121"/>
      <c r="J74" s="1121"/>
      <c r="K74" s="1121"/>
      <c r="L74" s="1121"/>
      <c r="M74" s="1177"/>
      <c r="N74" s="1178"/>
      <c r="O74" s="1178"/>
      <c r="P74" s="1176"/>
      <c r="Q74" s="1164"/>
    </row>
    <row r="75" spans="1:17" s="876" customFormat="1" ht="15">
      <c r="A75" s="1129"/>
      <c r="B75" s="1122">
        <f>B25</f>
        <v>111</v>
      </c>
      <c r="C75" s="926"/>
      <c r="D75" s="926"/>
      <c r="E75" s="926"/>
      <c r="F75" s="926"/>
      <c r="G75" s="1130"/>
      <c r="H75" s="1131"/>
      <c r="I75" s="1131"/>
      <c r="J75" s="1131"/>
      <c r="K75" s="1131"/>
      <c r="L75" s="1186"/>
      <c r="M75" s="1187"/>
      <c r="N75" s="1188"/>
      <c r="O75" s="1188"/>
      <c r="P75" s="1189"/>
      <c r="Q75" s="1217"/>
    </row>
    <row r="76" spans="1:17" s="876" customFormat="1" ht="15">
      <c r="A76" s="1129"/>
      <c r="B76" s="1124"/>
      <c r="C76" s="1132"/>
      <c r="D76" s="1132"/>
      <c r="E76" s="1132"/>
      <c r="F76" s="1132"/>
      <c r="G76" s="1121"/>
      <c r="H76" s="1121"/>
      <c r="I76" s="1121"/>
      <c r="J76" s="1121"/>
      <c r="K76" s="1121"/>
      <c r="L76" s="1121"/>
      <c r="M76" s="1177"/>
      <c r="N76" s="1188"/>
      <c r="O76" s="1188"/>
      <c r="P76" s="1189"/>
      <c r="Q76" s="1217"/>
    </row>
    <row r="77" spans="1:17">
      <c r="A77" s="1117" t="s">
        <v>952</v>
      </c>
      <c r="B77" s="1118" t="s">
        <v>1448</v>
      </c>
      <c r="C77" s="1130"/>
      <c r="D77" s="1130"/>
      <c r="E77" s="1051"/>
      <c r="F77" s="1051"/>
      <c r="G77" s="1051"/>
      <c r="H77" s="1051"/>
      <c r="I77" s="1051"/>
      <c r="J77" s="1051"/>
      <c r="K77" s="1172"/>
      <c r="L77" s="1173"/>
      <c r="M77" s="1174"/>
      <c r="N77" s="1175"/>
      <c r="O77" s="1175"/>
      <c r="P77" s="1176"/>
      <c r="Q77" s="1164"/>
    </row>
    <row r="78" spans="1:17" ht="15">
      <c r="A78" s="1119"/>
      <c r="B78" s="1124"/>
      <c r="C78" s="1125">
        <v>100</v>
      </c>
      <c r="D78" s="1125">
        <f t="shared" ref="D78:M78" si="17">C78-$K26</f>
        <v>100</v>
      </c>
      <c r="E78" s="1125">
        <f t="shared" si="17"/>
        <v>100</v>
      </c>
      <c r="F78" s="1125">
        <f t="shared" si="17"/>
        <v>100</v>
      </c>
      <c r="G78" s="1125">
        <f t="shared" si="17"/>
        <v>100</v>
      </c>
      <c r="H78" s="1125">
        <f t="shared" si="17"/>
        <v>100</v>
      </c>
      <c r="I78" s="1125">
        <f t="shared" si="17"/>
        <v>100</v>
      </c>
      <c r="J78" s="1125">
        <f t="shared" si="17"/>
        <v>100</v>
      </c>
      <c r="K78" s="1125">
        <f t="shared" si="17"/>
        <v>100</v>
      </c>
      <c r="L78" s="1125">
        <f t="shared" si="17"/>
        <v>100</v>
      </c>
      <c r="M78" s="1182">
        <f t="shared" si="17"/>
        <v>100</v>
      </c>
      <c r="N78" s="1178"/>
      <c r="O78" s="1178"/>
      <c r="P78" s="1176"/>
      <c r="Q78" s="1164"/>
    </row>
    <row r="79" spans="1:17" ht="15">
      <c r="A79" s="1119"/>
      <c r="B79" s="1122" t="s">
        <v>1504</v>
      </c>
      <c r="C79" s="1141" t="str">
        <f>C80&amp;"(含)"&amp;"-"&amp;D80</f>
        <v>0.5(含)-0.6</v>
      </c>
      <c r="D79" s="1141" t="str">
        <f>D80&amp;"(含)"&amp;"-"&amp;E80</f>
        <v>0.6(含)-0.7</v>
      </c>
      <c r="E79" s="1141" t="str">
        <f>E80&amp;"(含)"&amp;"-"&amp;F80</f>
        <v>0.7(含)-0.8</v>
      </c>
      <c r="F79" s="1141" t="str">
        <f>F80&amp;"(含)"&amp;"-"&amp;G80</f>
        <v>0.8(含)-0.9</v>
      </c>
      <c r="G79" s="1141" t="str">
        <f>G80&amp;"(含)"&amp;"-"&amp;ROUND(H80,0)&amp;"(含)"</f>
        <v>0.9(含)-1(含)</v>
      </c>
      <c r="H79" s="1141"/>
      <c r="I79" s="1123"/>
      <c r="J79" s="1123"/>
      <c r="K79" s="1179"/>
      <c r="L79" s="1180"/>
      <c r="M79" s="1181"/>
      <c r="N79" s="1169"/>
      <c r="O79" s="1169"/>
      <c r="P79" s="1176"/>
      <c r="Q79" s="1164"/>
    </row>
    <row r="80" spans="1:17" ht="15">
      <c r="A80" s="1119"/>
      <c r="B80" s="1126"/>
      <c r="C80" s="809">
        <v>0.5</v>
      </c>
      <c r="D80" s="809">
        <v>0.6</v>
      </c>
      <c r="E80" s="809">
        <v>0.7</v>
      </c>
      <c r="F80" s="809">
        <v>0.8</v>
      </c>
      <c r="G80" s="809">
        <v>0.9</v>
      </c>
      <c r="H80" s="809">
        <v>1.0001</v>
      </c>
      <c r="I80" s="1146"/>
      <c r="J80" s="1146"/>
      <c r="K80" s="1297"/>
      <c r="L80" s="1298"/>
      <c r="M80" s="1299"/>
      <c r="N80" s="1169"/>
      <c r="O80" s="1169"/>
      <c r="P80" s="1176"/>
      <c r="Q80" s="1164"/>
    </row>
    <row r="81" spans="1:17" s="876" customFormat="1" ht="15">
      <c r="A81" s="1129"/>
      <c r="B81" s="1124"/>
      <c r="C81" s="1143">
        <v>100</v>
      </c>
      <c r="D81" s="1125">
        <f t="shared" ref="D81:M81" si="18">C81+$K27</f>
        <v>100</v>
      </c>
      <c r="E81" s="1125">
        <f t="shared" si="18"/>
        <v>100</v>
      </c>
      <c r="F81" s="1125">
        <f t="shared" si="18"/>
        <v>100</v>
      </c>
      <c r="G81" s="1125">
        <f t="shared" si="18"/>
        <v>100</v>
      </c>
      <c r="H81" s="1125">
        <f t="shared" si="18"/>
        <v>100</v>
      </c>
      <c r="I81" s="1125">
        <f t="shared" si="18"/>
        <v>100</v>
      </c>
      <c r="J81" s="1125">
        <f t="shared" si="18"/>
        <v>100</v>
      </c>
      <c r="K81" s="1125">
        <f t="shared" si="18"/>
        <v>100</v>
      </c>
      <c r="L81" s="1125">
        <f t="shared" si="18"/>
        <v>100</v>
      </c>
      <c r="M81" s="1125">
        <f t="shared" si="18"/>
        <v>100</v>
      </c>
      <c r="N81" s="1178"/>
      <c r="O81" s="1178"/>
      <c r="P81" s="1189"/>
      <c r="Q81" s="1217"/>
    </row>
    <row r="82" spans="1:17">
      <c r="A82" s="1153"/>
      <c r="B82" s="1126" t="s">
        <v>1505</v>
      </c>
      <c r="C82" s="1130"/>
      <c r="D82" s="1130"/>
      <c r="E82" s="1147"/>
      <c r="F82" s="1147"/>
      <c r="G82" s="1147"/>
      <c r="H82" s="1147"/>
      <c r="I82" s="1147"/>
      <c r="J82" s="1147"/>
      <c r="K82" s="1206"/>
      <c r="L82" s="1207"/>
      <c r="M82" s="1208"/>
      <c r="N82" s="1175"/>
      <c r="O82" s="1175"/>
      <c r="P82" s="1176"/>
      <c r="Q82" s="1164"/>
    </row>
    <row r="83" spans="1:17" ht="15">
      <c r="A83" s="1119"/>
      <c r="B83" s="1124"/>
      <c r="C83" s="1125">
        <v>100</v>
      </c>
      <c r="D83" s="1125">
        <f t="shared" ref="D83:M83" si="19">C83-$K28</f>
        <v>100</v>
      </c>
      <c r="E83" s="1125">
        <f t="shared" si="19"/>
        <v>100</v>
      </c>
      <c r="F83" s="1125">
        <f t="shared" si="19"/>
        <v>100</v>
      </c>
      <c r="G83" s="1125">
        <f t="shared" si="19"/>
        <v>100</v>
      </c>
      <c r="H83" s="1125">
        <f t="shared" si="19"/>
        <v>100</v>
      </c>
      <c r="I83" s="1125">
        <f t="shared" si="19"/>
        <v>100</v>
      </c>
      <c r="J83" s="1125">
        <f t="shared" si="19"/>
        <v>100</v>
      </c>
      <c r="K83" s="1125">
        <f t="shared" si="19"/>
        <v>100</v>
      </c>
      <c r="L83" s="1125">
        <f t="shared" si="19"/>
        <v>100</v>
      </c>
      <c r="M83" s="1182">
        <f t="shared" si="19"/>
        <v>100</v>
      </c>
      <c r="N83" s="1178"/>
      <c r="O83" s="1178"/>
      <c r="P83" s="1176"/>
      <c r="Q83" s="1164"/>
    </row>
    <row r="84" spans="1:17">
      <c r="A84" s="1153"/>
      <c r="B84" s="1122" t="s">
        <v>1512</v>
      </c>
      <c r="C84" s="1130"/>
      <c r="D84" s="1130"/>
      <c r="E84" s="1130"/>
      <c r="F84" s="1130"/>
      <c r="G84" s="1130"/>
      <c r="H84" s="1130"/>
      <c r="I84" s="1147"/>
      <c r="J84" s="1147"/>
      <c r="K84" s="1206"/>
      <c r="L84" s="1207"/>
      <c r="M84" s="1208"/>
      <c r="N84" s="1175"/>
      <c r="O84" s="1175"/>
      <c r="P84" s="1176"/>
      <c r="Q84" s="1164"/>
    </row>
    <row r="85" spans="1:17" ht="15">
      <c r="A85" s="1119"/>
      <c r="B85" s="1124"/>
      <c r="C85" s="1143">
        <v>100</v>
      </c>
      <c r="D85" s="1125">
        <f t="shared" ref="D85:M85" si="20">C85+$K29</f>
        <v>100</v>
      </c>
      <c r="E85" s="1125">
        <f t="shared" si="20"/>
        <v>100</v>
      </c>
      <c r="F85" s="1125">
        <f t="shared" si="20"/>
        <v>100</v>
      </c>
      <c r="G85" s="1125">
        <f t="shared" si="20"/>
        <v>100</v>
      </c>
      <c r="H85" s="1125">
        <f t="shared" si="20"/>
        <v>100</v>
      </c>
      <c r="I85" s="1125">
        <f t="shared" si="20"/>
        <v>100</v>
      </c>
      <c r="J85" s="1125">
        <f t="shared" si="20"/>
        <v>100</v>
      </c>
      <c r="K85" s="1125">
        <f t="shared" si="20"/>
        <v>100</v>
      </c>
      <c r="L85" s="1125">
        <f t="shared" si="20"/>
        <v>100</v>
      </c>
      <c r="M85" s="1125">
        <f t="shared" si="20"/>
        <v>100</v>
      </c>
      <c r="N85" s="1178"/>
      <c r="O85" s="1178"/>
      <c r="P85" s="1176"/>
      <c r="Q85" s="1164"/>
    </row>
    <row r="86" spans="1:17">
      <c r="A86" s="1153"/>
      <c r="B86" s="1126" t="s">
        <v>532</v>
      </c>
      <c r="C86" s="1141" t="str">
        <f t="shared" ref="C86:L86" si="21">C87&amp;"(含)"&amp;"-"&amp;D87</f>
        <v>(含)-</v>
      </c>
      <c r="D86" s="1141" t="str">
        <f t="shared" si="21"/>
        <v>(含)-</v>
      </c>
      <c r="E86" s="1141" t="str">
        <f t="shared" si="21"/>
        <v>(含)-</v>
      </c>
      <c r="F86" s="1141" t="str">
        <f t="shared" si="21"/>
        <v>(含)-</v>
      </c>
      <c r="G86" s="1141" t="str">
        <f t="shared" si="21"/>
        <v>(含)-</v>
      </c>
      <c r="H86" s="1141" t="str">
        <f t="shared" si="21"/>
        <v>(含)-</v>
      </c>
      <c r="I86" s="1141" t="str">
        <f t="shared" si="21"/>
        <v>(含)-</v>
      </c>
      <c r="J86" s="1141" t="str">
        <f t="shared" si="21"/>
        <v>(含)-</v>
      </c>
      <c r="K86" s="1141" t="str">
        <f t="shared" si="21"/>
        <v>(含)-</v>
      </c>
      <c r="L86" s="1141" t="str">
        <f t="shared" si="21"/>
        <v>(含)-</v>
      </c>
      <c r="M86" s="1201" t="str">
        <f>M87&amp;"(含)"&amp;"-"&amp;P87</f>
        <v>(含)-</v>
      </c>
      <c r="N86" s="1175"/>
      <c r="O86" s="1175"/>
      <c r="P86" s="1176"/>
      <c r="Q86" s="1164"/>
    </row>
    <row r="87" spans="1:17">
      <c r="A87" s="1153"/>
      <c r="B87" s="1126"/>
      <c r="C87" s="1106"/>
      <c r="D87" s="1106"/>
      <c r="E87" s="1106"/>
      <c r="F87" s="1106"/>
      <c r="G87" s="1106"/>
      <c r="H87" s="1106"/>
      <c r="I87" s="1106"/>
      <c r="J87" s="1213"/>
      <c r="K87" s="1213"/>
      <c r="L87" s="1214"/>
      <c r="M87" s="1215"/>
      <c r="N87" s="1175"/>
      <c r="O87" s="1175"/>
      <c r="P87" s="1176"/>
      <c r="Q87" s="1164"/>
    </row>
    <row r="88" spans="1:17" ht="15">
      <c r="A88" s="1119"/>
      <c r="B88" s="1124"/>
      <c r="C88" s="1132"/>
      <c r="D88" s="1121"/>
      <c r="E88" s="1121"/>
      <c r="F88" s="1121"/>
      <c r="G88" s="1121"/>
      <c r="H88" s="1121"/>
      <c r="I88" s="1121"/>
      <c r="J88" s="1121"/>
      <c r="K88" s="1121"/>
      <c r="L88" s="1121"/>
      <c r="M88" s="1121"/>
      <c r="N88" s="1178"/>
      <c r="O88" s="1178"/>
      <c r="P88" s="1176"/>
      <c r="Q88" s="1164"/>
    </row>
    <row r="89" spans="1:17" s="876" customFormat="1">
      <c r="A89" s="1150"/>
      <c r="B89" s="1122" t="s">
        <v>1513</v>
      </c>
      <c r="C89" s="1130"/>
      <c r="D89" s="1130"/>
      <c r="E89" s="1130"/>
      <c r="F89" s="1130"/>
      <c r="G89" s="1130"/>
      <c r="H89" s="1130"/>
      <c r="I89" s="1130"/>
      <c r="J89" s="1130"/>
      <c r="K89" s="1130"/>
      <c r="L89" s="1130"/>
      <c r="M89" s="1296"/>
      <c r="N89" s="1188"/>
      <c r="O89" s="1188"/>
      <c r="P89" s="1189"/>
      <c r="Q89" s="1217"/>
    </row>
    <row r="90" spans="1:17" s="876" customFormat="1" ht="15">
      <c r="A90" s="1129"/>
      <c r="B90" s="1124"/>
      <c r="C90" s="1132"/>
      <c r="D90" s="1121"/>
      <c r="E90" s="1121"/>
      <c r="F90" s="1121"/>
      <c r="G90" s="1121"/>
      <c r="H90" s="1121"/>
      <c r="I90" s="1121"/>
      <c r="J90" s="1121"/>
      <c r="K90" s="1121"/>
      <c r="L90" s="1121"/>
      <c r="M90" s="1177"/>
      <c r="N90" s="1188"/>
      <c r="O90" s="1188"/>
      <c r="P90" s="1189"/>
      <c r="Q90" s="1217"/>
    </row>
    <row r="91" spans="1:17">
      <c r="A91" s="1153"/>
      <c r="B91" s="1122">
        <f>B32</f>
        <v>111</v>
      </c>
      <c r="C91" s="926"/>
      <c r="D91" s="926"/>
      <c r="E91" s="926"/>
      <c r="F91" s="926"/>
      <c r="G91" s="1130"/>
      <c r="H91" s="1131"/>
      <c r="I91" s="1131"/>
      <c r="J91" s="1131"/>
      <c r="K91" s="1131"/>
      <c r="L91" s="1186"/>
      <c r="M91" s="1187"/>
      <c r="N91" s="1175"/>
      <c r="O91" s="1175"/>
      <c r="P91" s="1176"/>
      <c r="Q91" s="1164"/>
    </row>
    <row r="92" spans="1:17" ht="15">
      <c r="A92" s="1119"/>
      <c r="B92" s="1124"/>
      <c r="C92" s="1132"/>
      <c r="D92" s="1121"/>
      <c r="E92" s="1121"/>
      <c r="F92" s="1121"/>
      <c r="G92" s="1132"/>
      <c r="H92" s="1133"/>
      <c r="I92" s="1133"/>
      <c r="J92" s="1133"/>
      <c r="K92" s="1133"/>
      <c r="L92" s="1133"/>
      <c r="M92" s="1191"/>
      <c r="N92" s="1178"/>
      <c r="O92" s="1178"/>
      <c r="P92" s="1176"/>
      <c r="Q92" s="1164"/>
    </row>
    <row r="93" spans="1:17">
      <c r="A93" s="1153"/>
      <c r="B93" s="1122">
        <f>B33</f>
        <v>111</v>
      </c>
      <c r="C93" s="926"/>
      <c r="D93" s="926"/>
      <c r="E93" s="926"/>
      <c r="F93" s="926"/>
      <c r="G93" s="1130"/>
      <c r="H93" s="1131"/>
      <c r="I93" s="1131"/>
      <c r="J93" s="1131"/>
      <c r="K93" s="1131"/>
      <c r="L93" s="1186"/>
      <c r="M93" s="1187"/>
      <c r="N93" s="1175"/>
      <c r="O93" s="1175"/>
      <c r="P93" s="1176"/>
      <c r="Q93" s="1164"/>
    </row>
    <row r="94" spans="1:17" ht="15">
      <c r="A94" s="1119"/>
      <c r="B94" s="1124"/>
      <c r="C94" s="1132"/>
      <c r="D94" s="1121"/>
      <c r="E94" s="1121"/>
      <c r="F94" s="1121"/>
      <c r="G94" s="1132"/>
      <c r="H94" s="1133"/>
      <c r="I94" s="1133"/>
      <c r="J94" s="1133"/>
      <c r="K94" s="1133"/>
      <c r="L94" s="1133"/>
      <c r="M94" s="1191"/>
      <c r="N94" s="1178"/>
      <c r="O94" s="1178"/>
      <c r="P94" s="1176"/>
      <c r="Q94" s="1164"/>
    </row>
    <row r="95" spans="1:17">
      <c r="A95" s="1153"/>
      <c r="B95" s="1292">
        <f>B34</f>
        <v>111</v>
      </c>
      <c r="C95" s="926"/>
      <c r="D95" s="926"/>
      <c r="E95" s="926"/>
      <c r="F95" s="926"/>
      <c r="G95" s="1130"/>
      <c r="H95" s="1131"/>
      <c r="I95" s="1131"/>
      <c r="J95" s="1131"/>
      <c r="K95" s="1131"/>
      <c r="L95" s="1186"/>
      <c r="M95" s="1187"/>
      <c r="N95" s="1178"/>
      <c r="O95" s="1178"/>
      <c r="P95" s="1300"/>
      <c r="Q95" s="1303"/>
    </row>
    <row r="96" spans="1:17" ht="15">
      <c r="A96" s="1119"/>
      <c r="B96" s="1124"/>
      <c r="C96" s="1132"/>
      <c r="D96" s="1132"/>
      <c r="E96" s="1132"/>
      <c r="F96" s="1132"/>
      <c r="G96" s="1132"/>
      <c r="H96" s="1133"/>
      <c r="I96" s="1133"/>
      <c r="J96" s="1133"/>
      <c r="K96" s="1133"/>
      <c r="L96" s="1133"/>
      <c r="M96" s="1191"/>
      <c r="N96" s="1178"/>
      <c r="O96" s="1178"/>
      <c r="P96" s="1176"/>
      <c r="Q96" s="1164"/>
    </row>
    <row r="98" spans="1:20">
      <c r="A98" s="1293"/>
      <c r="B98" s="1293"/>
      <c r="C98" s="1293"/>
      <c r="D98" s="1293"/>
      <c r="E98" s="1293"/>
      <c r="F98" s="1293"/>
      <c r="G98" s="1293"/>
      <c r="H98" s="1293"/>
      <c r="I98" s="1293"/>
      <c r="J98" s="1293"/>
      <c r="K98" s="1301"/>
      <c r="L98" s="1302"/>
      <c r="M98" s="1293"/>
      <c r="N98" s="1293"/>
      <c r="O98" s="1293"/>
      <c r="P98" s="1293"/>
      <c r="Q98" s="1293"/>
      <c r="R98" s="1293"/>
      <c r="S98" s="1293"/>
      <c r="T98" s="1293"/>
    </row>
    <row r="99" spans="1:20">
      <c r="A99" s="1293"/>
      <c r="B99" s="1293"/>
      <c r="C99" s="1293"/>
      <c r="D99" s="1293"/>
      <c r="E99" s="1293"/>
      <c r="F99" s="1293"/>
      <c r="G99" s="1293"/>
      <c r="H99" s="1293"/>
      <c r="I99" s="1293"/>
      <c r="J99" s="1293"/>
      <c r="K99" s="1301"/>
      <c r="L99" s="1302"/>
      <c r="M99" s="1293"/>
      <c r="N99" s="1293"/>
      <c r="O99" s="1293"/>
      <c r="P99" s="1293"/>
      <c r="Q99" s="1293"/>
      <c r="R99" s="1293"/>
      <c r="S99" s="1293"/>
      <c r="T99" s="1293"/>
    </row>
    <row r="100" spans="1:20">
      <c r="A100" s="1293"/>
      <c r="B100" s="1293"/>
      <c r="C100" s="1293"/>
      <c r="D100" s="1293"/>
      <c r="E100" s="1293"/>
      <c r="F100" s="1293"/>
      <c r="G100" s="1293"/>
      <c r="H100" s="1293"/>
      <c r="I100" s="1293"/>
      <c r="J100" s="1293"/>
      <c r="K100" s="1301"/>
      <c r="L100" s="1302"/>
      <c r="M100" s="1293"/>
      <c r="N100" s="1293"/>
      <c r="O100" s="1293"/>
      <c r="P100" s="1293"/>
      <c r="Q100" s="1293"/>
      <c r="R100" s="1293"/>
      <c r="S100" s="1293"/>
      <c r="T100" s="1293"/>
    </row>
    <row r="101" spans="1:20">
      <c r="A101" s="1293"/>
      <c r="B101" s="1293"/>
      <c r="C101" s="1293"/>
      <c r="D101" s="1293"/>
      <c r="E101" s="1293"/>
      <c r="F101" s="1293"/>
      <c r="G101" s="1293"/>
      <c r="H101" s="1293"/>
      <c r="I101" s="1293"/>
      <c r="J101" s="1293"/>
      <c r="K101" s="1301"/>
      <c r="L101" s="1302"/>
      <c r="M101" s="1293"/>
      <c r="N101" s="1293"/>
      <c r="O101" s="1293"/>
      <c r="P101" s="1293"/>
      <c r="Q101" s="1293"/>
      <c r="R101" s="1293"/>
      <c r="S101" s="1293"/>
      <c r="T101" s="1293"/>
    </row>
    <row r="102" spans="1:20">
      <c r="A102" s="1293"/>
      <c r="B102" s="1293"/>
      <c r="C102" s="1293"/>
      <c r="D102" s="1293"/>
      <c r="E102" s="1293"/>
      <c r="F102" s="1293"/>
      <c r="G102" s="1293"/>
      <c r="H102" s="1293"/>
      <c r="I102" s="1293"/>
      <c r="J102" s="1293"/>
      <c r="K102" s="1301"/>
      <c r="L102" s="1302"/>
      <c r="M102" s="1293"/>
      <c r="N102" s="1293"/>
      <c r="O102" s="1293"/>
      <c r="P102" s="1293"/>
      <c r="Q102" s="1293"/>
      <c r="R102" s="1293"/>
      <c r="S102" s="1293"/>
      <c r="T102" s="1293"/>
    </row>
    <row r="103" spans="1:20">
      <c r="A103" s="1293"/>
      <c r="B103" s="1293"/>
      <c r="C103" s="1293"/>
      <c r="D103" s="1293"/>
      <c r="E103" s="1293"/>
      <c r="F103" s="1293"/>
      <c r="G103" s="1293"/>
      <c r="H103" s="1293"/>
      <c r="I103" s="1293"/>
      <c r="J103" s="1293"/>
      <c r="K103" s="1301"/>
      <c r="L103" s="1302"/>
      <c r="M103" s="1293"/>
      <c r="N103" s="1293"/>
      <c r="O103" s="1293"/>
      <c r="P103" s="1293"/>
      <c r="Q103" s="1293"/>
      <c r="R103" s="1293"/>
      <c r="S103" s="1293"/>
      <c r="T103" s="1293"/>
    </row>
    <row r="104" spans="1:20">
      <c r="A104" s="1293"/>
      <c r="B104" s="1293"/>
      <c r="C104" s="1293"/>
      <c r="D104" s="1293"/>
      <c r="E104" s="1293"/>
      <c r="F104" s="1293"/>
      <c r="G104" s="1293"/>
      <c r="H104" s="1293"/>
      <c r="I104" s="1293"/>
      <c r="J104" s="1293"/>
      <c r="K104" s="1301"/>
      <c r="L104" s="1302"/>
      <c r="M104" s="1293"/>
      <c r="N104" s="1293"/>
      <c r="O104" s="1293"/>
      <c r="P104" s="1293"/>
      <c r="Q104" s="1293"/>
      <c r="R104" s="1293"/>
      <c r="S104" s="1293"/>
      <c r="T104" s="1293"/>
    </row>
    <row r="105" spans="1:20">
      <c r="A105" s="1293"/>
      <c r="B105" s="1293"/>
      <c r="C105" s="1293"/>
      <c r="D105" s="1293"/>
      <c r="E105" s="1293"/>
      <c r="F105" s="1293"/>
      <c r="G105" s="1293"/>
      <c r="H105" s="1293"/>
      <c r="I105" s="1293"/>
      <c r="J105" s="1293"/>
      <c r="K105" s="1301"/>
      <c r="L105" s="1302"/>
      <c r="M105" s="1293"/>
      <c r="N105" s="1293"/>
      <c r="O105" s="1293"/>
      <c r="P105" s="1293"/>
      <c r="Q105" s="1293"/>
      <c r="R105" s="1293"/>
      <c r="S105" s="1293"/>
      <c r="T105" s="1293"/>
    </row>
    <row r="106" spans="1:20">
      <c r="A106" s="1293"/>
      <c r="B106" s="1293"/>
      <c r="C106" s="1293"/>
      <c r="D106" s="1293"/>
      <c r="E106" s="1293"/>
      <c r="F106" s="1293"/>
      <c r="G106" s="1293"/>
      <c r="H106" s="1293"/>
      <c r="I106" s="1293"/>
      <c r="J106" s="1293"/>
      <c r="K106" s="1301"/>
      <c r="L106" s="1302"/>
      <c r="M106" s="1293"/>
      <c r="N106" s="1293"/>
      <c r="O106" s="1293"/>
      <c r="P106" s="1293"/>
      <c r="Q106" s="1293"/>
      <c r="R106" s="1293"/>
      <c r="S106" s="1293"/>
      <c r="T106" s="1293"/>
    </row>
    <row r="107" spans="1:20">
      <c r="A107" s="1293"/>
      <c r="B107" s="1293"/>
      <c r="C107" s="1293"/>
      <c r="D107" s="1293"/>
      <c r="E107" s="1293"/>
      <c r="F107" s="1293"/>
      <c r="G107" s="1293"/>
      <c r="H107" s="1293"/>
      <c r="I107" s="1293"/>
      <c r="J107" s="1293"/>
      <c r="K107" s="1301"/>
      <c r="L107" s="1302"/>
      <c r="M107" s="1293"/>
      <c r="N107" s="1293"/>
      <c r="O107" s="1293"/>
      <c r="P107" s="1293"/>
      <c r="Q107" s="1293"/>
      <c r="R107" s="1293"/>
      <c r="S107" s="1293"/>
      <c r="T107" s="1293"/>
    </row>
    <row r="108" spans="1:20">
      <c r="A108" s="1293"/>
      <c r="B108" s="1293"/>
      <c r="C108" s="1293"/>
      <c r="D108" s="1293"/>
      <c r="E108" s="1293"/>
      <c r="F108" s="1293"/>
      <c r="G108" s="1293"/>
      <c r="H108" s="1293"/>
      <c r="I108" s="1293"/>
      <c r="J108" s="1293"/>
      <c r="K108" s="1301"/>
      <c r="L108" s="1302"/>
      <c r="M108" s="1293"/>
      <c r="N108" s="1293"/>
      <c r="O108" s="1293"/>
      <c r="P108" s="1293"/>
      <c r="Q108" s="1293"/>
      <c r="R108" s="1293"/>
      <c r="S108" s="1293"/>
      <c r="T108" s="1293"/>
    </row>
    <row r="109" spans="1:20">
      <c r="A109" s="1293"/>
      <c r="B109" s="1293"/>
      <c r="C109" s="1293"/>
      <c r="D109" s="1293"/>
      <c r="E109" s="1293"/>
      <c r="F109" s="1293"/>
      <c r="G109" s="1293"/>
      <c r="H109" s="1293"/>
      <c r="I109" s="1293"/>
      <c r="J109" s="1293"/>
      <c r="K109" s="1301"/>
      <c r="L109" s="1302"/>
      <c r="M109" s="1293"/>
      <c r="N109" s="1293"/>
      <c r="O109" s="1293"/>
      <c r="P109" s="1293"/>
      <c r="Q109" s="1293"/>
      <c r="R109" s="1293"/>
      <c r="S109" s="1293"/>
      <c r="T109" s="1293"/>
    </row>
    <row r="110" spans="1:20">
      <c r="A110" s="1293"/>
      <c r="B110" s="1293"/>
      <c r="C110" s="1293"/>
      <c r="D110" s="1293"/>
      <c r="E110" s="1293"/>
      <c r="F110" s="1293"/>
      <c r="G110" s="1293"/>
      <c r="H110" s="1293"/>
      <c r="I110" s="1293"/>
      <c r="J110" s="1293"/>
      <c r="K110" s="1301"/>
      <c r="L110" s="1302"/>
      <c r="M110" s="1293"/>
      <c r="N110" s="1293"/>
      <c r="O110" s="1293"/>
      <c r="P110" s="1293"/>
      <c r="Q110" s="1293"/>
      <c r="R110" s="1293"/>
      <c r="S110" s="1293"/>
      <c r="T110" s="1293"/>
    </row>
    <row r="111" spans="1:20">
      <c r="A111" s="1293"/>
      <c r="B111" s="1293"/>
      <c r="C111" s="1293"/>
      <c r="D111" s="1293"/>
      <c r="E111" s="1293"/>
      <c r="F111" s="1293"/>
      <c r="G111" s="1293"/>
      <c r="H111" s="1293"/>
      <c r="I111" s="1293"/>
      <c r="J111" s="1293"/>
      <c r="K111" s="1301"/>
      <c r="L111" s="1302"/>
      <c r="M111" s="1293"/>
      <c r="N111" s="1293"/>
      <c r="O111" s="1293"/>
      <c r="P111" s="1293"/>
      <c r="Q111" s="1293"/>
      <c r="R111" s="1293"/>
      <c r="S111" s="1293"/>
      <c r="T111" s="1293"/>
    </row>
    <row r="112" spans="1:20">
      <c r="A112" s="1293"/>
      <c r="B112" s="1293"/>
      <c r="C112" s="1293"/>
      <c r="D112" s="1293"/>
      <c r="E112" s="1293"/>
      <c r="F112" s="1293"/>
      <c r="G112" s="1293"/>
      <c r="H112" s="1293"/>
      <c r="I112" s="1293"/>
      <c r="J112" s="1293"/>
      <c r="K112" s="1301"/>
      <c r="L112" s="1302"/>
      <c r="M112" s="1293"/>
      <c r="N112" s="1293"/>
      <c r="O112" s="1293"/>
      <c r="P112" s="1293"/>
      <c r="Q112" s="1293"/>
      <c r="R112" s="1293"/>
      <c r="S112" s="1293"/>
      <c r="T112" s="1293"/>
    </row>
    <row r="113" spans="1:20">
      <c r="A113" s="1293"/>
      <c r="B113" s="1293"/>
      <c r="C113" s="1293"/>
      <c r="D113" s="1293"/>
      <c r="E113" s="1293"/>
      <c r="F113" s="1293"/>
      <c r="G113" s="1293"/>
      <c r="H113" s="1293"/>
      <c r="I113" s="1293"/>
      <c r="J113" s="1293"/>
      <c r="K113" s="1301"/>
      <c r="L113" s="1302"/>
      <c r="M113" s="1293"/>
      <c r="N113" s="1293"/>
      <c r="O113" s="1293"/>
      <c r="P113" s="1293"/>
      <c r="Q113" s="1293"/>
      <c r="R113" s="1293"/>
      <c r="S113" s="1293"/>
      <c r="T113" s="1293"/>
    </row>
    <row r="114" spans="1:20">
      <c r="A114" s="1293"/>
      <c r="B114" s="1293"/>
      <c r="C114" s="1293"/>
      <c r="D114" s="1293"/>
      <c r="E114" s="1293"/>
      <c r="F114" s="1293"/>
      <c r="G114" s="1293"/>
      <c r="H114" s="1293"/>
      <c r="I114" s="1293"/>
      <c r="J114" s="1293"/>
      <c r="K114" s="1301"/>
      <c r="L114" s="1302"/>
      <c r="M114" s="1293"/>
      <c r="N114" s="1293"/>
      <c r="O114" s="1293"/>
      <c r="P114" s="1293"/>
      <c r="Q114" s="1293"/>
      <c r="R114" s="1293"/>
      <c r="S114" s="1293"/>
      <c r="T114" s="1293"/>
    </row>
    <row r="115" spans="1:20">
      <c r="A115" s="1293"/>
      <c r="B115" s="1293"/>
      <c r="C115" s="1293"/>
      <c r="D115" s="1293"/>
      <c r="E115" s="1293"/>
      <c r="F115" s="1293"/>
      <c r="G115" s="1293"/>
      <c r="H115" s="1293"/>
      <c r="I115" s="1293"/>
      <c r="J115" s="1293"/>
      <c r="K115" s="1301"/>
      <c r="L115" s="1302"/>
      <c r="M115" s="1293"/>
      <c r="N115" s="1293"/>
      <c r="O115" s="1293"/>
      <c r="P115" s="1293"/>
      <c r="Q115" s="1293"/>
      <c r="R115" s="1293"/>
      <c r="S115" s="1293"/>
      <c r="T115" s="1293"/>
    </row>
    <row r="116" spans="1:20">
      <c r="A116" s="1293"/>
      <c r="B116" s="1293"/>
      <c r="C116" s="1293"/>
      <c r="D116" s="1293"/>
      <c r="E116" s="1293"/>
      <c r="F116" s="1293"/>
      <c r="G116" s="1293"/>
      <c r="H116" s="1293"/>
      <c r="I116" s="1293"/>
      <c r="J116" s="1293"/>
      <c r="K116" s="1301"/>
      <c r="L116" s="1302"/>
      <c r="M116" s="1293"/>
      <c r="N116" s="1293"/>
      <c r="O116" s="1293"/>
      <c r="P116" s="1293"/>
      <c r="Q116" s="1293"/>
      <c r="R116" s="1293"/>
      <c r="S116" s="1293"/>
      <c r="T116" s="1293"/>
    </row>
    <row r="117" spans="1:20">
      <c r="A117" s="1293"/>
      <c r="B117" s="1293"/>
      <c r="C117" s="1293"/>
      <c r="D117" s="1293"/>
      <c r="E117" s="1293"/>
      <c r="F117" s="1293"/>
      <c r="G117" s="1293"/>
      <c r="H117" s="1293"/>
      <c r="I117" s="1293"/>
      <c r="J117" s="1293"/>
      <c r="K117" s="1301"/>
      <c r="L117" s="1302"/>
      <c r="M117" s="1293"/>
      <c r="N117" s="1293"/>
      <c r="O117" s="1293"/>
      <c r="P117" s="1293"/>
      <c r="Q117" s="1293"/>
      <c r="R117" s="1293"/>
      <c r="S117" s="1293"/>
      <c r="T117" s="1293"/>
    </row>
    <row r="118" spans="1:20">
      <c r="A118" s="1293"/>
      <c r="B118" s="1293"/>
      <c r="C118" s="1293"/>
      <c r="D118" s="1293"/>
      <c r="E118" s="1293"/>
      <c r="F118" s="1293"/>
      <c r="G118" s="1293"/>
      <c r="H118" s="1293"/>
      <c r="I118" s="1293"/>
      <c r="J118" s="1293"/>
      <c r="K118" s="1301"/>
      <c r="L118" s="1302"/>
      <c r="M118" s="1293"/>
      <c r="N118" s="1293"/>
      <c r="O118" s="1293"/>
      <c r="P118" s="1293"/>
      <c r="Q118" s="1293"/>
      <c r="R118" s="1293"/>
      <c r="S118" s="1293"/>
      <c r="T118" s="1293"/>
    </row>
    <row r="119" spans="1:20">
      <c r="A119" s="1293"/>
      <c r="B119" s="1293"/>
      <c r="C119" s="1293"/>
      <c r="D119" s="1293"/>
      <c r="E119" s="1293"/>
      <c r="F119" s="1293"/>
      <c r="G119" s="1293"/>
      <c r="H119" s="1293"/>
      <c r="I119" s="1293"/>
      <c r="J119" s="1293"/>
      <c r="K119" s="1301"/>
      <c r="L119" s="1302"/>
      <c r="M119" s="1293"/>
      <c r="N119" s="1293"/>
      <c r="O119" s="1293"/>
      <c r="P119" s="1293"/>
      <c r="Q119" s="1293"/>
      <c r="R119" s="1293"/>
      <c r="S119" s="1293"/>
      <c r="T119" s="1293"/>
    </row>
    <row r="120" spans="1:20">
      <c r="A120" s="1293"/>
      <c r="B120" s="1293"/>
      <c r="C120" s="1293"/>
      <c r="D120" s="1293"/>
      <c r="E120" s="1293"/>
      <c r="F120" s="1293"/>
      <c r="G120" s="1293"/>
      <c r="H120" s="1293"/>
      <c r="I120" s="1293"/>
      <c r="J120" s="1293"/>
      <c r="K120" s="1301"/>
      <c r="L120" s="1302"/>
      <c r="M120" s="1293"/>
      <c r="N120" s="1293"/>
      <c r="O120" s="1293"/>
      <c r="P120" s="1293"/>
      <c r="Q120" s="1293"/>
      <c r="R120" s="1293"/>
      <c r="S120" s="1293"/>
      <c r="T120" s="1293"/>
    </row>
    <row r="121" spans="1:20">
      <c r="A121" s="1293"/>
      <c r="B121" s="1293"/>
      <c r="C121" s="1293"/>
      <c r="D121" s="1293"/>
      <c r="E121" s="1293"/>
      <c r="F121" s="1293"/>
      <c r="G121" s="1293"/>
      <c r="H121" s="1293"/>
      <c r="I121" s="1293"/>
      <c r="J121" s="1293"/>
      <c r="K121" s="1301"/>
      <c r="L121" s="1302"/>
      <c r="M121" s="1293"/>
      <c r="N121" s="1293"/>
      <c r="O121" s="1293"/>
      <c r="P121" s="1293"/>
      <c r="Q121" s="1293"/>
      <c r="R121" s="1293"/>
      <c r="S121" s="1293"/>
      <c r="T121" s="1293"/>
    </row>
    <row r="122" spans="1:20">
      <c r="A122" s="1293"/>
      <c r="B122" s="1293"/>
      <c r="C122" s="1293"/>
      <c r="D122" s="1293"/>
      <c r="E122" s="1293"/>
      <c r="F122" s="1293"/>
      <c r="G122" s="1293"/>
      <c r="H122" s="1293"/>
      <c r="I122" s="1293"/>
      <c r="J122" s="1293"/>
      <c r="K122" s="1301"/>
      <c r="L122" s="1302"/>
      <c r="M122" s="1293"/>
      <c r="N122" s="1293"/>
      <c r="O122" s="1293"/>
      <c r="P122" s="1293"/>
      <c r="Q122" s="1293"/>
      <c r="R122" s="1293"/>
      <c r="S122" s="1293"/>
      <c r="T122" s="1293"/>
    </row>
    <row r="123" spans="1:20">
      <c r="A123" s="1293"/>
      <c r="B123" s="1293"/>
      <c r="C123" s="1293"/>
      <c r="D123" s="1293"/>
      <c r="E123" s="1293"/>
      <c r="F123" s="1293"/>
      <c r="G123" s="1293"/>
      <c r="H123" s="1293"/>
      <c r="I123" s="1293"/>
      <c r="J123" s="1293"/>
      <c r="K123" s="1301"/>
      <c r="L123" s="1302"/>
      <c r="M123" s="1293"/>
      <c r="N123" s="1293"/>
      <c r="O123" s="1293"/>
      <c r="P123" s="1293"/>
      <c r="Q123" s="1293"/>
      <c r="R123" s="1293"/>
      <c r="S123" s="1293"/>
      <c r="T123" s="1293"/>
    </row>
    <row r="124" spans="1:20">
      <c r="A124" s="1293"/>
      <c r="B124" s="1293"/>
      <c r="C124" s="1293"/>
      <c r="D124" s="1293"/>
      <c r="E124" s="1293"/>
      <c r="F124" s="1293"/>
      <c r="G124" s="1293"/>
      <c r="H124" s="1293"/>
      <c r="I124" s="1293"/>
      <c r="J124" s="1293"/>
      <c r="K124" s="1301"/>
      <c r="L124" s="1302"/>
      <c r="M124" s="1293"/>
      <c r="N124" s="1293"/>
      <c r="O124" s="1293"/>
      <c r="P124" s="1293"/>
      <c r="Q124" s="1293"/>
      <c r="R124" s="1293"/>
      <c r="S124" s="1293"/>
      <c r="T124" s="1293"/>
    </row>
    <row r="125" spans="1:20">
      <c r="A125" s="1293"/>
      <c r="B125" s="1293"/>
      <c r="C125" s="1293"/>
      <c r="D125" s="1293"/>
      <c r="E125" s="1293"/>
      <c r="F125" s="1293"/>
      <c r="G125" s="1293"/>
      <c r="H125" s="1293"/>
      <c r="I125" s="1293"/>
      <c r="J125" s="1293"/>
      <c r="K125" s="1301"/>
      <c r="L125" s="1302"/>
      <c r="M125" s="1293"/>
      <c r="N125" s="1293"/>
      <c r="O125" s="1293"/>
      <c r="P125" s="1293"/>
      <c r="Q125" s="1293"/>
      <c r="R125" s="1293"/>
      <c r="S125" s="1293"/>
      <c r="T125" s="1293"/>
    </row>
    <row r="126" spans="1:20">
      <c r="A126" s="1293"/>
      <c r="B126" s="1293"/>
      <c r="C126" s="1293"/>
      <c r="D126" s="1293"/>
      <c r="E126" s="1293"/>
      <c r="F126" s="1293"/>
      <c r="G126" s="1293"/>
      <c r="H126" s="1293"/>
      <c r="I126" s="1293"/>
      <c r="J126" s="1293"/>
      <c r="K126" s="1301"/>
      <c r="L126" s="1302"/>
      <c r="M126" s="1293"/>
      <c r="N126" s="1293"/>
      <c r="O126" s="1293"/>
      <c r="P126" s="1293"/>
      <c r="Q126" s="1293"/>
      <c r="R126" s="1293"/>
      <c r="S126" s="1293"/>
      <c r="T126" s="1293"/>
    </row>
    <row r="127" spans="1:20">
      <c r="A127" s="1293"/>
      <c r="B127" s="1293"/>
      <c r="C127" s="1293"/>
      <c r="D127" s="1293"/>
      <c r="E127" s="1293"/>
      <c r="F127" s="1293"/>
      <c r="G127" s="1293"/>
      <c r="H127" s="1293"/>
      <c r="I127" s="1293"/>
      <c r="J127" s="1293"/>
      <c r="K127" s="1301"/>
      <c r="L127" s="1302"/>
      <c r="M127" s="1293"/>
      <c r="N127" s="1293"/>
      <c r="O127" s="1293"/>
      <c r="P127" s="1293"/>
      <c r="Q127" s="1293"/>
      <c r="R127" s="1293"/>
      <c r="S127" s="1293"/>
      <c r="T127" s="1293"/>
    </row>
    <row r="128" spans="1:20">
      <c r="A128" s="1293"/>
      <c r="B128" s="1293"/>
      <c r="C128" s="1293"/>
      <c r="D128" s="1293"/>
      <c r="E128" s="1293"/>
      <c r="F128" s="1293"/>
      <c r="G128" s="1293"/>
      <c r="H128" s="1293"/>
      <c r="I128" s="1293"/>
      <c r="J128" s="1293"/>
      <c r="K128" s="1301"/>
      <c r="L128" s="1302"/>
      <c r="M128" s="1293"/>
      <c r="N128" s="1293"/>
      <c r="O128" s="1293"/>
      <c r="P128" s="1293"/>
      <c r="Q128" s="1293"/>
      <c r="R128" s="1293"/>
      <c r="S128" s="1293"/>
      <c r="T128" s="1293"/>
    </row>
    <row r="129" spans="1:20">
      <c r="A129" s="1293"/>
      <c r="B129" s="1293"/>
      <c r="C129" s="1293"/>
      <c r="D129" s="1293"/>
      <c r="E129" s="1293"/>
      <c r="F129" s="1293"/>
      <c r="G129" s="1293"/>
      <c r="H129" s="1293"/>
      <c r="I129" s="1293"/>
      <c r="J129" s="1293"/>
      <c r="K129" s="1301"/>
      <c r="L129" s="1302"/>
      <c r="M129" s="1293"/>
      <c r="N129" s="1293"/>
      <c r="O129" s="1293"/>
      <c r="P129" s="1293"/>
      <c r="Q129" s="1293"/>
      <c r="R129" s="1293"/>
      <c r="S129" s="1293"/>
      <c r="T129" s="1293"/>
    </row>
    <row r="130" spans="1:20">
      <c r="A130" s="1293"/>
      <c r="B130" s="1293"/>
      <c r="C130" s="1293"/>
      <c r="D130" s="1293"/>
      <c r="E130" s="1293"/>
      <c r="F130" s="1293"/>
      <c r="G130" s="1293"/>
      <c r="H130" s="1293"/>
      <c r="I130" s="1293"/>
      <c r="J130" s="1293"/>
      <c r="K130" s="1301"/>
      <c r="L130" s="1302"/>
      <c r="M130" s="1293"/>
      <c r="N130" s="1293"/>
      <c r="O130" s="1293"/>
      <c r="P130" s="1293"/>
      <c r="Q130" s="1293"/>
      <c r="R130" s="1293"/>
      <c r="S130" s="1293"/>
      <c r="T130" s="1293"/>
    </row>
    <row r="131" spans="1:20">
      <c r="A131" s="1293"/>
      <c r="B131" s="1293"/>
      <c r="C131" s="1293"/>
      <c r="D131" s="1293"/>
      <c r="E131" s="1293"/>
      <c r="F131" s="1293"/>
      <c r="G131" s="1293"/>
      <c r="H131" s="1293"/>
      <c r="I131" s="1293"/>
      <c r="J131" s="1293"/>
      <c r="K131" s="1301"/>
      <c r="L131" s="1302"/>
      <c r="M131" s="1293"/>
      <c r="N131" s="1293"/>
      <c r="O131" s="1293"/>
      <c r="P131" s="1293"/>
      <c r="Q131" s="1293"/>
      <c r="R131" s="1293"/>
      <c r="S131" s="1293"/>
      <c r="T131" s="1293"/>
    </row>
    <row r="132" spans="1:20">
      <c r="A132" s="1293"/>
      <c r="B132" s="1293"/>
      <c r="C132" s="1293"/>
      <c r="D132" s="1293"/>
      <c r="E132" s="1293"/>
      <c r="F132" s="1293"/>
      <c r="G132" s="1293"/>
      <c r="H132" s="1293"/>
      <c r="I132" s="1293"/>
      <c r="J132" s="1293"/>
      <c r="K132" s="1301"/>
      <c r="L132" s="1302"/>
      <c r="M132" s="1293"/>
      <c r="N132" s="1293"/>
      <c r="O132" s="1293"/>
      <c r="P132" s="1293"/>
      <c r="Q132" s="1293"/>
      <c r="R132" s="1293"/>
      <c r="S132" s="1293"/>
      <c r="T132" s="1293"/>
    </row>
    <row r="133" spans="1:20">
      <c r="A133" s="1293"/>
      <c r="B133" s="1293"/>
      <c r="C133" s="1293"/>
      <c r="D133" s="1293"/>
      <c r="E133" s="1293"/>
      <c r="F133" s="1293"/>
      <c r="G133" s="1293"/>
      <c r="H133" s="1293"/>
      <c r="I133" s="1293"/>
      <c r="J133" s="1293"/>
      <c r="K133" s="1301"/>
      <c r="L133" s="1302"/>
      <c r="M133" s="1293"/>
      <c r="N133" s="1293"/>
      <c r="O133" s="1293"/>
      <c r="P133" s="1293"/>
      <c r="Q133" s="1293"/>
      <c r="R133" s="1293"/>
      <c r="S133" s="1293"/>
      <c r="T133" s="1293"/>
    </row>
    <row r="134" spans="1:20">
      <c r="A134" s="1293"/>
      <c r="B134" s="1293"/>
      <c r="C134" s="1293"/>
      <c r="D134" s="1293"/>
      <c r="E134" s="1293"/>
      <c r="F134" s="1293"/>
      <c r="G134" s="1293"/>
      <c r="H134" s="1293"/>
      <c r="I134" s="1293"/>
      <c r="J134" s="1293"/>
      <c r="K134" s="1301"/>
      <c r="L134" s="1302"/>
      <c r="M134" s="1293"/>
      <c r="N134" s="1293"/>
      <c r="O134" s="1293"/>
      <c r="P134" s="1293"/>
      <c r="Q134" s="1293"/>
      <c r="R134" s="1293"/>
      <c r="S134" s="1293"/>
      <c r="T134" s="1293"/>
    </row>
    <row r="135" spans="1:20">
      <c r="A135" s="1293"/>
      <c r="B135" s="1293"/>
      <c r="C135" s="1293"/>
      <c r="D135" s="1293"/>
      <c r="E135" s="1293"/>
      <c r="F135" s="1293"/>
      <c r="G135" s="1293"/>
      <c r="H135" s="1293"/>
      <c r="I135" s="1293"/>
      <c r="J135" s="1293"/>
      <c r="K135" s="1301"/>
      <c r="L135" s="1302"/>
      <c r="M135" s="1293"/>
      <c r="N135" s="1293"/>
      <c r="O135" s="1293"/>
      <c r="P135" s="1293"/>
      <c r="Q135" s="1293"/>
      <c r="R135" s="1293"/>
      <c r="S135" s="1293"/>
      <c r="T135" s="1293"/>
    </row>
    <row r="136" spans="1:20">
      <c r="A136" s="1293"/>
      <c r="B136" s="1293"/>
      <c r="C136" s="1293"/>
      <c r="D136" s="1293"/>
      <c r="E136" s="1293"/>
      <c r="F136" s="1293"/>
      <c r="G136" s="1293"/>
      <c r="H136" s="1293"/>
      <c r="I136" s="1293"/>
      <c r="J136" s="1293"/>
      <c r="K136" s="1301"/>
      <c r="L136" s="1302"/>
      <c r="M136" s="1293"/>
      <c r="N136" s="1293"/>
      <c r="O136" s="1293"/>
      <c r="P136" s="1293"/>
      <c r="Q136" s="1293"/>
      <c r="R136" s="1293"/>
      <c r="S136" s="1293"/>
      <c r="T136" s="1293"/>
    </row>
    <row r="137" spans="1:20">
      <c r="A137" s="1293"/>
      <c r="B137" s="1293"/>
      <c r="C137" s="1293"/>
      <c r="D137" s="1293"/>
      <c r="E137" s="1293"/>
      <c r="F137" s="1293"/>
      <c r="G137" s="1293"/>
      <c r="H137" s="1293"/>
      <c r="I137" s="1293"/>
      <c r="J137" s="1293"/>
      <c r="K137" s="1301"/>
      <c r="L137" s="1302"/>
      <c r="M137" s="1293"/>
      <c r="N137" s="1293"/>
      <c r="O137" s="1293"/>
      <c r="P137" s="1293"/>
      <c r="Q137" s="1293"/>
      <c r="R137" s="1293"/>
      <c r="S137" s="1293"/>
      <c r="T137" s="1293"/>
    </row>
    <row r="138" spans="1:20">
      <c r="A138" s="1293"/>
      <c r="B138" s="1293"/>
      <c r="C138" s="1293"/>
      <c r="D138" s="1293"/>
      <c r="E138" s="1293"/>
      <c r="F138" s="1293"/>
      <c r="G138" s="1293"/>
      <c r="H138" s="1293"/>
      <c r="I138" s="1293"/>
      <c r="J138" s="1293"/>
      <c r="K138" s="1301"/>
      <c r="L138" s="1302"/>
      <c r="M138" s="1293"/>
      <c r="N138" s="1293"/>
      <c r="O138" s="1293"/>
      <c r="P138" s="1293"/>
      <c r="Q138" s="1293"/>
      <c r="R138" s="1293"/>
      <c r="S138" s="1293"/>
      <c r="T138" s="1293"/>
    </row>
    <row r="139" spans="1:20">
      <c r="A139" s="1293"/>
      <c r="B139" s="1293"/>
      <c r="C139" s="1293"/>
      <c r="D139" s="1293"/>
      <c r="E139" s="1293"/>
      <c r="F139" s="1293"/>
      <c r="G139" s="1293"/>
      <c r="H139" s="1293"/>
      <c r="I139" s="1293"/>
      <c r="J139" s="1293"/>
      <c r="K139" s="1301"/>
      <c r="L139" s="1302"/>
      <c r="M139" s="1293"/>
      <c r="N139" s="1293"/>
      <c r="O139" s="1293"/>
      <c r="P139" s="1293"/>
      <c r="Q139" s="1293"/>
      <c r="R139" s="1293"/>
      <c r="S139" s="1293"/>
      <c r="T139" s="1293"/>
    </row>
    <row r="140" spans="1:20">
      <c r="A140" s="1293"/>
      <c r="B140" s="1293"/>
      <c r="C140" s="1293"/>
      <c r="D140" s="1293"/>
      <c r="E140" s="1293"/>
      <c r="F140" s="1293"/>
      <c r="G140" s="1293"/>
      <c r="H140" s="1293"/>
      <c r="I140" s="1293"/>
      <c r="J140" s="1293"/>
      <c r="K140" s="1301"/>
      <c r="L140" s="1302"/>
      <c r="M140" s="1293"/>
      <c r="N140" s="1293"/>
      <c r="O140" s="1293"/>
      <c r="P140" s="1293"/>
      <c r="Q140" s="1293"/>
      <c r="R140" s="1293"/>
      <c r="S140" s="1293"/>
      <c r="T140" s="1293"/>
    </row>
    <row r="141" spans="1:20">
      <c r="A141" s="1293"/>
      <c r="B141" s="1293"/>
      <c r="C141" s="1293"/>
      <c r="D141" s="1293"/>
      <c r="E141" s="1293"/>
      <c r="F141" s="1293"/>
      <c r="G141" s="1293"/>
      <c r="H141" s="1293"/>
      <c r="I141" s="1293"/>
      <c r="J141" s="1293"/>
      <c r="K141" s="1301"/>
      <c r="L141" s="1302"/>
      <c r="M141" s="1293"/>
      <c r="N141" s="1293"/>
      <c r="O141" s="1293"/>
      <c r="P141" s="1293"/>
      <c r="Q141" s="1293"/>
      <c r="R141" s="1293"/>
      <c r="S141" s="1293"/>
      <c r="T141" s="1293"/>
    </row>
    <row r="142" spans="1:20">
      <c r="A142" s="1293"/>
      <c r="B142" s="1293"/>
      <c r="C142" s="1293"/>
      <c r="D142" s="1293"/>
      <c r="E142" s="1293"/>
      <c r="F142" s="1293"/>
      <c r="G142" s="1293"/>
      <c r="H142" s="1293"/>
      <c r="I142" s="1293"/>
      <c r="J142" s="1293"/>
      <c r="K142" s="1301"/>
      <c r="L142" s="1302"/>
      <c r="M142" s="1293"/>
      <c r="N142" s="1293"/>
      <c r="O142" s="1293"/>
      <c r="P142" s="1293"/>
      <c r="Q142" s="1293"/>
      <c r="R142" s="1293"/>
      <c r="S142" s="1293"/>
      <c r="T142" s="1293"/>
    </row>
    <row r="143" spans="1:20">
      <c r="A143" s="1293"/>
      <c r="B143" s="1293"/>
      <c r="C143" s="1293"/>
      <c r="D143" s="1293"/>
      <c r="E143" s="1293"/>
      <c r="F143" s="1293"/>
      <c r="G143" s="1293"/>
      <c r="H143" s="1293"/>
      <c r="I143" s="1293"/>
      <c r="J143" s="1293"/>
      <c r="K143" s="1301"/>
      <c r="L143" s="1302"/>
      <c r="M143" s="1293"/>
      <c r="N143" s="1293"/>
      <c r="O143" s="1293"/>
      <c r="P143" s="1293"/>
      <c r="Q143" s="1293"/>
      <c r="R143" s="1293"/>
      <c r="S143" s="1293"/>
      <c r="T143" s="1293"/>
    </row>
    <row r="144" spans="1:20">
      <c r="A144" s="1293"/>
      <c r="B144" s="1293"/>
      <c r="C144" s="1293"/>
      <c r="D144" s="1293"/>
      <c r="E144" s="1293"/>
      <c r="F144" s="1293"/>
      <c r="G144" s="1293"/>
      <c r="H144" s="1293"/>
      <c r="I144" s="1293"/>
      <c r="J144" s="1293"/>
      <c r="K144" s="1301"/>
      <c r="L144" s="1302"/>
      <c r="M144" s="1293"/>
      <c r="N144" s="1293"/>
      <c r="O144" s="1293"/>
      <c r="P144" s="1293"/>
      <c r="Q144" s="1293"/>
      <c r="R144" s="1293"/>
      <c r="S144" s="1293"/>
      <c r="T144" s="1293"/>
    </row>
    <row r="145" spans="1:20">
      <c r="A145" s="1293"/>
      <c r="B145" s="1293"/>
      <c r="C145" s="1293"/>
      <c r="D145" s="1293"/>
      <c r="E145" s="1293"/>
      <c r="F145" s="1293"/>
      <c r="G145" s="1293"/>
      <c r="H145" s="1293"/>
      <c r="I145" s="1293"/>
      <c r="J145" s="1293"/>
      <c r="K145" s="1301"/>
      <c r="L145" s="1302"/>
      <c r="M145" s="1293"/>
      <c r="N145" s="1293"/>
      <c r="O145" s="1293"/>
      <c r="P145" s="1293"/>
      <c r="Q145" s="1293"/>
      <c r="R145" s="1293"/>
      <c r="S145" s="1293"/>
      <c r="T145" s="1293"/>
    </row>
    <row r="146" spans="1:20">
      <c r="A146" s="1293"/>
      <c r="B146" s="1293"/>
      <c r="C146" s="1293"/>
      <c r="D146" s="1293"/>
      <c r="E146" s="1293"/>
      <c r="F146" s="1293"/>
      <c r="G146" s="1293"/>
      <c r="H146" s="1293"/>
      <c r="I146" s="1293"/>
      <c r="J146" s="1293"/>
      <c r="K146" s="1301"/>
      <c r="L146" s="1302"/>
      <c r="M146" s="1293"/>
      <c r="N146" s="1293"/>
      <c r="O146" s="1293"/>
      <c r="P146" s="1293"/>
      <c r="Q146" s="1293"/>
      <c r="R146" s="1293"/>
      <c r="S146" s="1293"/>
      <c r="T146" s="1293"/>
    </row>
    <row r="147" spans="1:20">
      <c r="A147" s="1293"/>
      <c r="B147" s="1293"/>
      <c r="C147" s="1293"/>
      <c r="D147" s="1293"/>
      <c r="E147" s="1293"/>
      <c r="F147" s="1293"/>
      <c r="G147" s="1293"/>
      <c r="H147" s="1293"/>
      <c r="I147" s="1293"/>
      <c r="J147" s="1293"/>
      <c r="K147" s="1301"/>
      <c r="L147" s="1302"/>
      <c r="M147" s="1293"/>
      <c r="N147" s="1293"/>
      <c r="O147" s="1293"/>
      <c r="P147" s="1293"/>
      <c r="Q147" s="1293"/>
      <c r="R147" s="1293"/>
      <c r="S147" s="1293"/>
      <c r="T147" s="1293"/>
    </row>
    <row r="148" spans="1:20">
      <c r="A148" s="1293"/>
      <c r="B148" s="1293"/>
      <c r="C148" s="1293"/>
      <c r="D148" s="1293"/>
      <c r="E148" s="1293"/>
      <c r="F148" s="1293"/>
      <c r="G148" s="1293"/>
      <c r="H148" s="1293"/>
      <c r="I148" s="1293"/>
      <c r="J148" s="1293"/>
      <c r="K148" s="1301"/>
      <c r="L148" s="1302"/>
      <c r="M148" s="1293"/>
      <c r="N148" s="1293"/>
      <c r="O148" s="1293"/>
      <c r="P148" s="1293"/>
      <c r="Q148" s="1293"/>
      <c r="R148" s="1293"/>
      <c r="S148" s="1293"/>
      <c r="T148" s="1293"/>
    </row>
    <row r="149" spans="1:20">
      <c r="A149" s="1293"/>
      <c r="B149" s="1293"/>
      <c r="C149" s="1293"/>
      <c r="D149" s="1293"/>
      <c r="E149" s="1293"/>
      <c r="F149" s="1293"/>
      <c r="G149" s="1293"/>
      <c r="H149" s="1293"/>
      <c r="I149" s="1293"/>
      <c r="J149" s="1293"/>
      <c r="K149" s="1301"/>
      <c r="L149" s="1302"/>
      <c r="M149" s="1293"/>
      <c r="N149" s="1293"/>
      <c r="O149" s="1293"/>
      <c r="P149" s="1293"/>
      <c r="Q149" s="1293"/>
      <c r="R149" s="1293"/>
      <c r="S149" s="1293"/>
      <c r="T149" s="1293"/>
    </row>
    <row r="150" spans="1:20">
      <c r="A150" s="1293"/>
      <c r="B150" s="1293"/>
      <c r="C150" s="1293"/>
      <c r="D150" s="1293"/>
      <c r="E150" s="1293"/>
      <c r="F150" s="1293"/>
      <c r="G150" s="1293"/>
      <c r="H150" s="1293"/>
      <c r="I150" s="1293"/>
      <c r="J150" s="1293"/>
      <c r="K150" s="1301"/>
      <c r="L150" s="1302"/>
      <c r="M150" s="1293"/>
      <c r="N150" s="1293"/>
      <c r="O150" s="1293"/>
      <c r="P150" s="1293"/>
      <c r="Q150" s="1293"/>
      <c r="R150" s="1293"/>
      <c r="S150" s="1293"/>
      <c r="T150" s="1293"/>
    </row>
    <row r="151" spans="1:20">
      <c r="A151" s="1293"/>
      <c r="B151" s="1293"/>
      <c r="C151" s="1293"/>
      <c r="D151" s="1293"/>
      <c r="E151" s="1293"/>
      <c r="F151" s="1293"/>
      <c r="G151" s="1293"/>
      <c r="H151" s="1293"/>
      <c r="I151" s="1293"/>
      <c r="J151" s="1293"/>
      <c r="K151" s="1301"/>
      <c r="L151" s="1302"/>
      <c r="M151" s="1293"/>
      <c r="N151" s="1293"/>
      <c r="O151" s="1293"/>
      <c r="P151" s="1293"/>
      <c r="Q151" s="1293"/>
      <c r="R151" s="1293"/>
      <c r="S151" s="1293"/>
      <c r="T151" s="1293"/>
    </row>
    <row r="152" spans="1:20">
      <c r="A152" s="1293"/>
      <c r="B152" s="1293"/>
      <c r="C152" s="1293"/>
      <c r="D152" s="1293"/>
      <c r="E152" s="1293"/>
      <c r="F152" s="1293"/>
      <c r="G152" s="1293"/>
      <c r="H152" s="1293"/>
      <c r="I152" s="1293"/>
      <c r="J152" s="1293"/>
      <c r="K152" s="1301"/>
      <c r="L152" s="1302"/>
      <c r="M152" s="1293"/>
      <c r="N152" s="1293"/>
      <c r="O152" s="1293"/>
      <c r="P152" s="1293"/>
      <c r="Q152" s="1293"/>
      <c r="R152" s="1293"/>
      <c r="S152" s="1293"/>
      <c r="T152" s="1293"/>
    </row>
    <row r="153" spans="1:20">
      <c r="A153" s="1293"/>
      <c r="B153" s="1293"/>
      <c r="C153" s="1293"/>
      <c r="D153" s="1293"/>
      <c r="E153" s="1293"/>
      <c r="F153" s="1293"/>
      <c r="G153" s="1293"/>
      <c r="H153" s="1293"/>
      <c r="I153" s="1293"/>
      <c r="J153" s="1293"/>
      <c r="K153" s="1301"/>
      <c r="L153" s="1302"/>
      <c r="M153" s="1293"/>
      <c r="N153" s="1293"/>
      <c r="O153" s="1293"/>
      <c r="P153" s="1293"/>
      <c r="Q153" s="1293"/>
      <c r="R153" s="1293"/>
      <c r="S153" s="1293"/>
      <c r="T153" s="1293"/>
    </row>
    <row r="154" spans="1:20">
      <c r="A154" s="1293"/>
      <c r="B154" s="1293"/>
      <c r="C154" s="1293"/>
      <c r="D154" s="1293"/>
      <c r="E154" s="1293"/>
      <c r="F154" s="1293"/>
      <c r="G154" s="1293"/>
      <c r="H154" s="1293"/>
      <c r="I154" s="1293"/>
      <c r="J154" s="1293"/>
      <c r="K154" s="1301"/>
      <c r="L154" s="1302"/>
      <c r="M154" s="1293"/>
      <c r="N154" s="1293"/>
      <c r="O154" s="1293"/>
      <c r="P154" s="1293"/>
      <c r="Q154" s="1293"/>
      <c r="R154" s="1293"/>
      <c r="S154" s="1293"/>
      <c r="T154" s="1293"/>
    </row>
    <row r="155" spans="1:20">
      <c r="A155" s="1293"/>
      <c r="B155" s="1293"/>
      <c r="C155" s="1293"/>
      <c r="D155" s="1293"/>
      <c r="E155" s="1293"/>
      <c r="F155" s="1293"/>
      <c r="G155" s="1293"/>
      <c r="H155" s="1293"/>
      <c r="I155" s="1293"/>
      <c r="J155" s="1293"/>
      <c r="K155" s="1301"/>
      <c r="L155" s="1302"/>
      <c r="M155" s="1293"/>
      <c r="N155" s="1293"/>
      <c r="O155" s="1293"/>
      <c r="P155" s="1293"/>
      <c r="Q155" s="1293"/>
      <c r="R155" s="1293"/>
      <c r="S155" s="1293"/>
      <c r="T155" s="1293"/>
    </row>
    <row r="156" spans="1:20">
      <c r="A156" s="1293"/>
      <c r="B156" s="1293"/>
      <c r="C156" s="1293"/>
      <c r="D156" s="1293"/>
      <c r="E156" s="1293"/>
      <c r="F156" s="1293"/>
      <c r="G156" s="1293"/>
      <c r="H156" s="1293"/>
      <c r="I156" s="1293"/>
      <c r="J156" s="1293"/>
      <c r="K156" s="1301"/>
      <c r="L156" s="1302"/>
      <c r="M156" s="1293"/>
      <c r="N156" s="1293"/>
      <c r="O156" s="1293"/>
      <c r="P156" s="1293"/>
      <c r="Q156" s="1293"/>
      <c r="R156" s="1293"/>
      <c r="S156" s="1293"/>
      <c r="T156" s="1293"/>
    </row>
    <row r="157" spans="1:20">
      <c r="A157" s="1293"/>
      <c r="B157" s="1293"/>
      <c r="C157" s="1293"/>
      <c r="D157" s="1293"/>
      <c r="E157" s="1293"/>
      <c r="F157" s="1293"/>
      <c r="G157" s="1293"/>
      <c r="H157" s="1293"/>
      <c r="I157" s="1293"/>
      <c r="J157" s="1293"/>
      <c r="K157" s="1301"/>
      <c r="L157" s="1302"/>
      <c r="M157" s="1293"/>
      <c r="N157" s="1293"/>
      <c r="O157" s="1293"/>
      <c r="P157" s="1293"/>
      <c r="Q157" s="1293"/>
      <c r="R157" s="1293"/>
      <c r="S157" s="1293"/>
      <c r="T157" s="1293"/>
    </row>
    <row r="158" spans="1:20">
      <c r="A158" s="1293"/>
      <c r="B158" s="1293"/>
      <c r="C158" s="1293"/>
      <c r="D158" s="1293"/>
      <c r="E158" s="1293"/>
      <c r="F158" s="1293"/>
      <c r="G158" s="1293"/>
      <c r="H158" s="1293"/>
      <c r="I158" s="1293"/>
      <c r="J158" s="1293"/>
      <c r="K158" s="1301"/>
      <c r="L158" s="1302"/>
      <c r="M158" s="1293"/>
      <c r="N158" s="1293"/>
      <c r="O158" s="1293"/>
      <c r="P158" s="1293"/>
      <c r="Q158" s="1293"/>
      <c r="R158" s="1293"/>
      <c r="S158" s="1293"/>
      <c r="T158" s="1293"/>
    </row>
    <row r="159" spans="1:20">
      <c r="A159" s="1293"/>
      <c r="B159" s="1293"/>
      <c r="C159" s="1293"/>
      <c r="D159" s="1293"/>
      <c r="E159" s="1293"/>
      <c r="F159" s="1293"/>
      <c r="G159" s="1293"/>
      <c r="H159" s="1293"/>
      <c r="I159" s="1293"/>
      <c r="J159" s="1293"/>
      <c r="K159" s="1301"/>
      <c r="L159" s="1302"/>
      <c r="M159" s="1293"/>
      <c r="N159" s="1293"/>
      <c r="O159" s="1293"/>
      <c r="P159" s="1293"/>
      <c r="Q159" s="1293"/>
      <c r="R159" s="1293"/>
      <c r="S159" s="1293"/>
      <c r="T159" s="1293"/>
    </row>
    <row r="160" spans="1:20">
      <c r="A160" s="1293"/>
      <c r="B160" s="1293"/>
      <c r="C160" s="1293"/>
      <c r="D160" s="1293"/>
      <c r="E160" s="1293"/>
      <c r="F160" s="1293"/>
      <c r="G160" s="1293"/>
      <c r="H160" s="1293"/>
      <c r="I160" s="1293"/>
      <c r="J160" s="1293"/>
      <c r="K160" s="1301"/>
      <c r="L160" s="1302"/>
      <c r="M160" s="1293"/>
      <c r="N160" s="1293"/>
      <c r="O160" s="1293"/>
      <c r="P160" s="1293"/>
      <c r="Q160" s="1293"/>
      <c r="R160" s="1293"/>
      <c r="S160" s="1293"/>
      <c r="T160" s="1293"/>
    </row>
    <row r="161" spans="1:20">
      <c r="A161" s="1293"/>
      <c r="B161" s="1293"/>
      <c r="C161" s="1293"/>
      <c r="D161" s="1293"/>
      <c r="E161" s="1293"/>
      <c r="F161" s="1293"/>
      <c r="G161" s="1293"/>
      <c r="H161" s="1293"/>
      <c r="I161" s="1293"/>
      <c r="J161" s="1293"/>
      <c r="K161" s="1301"/>
      <c r="L161" s="1302"/>
      <c r="M161" s="1293"/>
      <c r="N161" s="1293"/>
      <c r="O161" s="1293"/>
      <c r="P161" s="1293"/>
      <c r="Q161" s="1293"/>
      <c r="R161" s="1293"/>
      <c r="S161" s="1293"/>
      <c r="T161" s="1293"/>
    </row>
    <row r="162" spans="1:20">
      <c r="A162" s="1293"/>
      <c r="B162" s="1293"/>
      <c r="C162" s="1293"/>
      <c r="D162" s="1293"/>
      <c r="E162" s="1293"/>
      <c r="F162" s="1293"/>
      <c r="G162" s="1293"/>
      <c r="H162" s="1293"/>
      <c r="I162" s="1293"/>
      <c r="J162" s="1293"/>
      <c r="K162" s="1301"/>
      <c r="L162" s="1302"/>
      <c r="M162" s="1293"/>
      <c r="N162" s="1293"/>
      <c r="O162" s="1293"/>
      <c r="P162" s="1293"/>
      <c r="Q162" s="1293"/>
      <c r="R162" s="1293"/>
      <c r="S162" s="1293"/>
      <c r="T162" s="1293"/>
    </row>
    <row r="163" spans="1:20">
      <c r="A163" s="1293"/>
      <c r="B163" s="1293"/>
      <c r="C163" s="1293"/>
      <c r="D163" s="1293"/>
      <c r="E163" s="1293"/>
      <c r="F163" s="1293"/>
      <c r="G163" s="1293"/>
      <c r="H163" s="1293"/>
      <c r="I163" s="1293"/>
      <c r="J163" s="1293"/>
      <c r="K163" s="1301"/>
      <c r="L163" s="1302"/>
      <c r="M163" s="1293"/>
      <c r="N163" s="1293"/>
      <c r="O163" s="1293"/>
      <c r="P163" s="1293"/>
      <c r="Q163" s="1293"/>
      <c r="R163" s="1293"/>
      <c r="S163" s="1293"/>
      <c r="T163" s="1293"/>
    </row>
    <row r="164" spans="1:20">
      <c r="A164" s="1293"/>
      <c r="B164" s="1293"/>
      <c r="C164" s="1293"/>
      <c r="D164" s="1293"/>
      <c r="E164" s="1293"/>
      <c r="F164" s="1293"/>
      <c r="G164" s="1293"/>
      <c r="H164" s="1293"/>
      <c r="I164" s="1293"/>
      <c r="J164" s="1293"/>
      <c r="K164" s="1301"/>
      <c r="L164" s="1302"/>
      <c r="M164" s="1293"/>
      <c r="N164" s="1293"/>
      <c r="O164" s="1293"/>
      <c r="P164" s="1293"/>
      <c r="Q164" s="1293"/>
      <c r="R164" s="1293"/>
      <c r="S164" s="1293"/>
      <c r="T164" s="1293"/>
    </row>
    <row r="165" spans="1:20">
      <c r="A165" s="1293"/>
      <c r="B165" s="1293"/>
      <c r="C165" s="1293"/>
      <c r="D165" s="1293"/>
      <c r="E165" s="1293"/>
      <c r="F165" s="1293"/>
      <c r="G165" s="1293"/>
      <c r="H165" s="1293"/>
      <c r="I165" s="1293"/>
      <c r="J165" s="1293"/>
      <c r="K165" s="1301"/>
      <c r="L165" s="1302"/>
      <c r="M165" s="1293"/>
      <c r="N165" s="1293"/>
      <c r="O165" s="1293"/>
      <c r="P165" s="1293"/>
      <c r="Q165" s="1293"/>
      <c r="R165" s="1293"/>
      <c r="S165" s="1293"/>
      <c r="T165" s="1293"/>
    </row>
    <row r="166" spans="1:20">
      <c r="A166" s="1293"/>
      <c r="B166" s="1293"/>
      <c r="C166" s="1293"/>
      <c r="D166" s="1293"/>
      <c r="E166" s="1293"/>
      <c r="F166" s="1293"/>
      <c r="G166" s="1293"/>
      <c r="H166" s="1293"/>
      <c r="I166" s="1293"/>
      <c r="J166" s="1293"/>
      <c r="K166" s="1301"/>
      <c r="L166" s="1302"/>
      <c r="M166" s="1293"/>
      <c r="N166" s="1293"/>
      <c r="O166" s="1293"/>
      <c r="P166" s="1293"/>
      <c r="Q166" s="1293"/>
      <c r="R166" s="1293"/>
      <c r="S166" s="1293"/>
      <c r="T166" s="1293"/>
    </row>
    <row r="167" spans="1:20">
      <c r="A167" s="1293"/>
      <c r="B167" s="1293"/>
      <c r="C167" s="1293"/>
      <c r="D167" s="1293"/>
      <c r="E167" s="1293"/>
      <c r="F167" s="1293"/>
      <c r="G167" s="1293"/>
      <c r="H167" s="1293"/>
      <c r="I167" s="1293"/>
      <c r="J167" s="1293"/>
      <c r="K167" s="1301"/>
      <c r="L167" s="1302"/>
      <c r="M167" s="1293"/>
      <c r="N167" s="1293"/>
      <c r="O167" s="1293"/>
      <c r="P167" s="1293"/>
      <c r="Q167" s="1293"/>
      <c r="R167" s="1293"/>
      <c r="S167" s="1293"/>
      <c r="T167" s="1293"/>
    </row>
    <row r="168" spans="1:20">
      <c r="A168" s="1293"/>
      <c r="B168" s="1293"/>
      <c r="C168" s="1293"/>
      <c r="D168" s="1293"/>
      <c r="E168" s="1293"/>
      <c r="F168" s="1293"/>
      <c r="G168" s="1293"/>
      <c r="H168" s="1293"/>
      <c r="I168" s="1293"/>
      <c r="J168" s="1293"/>
      <c r="K168" s="1301"/>
      <c r="L168" s="1302"/>
      <c r="M168" s="1293"/>
      <c r="N168" s="1293"/>
      <c r="O168" s="1293"/>
      <c r="P168" s="1293"/>
      <c r="Q168" s="1293"/>
      <c r="R168" s="1293"/>
      <c r="S168" s="1293"/>
      <c r="T168" s="1293"/>
    </row>
    <row r="169" spans="1:20">
      <c r="A169" s="1293"/>
      <c r="B169" s="1293"/>
      <c r="C169" s="1293"/>
      <c r="D169" s="1293"/>
      <c r="E169" s="1293"/>
      <c r="F169" s="1293"/>
      <c r="G169" s="1293"/>
      <c r="H169" s="1293"/>
      <c r="I169" s="1293"/>
      <c r="J169" s="1293"/>
      <c r="K169" s="1301"/>
      <c r="L169" s="1302"/>
      <c r="M169" s="1293"/>
      <c r="N169" s="1293"/>
      <c r="O169" s="1293"/>
      <c r="P169" s="1293"/>
      <c r="Q169" s="1293"/>
      <c r="R169" s="1293"/>
      <c r="S169" s="1293"/>
      <c r="T169" s="1293"/>
    </row>
    <row r="170" spans="1:20">
      <c r="A170" s="1293"/>
      <c r="B170" s="1293"/>
      <c r="C170" s="1293"/>
      <c r="D170" s="1293"/>
      <c r="E170" s="1293"/>
      <c r="F170" s="1293"/>
      <c r="G170" s="1293"/>
      <c r="H170" s="1293"/>
      <c r="I170" s="1293"/>
      <c r="J170" s="1293"/>
      <c r="K170" s="1301"/>
      <c r="L170" s="1302"/>
      <c r="M170" s="1293"/>
      <c r="N170" s="1293"/>
      <c r="O170" s="1293"/>
      <c r="P170" s="1293"/>
      <c r="Q170" s="1293"/>
      <c r="R170" s="1293"/>
      <c r="S170" s="1293"/>
      <c r="T170" s="1293"/>
    </row>
    <row r="171" spans="1:20">
      <c r="A171" s="1293"/>
      <c r="B171" s="1293"/>
      <c r="C171" s="1293"/>
      <c r="D171" s="1293"/>
      <c r="E171" s="1293"/>
      <c r="F171" s="1293"/>
      <c r="G171" s="1293"/>
      <c r="H171" s="1293"/>
      <c r="I171" s="1293"/>
      <c r="J171" s="1293"/>
      <c r="K171" s="1301"/>
      <c r="L171" s="1302"/>
      <c r="M171" s="1293"/>
      <c r="N171" s="1293"/>
      <c r="O171" s="1293"/>
      <c r="P171" s="1293"/>
      <c r="Q171" s="1293"/>
      <c r="R171" s="1293"/>
      <c r="S171" s="1293"/>
      <c r="T171" s="1293"/>
    </row>
    <row r="172" spans="1:20">
      <c r="A172" s="1293"/>
      <c r="B172" s="1293"/>
      <c r="C172" s="1293"/>
      <c r="D172" s="1293"/>
      <c r="E172" s="1293"/>
      <c r="F172" s="1293"/>
      <c r="G172" s="1293"/>
      <c r="H172" s="1293"/>
      <c r="I172" s="1293"/>
      <c r="J172" s="1293"/>
      <c r="K172" s="1301"/>
      <c r="L172" s="1302"/>
      <c r="M172" s="1293"/>
      <c r="N172" s="1293"/>
      <c r="O172" s="1293"/>
      <c r="P172" s="1293"/>
      <c r="Q172" s="1293"/>
      <c r="R172" s="1293"/>
      <c r="S172" s="1293"/>
      <c r="T172" s="1293"/>
    </row>
    <row r="173" spans="1:20">
      <c r="A173" s="1293"/>
      <c r="B173" s="1293"/>
      <c r="C173" s="1293"/>
      <c r="D173" s="1293"/>
      <c r="E173" s="1293"/>
      <c r="F173" s="1293"/>
      <c r="G173" s="1293"/>
      <c r="H173" s="1293"/>
      <c r="I173" s="1293"/>
      <c r="J173" s="1293"/>
      <c r="K173" s="1301"/>
      <c r="L173" s="1302"/>
      <c r="M173" s="1293"/>
      <c r="N173" s="1293"/>
      <c r="O173" s="1293"/>
      <c r="P173" s="1293"/>
      <c r="Q173" s="1293"/>
      <c r="R173" s="1293"/>
      <c r="S173" s="1293"/>
      <c r="T173" s="1293"/>
    </row>
    <row r="174" spans="1:20">
      <c r="A174" s="1293"/>
      <c r="B174" s="1293"/>
      <c r="C174" s="1293"/>
      <c r="D174" s="1293"/>
      <c r="E174" s="1293"/>
      <c r="F174" s="1293"/>
      <c r="G174" s="1293"/>
      <c r="H174" s="1293"/>
      <c r="I174" s="1293"/>
      <c r="J174" s="1293"/>
      <c r="K174" s="1301"/>
      <c r="L174" s="1302"/>
      <c r="M174" s="1293"/>
      <c r="N174" s="1293"/>
      <c r="O174" s="1293"/>
      <c r="P174" s="1293"/>
      <c r="Q174" s="1293"/>
      <c r="R174" s="1293"/>
      <c r="S174" s="1293"/>
      <c r="T174" s="1293"/>
    </row>
    <row r="175" spans="1:20">
      <c r="A175" s="1293"/>
      <c r="B175" s="1293"/>
      <c r="C175" s="1293"/>
      <c r="D175" s="1293"/>
      <c r="E175" s="1293"/>
      <c r="F175" s="1293"/>
      <c r="G175" s="1293"/>
      <c r="H175" s="1293"/>
      <c r="I175" s="1293"/>
      <c r="J175" s="1293"/>
      <c r="K175" s="1301"/>
      <c r="L175" s="1302"/>
      <c r="M175" s="1293"/>
      <c r="N175" s="1293"/>
      <c r="O175" s="1293"/>
      <c r="P175" s="1293"/>
      <c r="Q175" s="1293"/>
      <c r="R175" s="1293"/>
      <c r="S175" s="1293"/>
      <c r="T175" s="1293"/>
    </row>
    <row r="176" spans="1:20">
      <c r="A176" s="1293"/>
      <c r="B176" s="1293"/>
      <c r="C176" s="1293"/>
      <c r="D176" s="1293"/>
      <c r="E176" s="1293"/>
      <c r="F176" s="1293"/>
      <c r="G176" s="1293"/>
      <c r="H176" s="1293"/>
      <c r="I176" s="1293"/>
      <c r="J176" s="1293"/>
      <c r="K176" s="1301"/>
      <c r="L176" s="1302"/>
      <c r="M176" s="1293"/>
      <c r="N176" s="1293"/>
      <c r="O176" s="1293"/>
      <c r="P176" s="1293"/>
      <c r="Q176" s="1293"/>
      <c r="R176" s="1293"/>
      <c r="S176" s="1293"/>
      <c r="T176" s="1293"/>
    </row>
    <row r="177" spans="1:20">
      <c r="A177" s="1293"/>
      <c r="B177" s="1293"/>
      <c r="C177" s="1293"/>
      <c r="D177" s="1293"/>
      <c r="E177" s="1293"/>
      <c r="F177" s="1293"/>
      <c r="G177" s="1293"/>
      <c r="H177" s="1293"/>
      <c r="I177" s="1293"/>
      <c r="J177" s="1293"/>
      <c r="K177" s="1301"/>
      <c r="L177" s="1302"/>
      <c r="M177" s="1293"/>
      <c r="N177" s="1293"/>
      <c r="O177" s="1293"/>
      <c r="P177" s="1293"/>
      <c r="Q177" s="1293"/>
      <c r="R177" s="1293"/>
      <c r="S177" s="1293"/>
      <c r="T177" s="1293"/>
    </row>
    <row r="178" spans="1:20">
      <c r="A178" s="1293"/>
      <c r="B178" s="1293"/>
      <c r="C178" s="1293"/>
      <c r="D178" s="1293"/>
      <c r="E178" s="1293"/>
      <c r="F178" s="1293"/>
      <c r="G178" s="1293"/>
      <c r="H178" s="1293"/>
      <c r="I178" s="1293"/>
      <c r="J178" s="1293"/>
      <c r="K178" s="1301"/>
      <c r="L178" s="1302"/>
      <c r="M178" s="1293"/>
      <c r="N178" s="1293"/>
      <c r="O178" s="1293"/>
      <c r="P178" s="1293"/>
      <c r="Q178" s="1293"/>
      <c r="R178" s="1293"/>
      <c r="S178" s="1293"/>
      <c r="T178" s="1293"/>
    </row>
    <row r="179" spans="1:20">
      <c r="A179" s="1293"/>
      <c r="B179" s="1293"/>
      <c r="C179" s="1293"/>
      <c r="D179" s="1293"/>
      <c r="E179" s="1293"/>
      <c r="F179" s="1293"/>
      <c r="G179" s="1293"/>
      <c r="H179" s="1293"/>
      <c r="I179" s="1293"/>
      <c r="J179" s="1293"/>
      <c r="K179" s="1301"/>
      <c r="L179" s="1302"/>
      <c r="M179" s="1293"/>
      <c r="N179" s="1293"/>
      <c r="O179" s="1293"/>
      <c r="P179" s="1293"/>
      <c r="Q179" s="1293"/>
      <c r="R179" s="1293"/>
      <c r="S179" s="1293"/>
      <c r="T179" s="1293"/>
    </row>
    <row r="180" spans="1:20">
      <c r="A180" s="1293"/>
      <c r="B180" s="1293"/>
      <c r="C180" s="1293"/>
      <c r="D180" s="1293"/>
      <c r="E180" s="1293"/>
      <c r="F180" s="1293"/>
      <c r="G180" s="1293"/>
      <c r="H180" s="1293"/>
      <c r="I180" s="1293"/>
      <c r="J180" s="1293"/>
      <c r="K180" s="1301"/>
      <c r="L180" s="1302"/>
      <c r="M180" s="1293"/>
      <c r="N180" s="1293"/>
      <c r="O180" s="1293"/>
      <c r="P180" s="1293"/>
      <c r="Q180" s="1293"/>
      <c r="R180" s="1293"/>
      <c r="S180" s="1293"/>
      <c r="T180" s="1293"/>
    </row>
    <row r="181" spans="1:20">
      <c r="A181" s="1293"/>
      <c r="B181" s="1293"/>
      <c r="C181" s="1293"/>
      <c r="D181" s="1293"/>
      <c r="E181" s="1293"/>
      <c r="F181" s="1293"/>
      <c r="G181" s="1293"/>
      <c r="H181" s="1293"/>
      <c r="I181" s="1293"/>
      <c r="J181" s="1293"/>
      <c r="K181" s="1301"/>
      <c r="L181" s="1302"/>
      <c r="M181" s="1293"/>
      <c r="N181" s="1293"/>
      <c r="O181" s="1293"/>
      <c r="P181" s="1293"/>
      <c r="Q181" s="1293"/>
      <c r="R181" s="1293"/>
      <c r="S181" s="1293"/>
      <c r="T181" s="1293"/>
    </row>
    <row r="182" spans="1:20">
      <c r="A182" s="1293"/>
      <c r="B182" s="1293"/>
      <c r="C182" s="1293"/>
      <c r="D182" s="1293"/>
      <c r="E182" s="1293"/>
      <c r="F182" s="1293"/>
      <c r="G182" s="1293"/>
      <c r="H182" s="1293"/>
      <c r="I182" s="1293"/>
      <c r="J182" s="1293"/>
      <c r="K182" s="1301"/>
      <c r="L182" s="1302"/>
      <c r="M182" s="1293"/>
      <c r="N182" s="1293"/>
      <c r="O182" s="1293"/>
      <c r="P182" s="1293"/>
      <c r="Q182" s="1293"/>
      <c r="R182" s="1293"/>
      <c r="S182" s="1293"/>
      <c r="T182" s="1293"/>
    </row>
    <row r="183" spans="1:20">
      <c r="A183" s="1293"/>
      <c r="B183" s="1293"/>
      <c r="C183" s="1293"/>
      <c r="D183" s="1293"/>
      <c r="E183" s="1293"/>
      <c r="F183" s="1293"/>
      <c r="G183" s="1293"/>
      <c r="H183" s="1293"/>
      <c r="I183" s="1293"/>
      <c r="J183" s="1293"/>
      <c r="K183" s="1301"/>
      <c r="L183" s="1302"/>
      <c r="M183" s="1293"/>
      <c r="N183" s="1293"/>
      <c r="O183" s="1293"/>
      <c r="P183" s="1293"/>
      <c r="Q183" s="1293"/>
      <c r="R183" s="1293"/>
      <c r="S183" s="1293"/>
      <c r="T183" s="1293"/>
    </row>
    <row r="184" spans="1:20">
      <c r="A184" s="1293"/>
      <c r="B184" s="1293"/>
      <c r="C184" s="1293"/>
      <c r="D184" s="1293"/>
      <c r="E184" s="1293"/>
      <c r="F184" s="1293"/>
      <c r="G184" s="1293"/>
      <c r="H184" s="1293"/>
      <c r="I184" s="1293"/>
      <c r="J184" s="1293"/>
      <c r="K184" s="1301"/>
      <c r="L184" s="1302"/>
      <c r="M184" s="1293"/>
      <c r="N184" s="1293"/>
      <c r="O184" s="1293"/>
      <c r="P184" s="1293"/>
      <c r="Q184" s="1293"/>
      <c r="R184" s="1293"/>
      <c r="S184" s="1293"/>
      <c r="T184" s="1293"/>
    </row>
    <row r="185" spans="1:20">
      <c r="A185" s="1293"/>
      <c r="B185" s="1293"/>
      <c r="C185" s="1293"/>
      <c r="D185" s="1293"/>
      <c r="E185" s="1293"/>
      <c r="F185" s="1293"/>
      <c r="G185" s="1293"/>
      <c r="H185" s="1293"/>
      <c r="I185" s="1293"/>
      <c r="J185" s="1293"/>
      <c r="K185" s="1301"/>
      <c r="L185" s="1302"/>
      <c r="M185" s="1293"/>
      <c r="N185" s="1293"/>
      <c r="O185" s="1293"/>
      <c r="P185" s="1293"/>
      <c r="Q185" s="1293"/>
      <c r="R185" s="1293"/>
      <c r="S185" s="1293"/>
      <c r="T185" s="1293"/>
    </row>
    <row r="186" spans="1:20">
      <c r="A186" s="1293"/>
      <c r="B186" s="1293"/>
      <c r="C186" s="1293"/>
      <c r="D186" s="1293"/>
      <c r="E186" s="1293"/>
      <c r="F186" s="1293"/>
      <c r="G186" s="1293"/>
      <c r="H186" s="1293"/>
      <c r="I186" s="1293"/>
      <c r="J186" s="1293"/>
      <c r="K186" s="1301"/>
      <c r="L186" s="1302"/>
      <c r="M186" s="1293"/>
      <c r="N186" s="1293"/>
      <c r="O186" s="1293"/>
      <c r="P186" s="1293"/>
      <c r="Q186" s="1293"/>
      <c r="R186" s="1293"/>
      <c r="S186" s="1293"/>
      <c r="T186" s="1293"/>
    </row>
    <row r="187" spans="1:20">
      <c r="A187" s="1293"/>
      <c r="B187" s="1293"/>
      <c r="C187" s="1293"/>
      <c r="D187" s="1293"/>
      <c r="E187" s="1293"/>
      <c r="F187" s="1293"/>
      <c r="G187" s="1293"/>
      <c r="H187" s="1293"/>
      <c r="I187" s="1293"/>
      <c r="J187" s="1293"/>
      <c r="K187" s="1301"/>
      <c r="L187" s="1302"/>
      <c r="M187" s="1293"/>
      <c r="N187" s="1293"/>
      <c r="O187" s="1293"/>
      <c r="P187" s="1293"/>
      <c r="Q187" s="1293"/>
      <c r="R187" s="1293"/>
      <c r="S187" s="1293"/>
      <c r="T187" s="1293"/>
    </row>
    <row r="188" spans="1:20">
      <c r="A188" s="1293"/>
      <c r="B188" s="1293"/>
      <c r="C188" s="1293"/>
      <c r="D188" s="1293"/>
      <c r="E188" s="1293"/>
      <c r="F188" s="1293"/>
      <c r="G188" s="1293"/>
      <c r="H188" s="1293"/>
      <c r="I188" s="1293"/>
      <c r="J188" s="1293"/>
      <c r="K188" s="1301"/>
      <c r="L188" s="1302"/>
      <c r="M188" s="1293"/>
      <c r="N188" s="1293"/>
      <c r="O188" s="1293"/>
      <c r="P188" s="1293"/>
      <c r="Q188" s="1293"/>
      <c r="R188" s="1293"/>
      <c r="S188" s="1293"/>
      <c r="T188" s="1293"/>
    </row>
    <row r="189" spans="1:20">
      <c r="A189" s="1293"/>
      <c r="B189" s="1293"/>
      <c r="C189" s="1293"/>
      <c r="D189" s="1293"/>
      <c r="E189" s="1293"/>
      <c r="F189" s="1293"/>
      <c r="G189" s="1293"/>
      <c r="H189" s="1293"/>
      <c r="I189" s="1293"/>
      <c r="J189" s="1293"/>
      <c r="K189" s="1301"/>
      <c r="L189" s="1302"/>
      <c r="M189" s="1293"/>
      <c r="N189" s="1293"/>
      <c r="O189" s="1293"/>
      <c r="P189" s="1293"/>
      <c r="Q189" s="1293"/>
      <c r="R189" s="1293"/>
      <c r="S189" s="1293"/>
      <c r="T189" s="1293"/>
    </row>
    <row r="190" spans="1:20">
      <c r="A190" s="1293"/>
      <c r="B190" s="1293"/>
      <c r="C190" s="1293"/>
      <c r="D190" s="1293"/>
      <c r="E190" s="1293"/>
      <c r="F190" s="1293"/>
      <c r="G190" s="1293"/>
      <c r="H190" s="1293"/>
      <c r="I190" s="1293"/>
      <c r="J190" s="1293"/>
      <c r="K190" s="1301"/>
      <c r="L190" s="1302"/>
      <c r="M190" s="1293"/>
      <c r="N190" s="1293"/>
      <c r="O190" s="1293"/>
      <c r="P190" s="1293"/>
      <c r="Q190" s="1293"/>
      <c r="R190" s="1293"/>
      <c r="S190" s="1293"/>
      <c r="T190" s="1293"/>
    </row>
    <row r="191" spans="1:20">
      <c r="A191" s="1293"/>
      <c r="B191" s="1293"/>
      <c r="C191" s="1293"/>
      <c r="D191" s="1293"/>
      <c r="E191" s="1293"/>
      <c r="F191" s="1293"/>
      <c r="G191" s="1293"/>
      <c r="H191" s="1293"/>
      <c r="I191" s="1293"/>
      <c r="J191" s="1293"/>
      <c r="K191" s="1301"/>
      <c r="L191" s="1302"/>
      <c r="M191" s="1293"/>
      <c r="N191" s="1293"/>
      <c r="O191" s="1293"/>
      <c r="P191" s="1293"/>
      <c r="Q191" s="1293"/>
      <c r="R191" s="1293"/>
      <c r="S191" s="1293"/>
      <c r="T191" s="1293"/>
    </row>
    <row r="192" spans="1:20">
      <c r="A192" s="1293"/>
      <c r="B192" s="1293"/>
      <c r="C192" s="1293"/>
      <c r="D192" s="1293"/>
      <c r="E192" s="1293"/>
      <c r="F192" s="1293"/>
      <c r="G192" s="1293"/>
      <c r="H192" s="1293"/>
      <c r="I192" s="1293"/>
      <c r="J192" s="1293"/>
      <c r="K192" s="1301"/>
      <c r="L192" s="1302"/>
      <c r="M192" s="1293"/>
      <c r="N192" s="1293"/>
      <c r="O192" s="1293"/>
      <c r="P192" s="1293"/>
      <c r="Q192" s="1293"/>
      <c r="R192" s="1293"/>
      <c r="S192" s="1293"/>
      <c r="T192" s="1293"/>
    </row>
    <row r="193" spans="1:20">
      <c r="A193" s="1293"/>
      <c r="B193" s="1293"/>
      <c r="C193" s="1293"/>
      <c r="D193" s="1293"/>
      <c r="E193" s="1293"/>
      <c r="F193" s="1293"/>
      <c r="G193" s="1293"/>
      <c r="H193" s="1293"/>
      <c r="I193" s="1293"/>
      <c r="J193" s="1293"/>
      <c r="K193" s="1301"/>
      <c r="L193" s="1302"/>
      <c r="M193" s="1293"/>
      <c r="N193" s="1293"/>
      <c r="O193" s="1293"/>
      <c r="P193" s="1293"/>
      <c r="Q193" s="1293"/>
      <c r="R193" s="1293"/>
      <c r="S193" s="1293"/>
      <c r="T193" s="1293"/>
    </row>
    <row r="194" spans="1:20">
      <c r="A194" s="1293"/>
      <c r="B194" s="1293"/>
      <c r="C194" s="1293"/>
      <c r="D194" s="1293"/>
      <c r="E194" s="1293"/>
      <c r="F194" s="1293"/>
      <c r="G194" s="1293"/>
      <c r="H194" s="1293"/>
      <c r="I194" s="1293"/>
      <c r="J194" s="1293"/>
      <c r="K194" s="1301"/>
      <c r="L194" s="1302"/>
      <c r="M194" s="1293"/>
      <c r="N194" s="1293"/>
      <c r="O194" s="1293"/>
      <c r="P194" s="1293"/>
      <c r="Q194" s="1293"/>
      <c r="R194" s="1293"/>
      <c r="S194" s="1293"/>
      <c r="T194" s="1293"/>
    </row>
    <row r="195" spans="1:20">
      <c r="A195" s="1293"/>
      <c r="B195" s="1293"/>
      <c r="C195" s="1293"/>
      <c r="D195" s="1293"/>
      <c r="E195" s="1293"/>
      <c r="F195" s="1293"/>
      <c r="G195" s="1293"/>
      <c r="H195" s="1293"/>
      <c r="I195" s="1293"/>
      <c r="J195" s="1293"/>
      <c r="K195" s="1301"/>
      <c r="L195" s="1302"/>
      <c r="M195" s="1293"/>
      <c r="N195" s="1293"/>
      <c r="O195" s="1293"/>
      <c r="P195" s="1293"/>
      <c r="Q195" s="1293"/>
      <c r="R195" s="1293"/>
      <c r="S195" s="1293"/>
      <c r="T195" s="1293"/>
    </row>
    <row r="196" spans="1:20">
      <c r="A196" s="1293"/>
      <c r="B196" s="1293"/>
      <c r="C196" s="1293"/>
      <c r="D196" s="1293"/>
      <c r="E196" s="1293"/>
      <c r="F196" s="1293"/>
      <c r="G196" s="1293"/>
      <c r="H196" s="1293"/>
      <c r="I196" s="1293"/>
      <c r="J196" s="1293"/>
      <c r="K196" s="1301"/>
      <c r="L196" s="1302"/>
      <c r="M196" s="1293"/>
      <c r="N196" s="1293"/>
      <c r="O196" s="1293"/>
      <c r="P196" s="1293"/>
      <c r="Q196" s="1293"/>
      <c r="R196" s="1293"/>
      <c r="S196" s="1293"/>
      <c r="T196" s="1293"/>
    </row>
    <row r="197" spans="1:20">
      <c r="A197" s="1293"/>
      <c r="B197" s="1293"/>
      <c r="C197" s="1293"/>
      <c r="D197" s="1293"/>
      <c r="E197" s="1293"/>
      <c r="F197" s="1293"/>
      <c r="G197" s="1293"/>
      <c r="H197" s="1293"/>
      <c r="I197" s="1293"/>
      <c r="J197" s="1293"/>
      <c r="K197" s="1301"/>
      <c r="L197" s="1302"/>
      <c r="M197" s="1293"/>
      <c r="N197" s="1293"/>
      <c r="O197" s="1293"/>
      <c r="P197" s="1293"/>
      <c r="Q197" s="1293"/>
      <c r="R197" s="1293"/>
      <c r="S197" s="1293"/>
      <c r="T197" s="1293"/>
    </row>
    <row r="198" spans="1:20">
      <c r="A198" s="1293"/>
      <c r="B198" s="1293"/>
      <c r="C198" s="1293"/>
      <c r="D198" s="1293"/>
      <c r="E198" s="1293"/>
      <c r="F198" s="1293"/>
      <c r="G198" s="1293"/>
      <c r="H198" s="1293"/>
      <c r="I198" s="1293"/>
      <c r="J198" s="1293"/>
      <c r="K198" s="1301"/>
      <c r="L198" s="1302"/>
      <c r="M198" s="1293"/>
      <c r="N198" s="1293"/>
      <c r="O198" s="1293"/>
      <c r="P198" s="1293"/>
      <c r="Q198" s="1293"/>
      <c r="R198" s="1293"/>
      <c r="S198" s="1293"/>
      <c r="T198" s="1293"/>
    </row>
    <row r="199" spans="1:20">
      <c r="A199" s="1293"/>
      <c r="B199" s="1293"/>
      <c r="C199" s="1293"/>
      <c r="D199" s="1293"/>
      <c r="E199" s="1293"/>
      <c r="F199" s="1293"/>
      <c r="G199" s="1293"/>
      <c r="H199" s="1293"/>
      <c r="I199" s="1293"/>
      <c r="J199" s="1293"/>
      <c r="K199" s="1301"/>
      <c r="L199" s="1302"/>
      <c r="M199" s="1293"/>
      <c r="N199" s="1293"/>
      <c r="O199" s="1293"/>
      <c r="P199" s="1293"/>
      <c r="Q199" s="1293"/>
      <c r="R199" s="1293"/>
      <c r="S199" s="1293"/>
      <c r="T199" s="1293"/>
    </row>
    <row r="200" spans="1:20">
      <c r="A200" s="1293"/>
      <c r="B200" s="1293"/>
      <c r="C200" s="1293"/>
      <c r="D200" s="1293"/>
      <c r="E200" s="1293"/>
      <c r="F200" s="1293"/>
      <c r="G200" s="1293"/>
      <c r="H200" s="1293"/>
      <c r="I200" s="1293"/>
      <c r="J200" s="1293"/>
      <c r="K200" s="1301"/>
      <c r="L200" s="1302"/>
      <c r="M200" s="1293"/>
      <c r="N200" s="1293"/>
      <c r="O200" s="1293"/>
      <c r="P200" s="1293"/>
      <c r="Q200" s="1293"/>
      <c r="R200" s="1293"/>
      <c r="S200" s="1293"/>
      <c r="T200" s="1293"/>
    </row>
    <row r="201" spans="1:20">
      <c r="A201" s="1293"/>
      <c r="B201" s="1293"/>
      <c r="C201" s="1293"/>
      <c r="D201" s="1293"/>
      <c r="E201" s="1293"/>
      <c r="F201" s="1293"/>
      <c r="G201" s="1293"/>
      <c r="H201" s="1293"/>
      <c r="I201" s="1293"/>
      <c r="J201" s="1293"/>
      <c r="K201" s="1301"/>
      <c r="L201" s="1302"/>
      <c r="M201" s="1293"/>
      <c r="N201" s="1293"/>
      <c r="O201" s="1293"/>
      <c r="P201" s="1293"/>
      <c r="Q201" s="1293"/>
      <c r="R201" s="1293"/>
      <c r="S201" s="1293"/>
      <c r="T201" s="1293"/>
    </row>
    <row r="202" spans="1:20">
      <c r="A202" s="1293"/>
      <c r="B202" s="1293"/>
      <c r="C202" s="1293"/>
      <c r="D202" s="1293"/>
      <c r="E202" s="1293"/>
      <c r="F202" s="1293"/>
      <c r="G202" s="1293"/>
      <c r="H202" s="1293"/>
      <c r="I202" s="1293"/>
      <c r="J202" s="1293"/>
      <c r="K202" s="1301"/>
      <c r="L202" s="1302"/>
      <c r="M202" s="1293"/>
      <c r="N202" s="1293"/>
      <c r="O202" s="1293"/>
      <c r="P202" s="1293"/>
      <c r="Q202" s="1293"/>
      <c r="R202" s="1293"/>
      <c r="S202" s="1293"/>
      <c r="T202" s="1293"/>
    </row>
    <row r="203" spans="1:20">
      <c r="A203" s="1293"/>
      <c r="B203" s="1293"/>
      <c r="C203" s="1293"/>
      <c r="D203" s="1293"/>
      <c r="E203" s="1293"/>
      <c r="F203" s="1293"/>
      <c r="G203" s="1293"/>
      <c r="H203" s="1293"/>
      <c r="I203" s="1293"/>
      <c r="J203" s="1293"/>
      <c r="K203" s="1301"/>
      <c r="L203" s="1302"/>
      <c r="M203" s="1293"/>
      <c r="N203" s="1293"/>
      <c r="O203" s="1293"/>
      <c r="P203" s="1293"/>
      <c r="Q203" s="1293"/>
      <c r="R203" s="1293"/>
      <c r="S203" s="1293"/>
      <c r="T203" s="1293"/>
    </row>
    <row r="204" spans="1:20">
      <c r="A204" s="1293"/>
      <c r="B204" s="1293"/>
      <c r="C204" s="1293"/>
      <c r="D204" s="1293"/>
      <c r="E204" s="1293"/>
      <c r="F204" s="1293"/>
      <c r="G204" s="1293"/>
      <c r="H204" s="1293"/>
      <c r="I204" s="1293"/>
      <c r="J204" s="1293"/>
      <c r="K204" s="1301"/>
      <c r="L204" s="1302"/>
      <c r="M204" s="1293"/>
      <c r="N204" s="1293"/>
      <c r="O204" s="1293"/>
      <c r="P204" s="1293"/>
      <c r="Q204" s="1293"/>
      <c r="R204" s="1293"/>
      <c r="S204" s="1293"/>
      <c r="T204" s="1293"/>
    </row>
    <row r="205" spans="1:20">
      <c r="A205" s="1293"/>
      <c r="B205" s="1293"/>
      <c r="C205" s="1293"/>
      <c r="D205" s="1293"/>
      <c r="E205" s="1293"/>
      <c r="F205" s="1293"/>
      <c r="G205" s="1293"/>
      <c r="H205" s="1293"/>
      <c r="I205" s="1293"/>
      <c r="J205" s="1293"/>
      <c r="K205" s="1301"/>
      <c r="L205" s="1302"/>
      <c r="M205" s="1293"/>
      <c r="N205" s="1293"/>
      <c r="O205" s="1293"/>
      <c r="P205" s="1293"/>
      <c r="Q205" s="1293"/>
      <c r="R205" s="1293"/>
      <c r="S205" s="1293"/>
      <c r="T205" s="1293"/>
    </row>
    <row r="206" spans="1:20">
      <c r="A206" s="1293"/>
      <c r="B206" s="1293"/>
      <c r="C206" s="1293"/>
      <c r="D206" s="1293"/>
      <c r="E206" s="1293"/>
      <c r="F206" s="1293"/>
      <c r="G206" s="1293"/>
      <c r="H206" s="1293"/>
      <c r="I206" s="1293"/>
      <c r="J206" s="1293"/>
      <c r="K206" s="1301"/>
      <c r="L206" s="1302"/>
      <c r="M206" s="1293"/>
      <c r="N206" s="1293"/>
      <c r="O206" s="1293"/>
      <c r="P206" s="1293"/>
      <c r="Q206" s="1293"/>
      <c r="R206" s="1293"/>
      <c r="S206" s="1293"/>
      <c r="T206" s="1293"/>
    </row>
    <row r="207" spans="1:20">
      <c r="A207" s="1293"/>
      <c r="B207" s="1293"/>
      <c r="C207" s="1293"/>
      <c r="D207" s="1293"/>
      <c r="E207" s="1293"/>
      <c r="F207" s="1293"/>
      <c r="G207" s="1293"/>
      <c r="H207" s="1293"/>
      <c r="I207" s="1293"/>
      <c r="J207" s="1293"/>
      <c r="K207" s="1301"/>
      <c r="L207" s="1302"/>
      <c r="M207" s="1293"/>
      <c r="N207" s="1293"/>
      <c r="O207" s="1293"/>
      <c r="P207" s="1293"/>
      <c r="Q207" s="1293"/>
      <c r="R207" s="1293"/>
      <c r="S207" s="1293"/>
      <c r="T207" s="1293"/>
    </row>
    <row r="208" spans="1:20">
      <c r="A208" s="1293"/>
      <c r="B208" s="1293"/>
      <c r="C208" s="1293"/>
      <c r="D208" s="1293"/>
      <c r="E208" s="1293"/>
      <c r="F208" s="1293"/>
      <c r="G208" s="1293"/>
      <c r="H208" s="1293"/>
      <c r="I208" s="1293"/>
      <c r="J208" s="1293"/>
      <c r="K208" s="1301"/>
      <c r="L208" s="1302"/>
      <c r="M208" s="1293"/>
      <c r="N208" s="1293"/>
      <c r="O208" s="1293"/>
      <c r="P208" s="1293"/>
      <c r="Q208" s="1293"/>
      <c r="R208" s="1293"/>
      <c r="S208" s="1293"/>
      <c r="T208" s="1293"/>
    </row>
    <row r="209" spans="1:20">
      <c r="A209" s="1293"/>
      <c r="B209" s="1293"/>
      <c r="C209" s="1293"/>
      <c r="D209" s="1293"/>
      <c r="E209" s="1293"/>
      <c r="F209" s="1293"/>
      <c r="G209" s="1293"/>
      <c r="H209" s="1293"/>
      <c r="I209" s="1293"/>
      <c r="J209" s="1293"/>
      <c r="K209" s="1301"/>
      <c r="L209" s="1302"/>
      <c r="M209" s="1293"/>
      <c r="N209" s="1293"/>
      <c r="O209" s="1293"/>
      <c r="P209" s="1293"/>
      <c r="Q209" s="1293"/>
      <c r="R209" s="1293"/>
      <c r="S209" s="1293"/>
      <c r="T209" s="1293"/>
    </row>
    <row r="210" spans="1:20">
      <c r="A210" s="1293"/>
      <c r="B210" s="1293"/>
      <c r="C210" s="1293"/>
      <c r="D210" s="1293"/>
      <c r="E210" s="1293"/>
      <c r="F210" s="1293"/>
      <c r="G210" s="1293"/>
      <c r="H210" s="1293"/>
      <c r="I210" s="1293"/>
      <c r="J210" s="1293"/>
      <c r="K210" s="1301"/>
      <c r="L210" s="1302"/>
      <c r="M210" s="1293"/>
      <c r="N210" s="1293"/>
      <c r="O210" s="1293"/>
      <c r="P210" s="1293"/>
      <c r="Q210" s="1293"/>
      <c r="R210" s="1293"/>
      <c r="S210" s="1293"/>
      <c r="T210" s="1293"/>
    </row>
    <row r="211" spans="1:20">
      <c r="A211" s="1293"/>
      <c r="B211" s="1293"/>
      <c r="C211" s="1293"/>
      <c r="D211" s="1293"/>
      <c r="E211" s="1293"/>
      <c r="F211" s="1293"/>
      <c r="G211" s="1293"/>
      <c r="H211" s="1293"/>
      <c r="I211" s="1293"/>
      <c r="J211" s="1293"/>
      <c r="K211" s="1301"/>
      <c r="L211" s="1302"/>
      <c r="M211" s="1293"/>
      <c r="N211" s="1293"/>
      <c r="O211" s="1293"/>
      <c r="P211" s="1293"/>
      <c r="Q211" s="1293"/>
      <c r="R211" s="1293"/>
      <c r="S211" s="1293"/>
      <c r="T211" s="1293"/>
    </row>
    <row r="212" spans="1:20">
      <c r="A212" s="1293"/>
      <c r="B212" s="1293"/>
      <c r="C212" s="1293"/>
      <c r="D212" s="1293"/>
      <c r="E212" s="1293"/>
      <c r="F212" s="1293"/>
      <c r="G212" s="1293"/>
      <c r="H212" s="1293"/>
      <c r="I212" s="1293"/>
      <c r="J212" s="1293"/>
      <c r="K212" s="1301"/>
      <c r="L212" s="1302"/>
      <c r="M212" s="1293"/>
      <c r="N212" s="1293"/>
      <c r="O212" s="1293"/>
      <c r="P212" s="1293"/>
      <c r="Q212" s="1293"/>
      <c r="R212" s="1293"/>
      <c r="S212" s="1293"/>
      <c r="T212" s="1293"/>
    </row>
    <row r="213" spans="1:20">
      <c r="A213" s="1293"/>
      <c r="B213" s="1293"/>
      <c r="C213" s="1293"/>
      <c r="D213" s="1293"/>
      <c r="E213" s="1293"/>
      <c r="F213" s="1293"/>
      <c r="G213" s="1293"/>
      <c r="H213" s="1293"/>
      <c r="I213" s="1293"/>
      <c r="J213" s="1293"/>
      <c r="K213" s="1301"/>
      <c r="L213" s="1302"/>
      <c r="M213" s="1293"/>
      <c r="N213" s="1293"/>
      <c r="O213" s="1293"/>
      <c r="P213" s="1293"/>
      <c r="Q213" s="1293"/>
      <c r="R213" s="1293"/>
      <c r="S213" s="1293"/>
      <c r="T213" s="1293"/>
    </row>
    <row r="214" spans="1:20">
      <c r="A214" s="1293"/>
      <c r="B214" s="1293"/>
      <c r="C214" s="1293"/>
      <c r="D214" s="1293"/>
      <c r="E214" s="1293"/>
      <c r="F214" s="1293"/>
      <c r="G214" s="1293"/>
      <c r="H214" s="1293"/>
      <c r="I214" s="1293"/>
      <c r="J214" s="1293"/>
      <c r="K214" s="1301"/>
      <c r="L214" s="1302"/>
      <c r="M214" s="1293"/>
      <c r="N214" s="1293"/>
      <c r="O214" s="1293"/>
      <c r="P214" s="1293"/>
      <c r="Q214" s="1293"/>
      <c r="R214" s="1293"/>
      <c r="S214" s="1293"/>
      <c r="T214" s="1293"/>
    </row>
    <row r="215" spans="1:20">
      <c r="A215" s="1293"/>
      <c r="B215" s="1293"/>
      <c r="C215" s="1293"/>
      <c r="D215" s="1293"/>
      <c r="E215" s="1293"/>
      <c r="F215" s="1293"/>
      <c r="G215" s="1293"/>
      <c r="H215" s="1293"/>
      <c r="I215" s="1293"/>
      <c r="J215" s="1293"/>
      <c r="K215" s="1301"/>
      <c r="L215" s="1302"/>
      <c r="M215" s="1293"/>
      <c r="N215" s="1293"/>
      <c r="O215" s="1293"/>
      <c r="P215" s="1293"/>
      <c r="Q215" s="1293"/>
      <c r="R215" s="1293"/>
      <c r="S215" s="1293"/>
      <c r="T215" s="1293"/>
    </row>
    <row r="216" spans="1:20">
      <c r="A216" s="1293"/>
      <c r="B216" s="1293"/>
      <c r="C216" s="1293"/>
      <c r="D216" s="1293"/>
      <c r="E216" s="1293"/>
      <c r="F216" s="1293"/>
      <c r="G216" s="1293"/>
      <c r="H216" s="1293"/>
      <c r="I216" s="1293"/>
      <c r="J216" s="1293"/>
      <c r="K216" s="1301"/>
      <c r="L216" s="1302"/>
      <c r="M216" s="1293"/>
      <c r="N216" s="1293"/>
      <c r="O216" s="1293"/>
      <c r="P216" s="1293"/>
      <c r="Q216" s="1293"/>
      <c r="R216" s="1293"/>
      <c r="S216" s="1293"/>
      <c r="T216" s="1293"/>
    </row>
    <row r="217" spans="1:20">
      <c r="A217" s="1293"/>
      <c r="B217" s="1293"/>
      <c r="C217" s="1293"/>
      <c r="D217" s="1293"/>
      <c r="E217" s="1293"/>
      <c r="F217" s="1293"/>
      <c r="G217" s="1293"/>
      <c r="H217" s="1293"/>
      <c r="I217" s="1293"/>
      <c r="J217" s="1293"/>
      <c r="K217" s="1301"/>
      <c r="L217" s="1302"/>
      <c r="M217" s="1293"/>
      <c r="N217" s="1293"/>
      <c r="O217" s="1293"/>
      <c r="P217" s="1293"/>
      <c r="Q217" s="1293"/>
      <c r="R217" s="1293"/>
      <c r="S217" s="1293"/>
      <c r="T217" s="1293"/>
    </row>
    <row r="218" spans="1:20">
      <c r="A218" s="1293"/>
      <c r="B218" s="1293"/>
      <c r="C218" s="1293"/>
      <c r="D218" s="1293"/>
      <c r="E218" s="1293"/>
      <c r="F218" s="1293"/>
      <c r="G218" s="1293"/>
      <c r="H218" s="1293"/>
      <c r="I218" s="1293"/>
      <c r="J218" s="1293"/>
      <c r="K218" s="1301"/>
      <c r="L218" s="1302"/>
      <c r="M218" s="1293"/>
      <c r="N218" s="1293"/>
      <c r="O218" s="1293"/>
      <c r="P218" s="1293"/>
      <c r="Q218" s="1293"/>
      <c r="R218" s="1293"/>
      <c r="S218" s="1293"/>
      <c r="T218" s="1293"/>
    </row>
    <row r="219" spans="1:20">
      <c r="A219" s="1293"/>
      <c r="B219" s="1293"/>
      <c r="C219" s="1293"/>
      <c r="D219" s="1293"/>
      <c r="E219" s="1293"/>
      <c r="F219" s="1293"/>
      <c r="G219" s="1293"/>
      <c r="H219" s="1293"/>
      <c r="I219" s="1293"/>
      <c r="J219" s="1293"/>
      <c r="K219" s="1301"/>
      <c r="L219" s="1302"/>
      <c r="M219" s="1293"/>
      <c r="N219" s="1293"/>
      <c r="O219" s="1293"/>
      <c r="P219" s="1293"/>
      <c r="Q219" s="1293"/>
      <c r="R219" s="1293"/>
      <c r="S219" s="1293"/>
      <c r="T219" s="1293"/>
    </row>
    <row r="220" spans="1:20">
      <c r="A220" s="1293"/>
      <c r="B220" s="1293"/>
      <c r="C220" s="1293"/>
      <c r="D220" s="1293"/>
      <c r="E220" s="1293"/>
      <c r="F220" s="1293"/>
      <c r="G220" s="1293"/>
      <c r="H220" s="1293"/>
      <c r="I220" s="1293"/>
      <c r="J220" s="1293"/>
      <c r="K220" s="1301"/>
      <c r="L220" s="1302"/>
      <c r="M220" s="1293"/>
      <c r="N220" s="1293"/>
      <c r="O220" s="1293"/>
      <c r="P220" s="1293"/>
      <c r="Q220" s="1293"/>
      <c r="R220" s="1293"/>
      <c r="S220" s="1293"/>
      <c r="T220" s="1293"/>
    </row>
    <row r="221" spans="1:20">
      <c r="A221" s="1293"/>
      <c r="B221" s="1293"/>
      <c r="C221" s="1293"/>
      <c r="D221" s="1293"/>
      <c r="E221" s="1293"/>
      <c r="F221" s="1293"/>
      <c r="G221" s="1293"/>
      <c r="H221" s="1293"/>
      <c r="I221" s="1293"/>
      <c r="J221" s="1293"/>
      <c r="K221" s="1301"/>
      <c r="L221" s="1302"/>
      <c r="M221" s="1293"/>
      <c r="N221" s="1293"/>
      <c r="O221" s="1293"/>
      <c r="P221" s="1293"/>
      <c r="Q221" s="1293"/>
      <c r="R221" s="1293"/>
      <c r="S221" s="1293"/>
      <c r="T221" s="1293"/>
    </row>
    <row r="222" spans="1:20">
      <c r="A222" s="1293"/>
      <c r="B222" s="1293"/>
      <c r="C222" s="1293"/>
      <c r="D222" s="1293"/>
      <c r="E222" s="1293"/>
      <c r="F222" s="1293"/>
      <c r="G222" s="1293"/>
      <c r="H222" s="1293"/>
      <c r="I222" s="1293"/>
      <c r="J222" s="1293"/>
      <c r="K222" s="1301"/>
      <c r="L222" s="1302"/>
      <c r="M222" s="1293"/>
      <c r="N222" s="1293"/>
      <c r="O222" s="1293"/>
      <c r="P222" s="1293"/>
      <c r="Q222" s="1293"/>
      <c r="R222" s="1293"/>
      <c r="S222" s="1293"/>
      <c r="T222" s="1293"/>
    </row>
    <row r="223" spans="1:20">
      <c r="A223" s="1293"/>
      <c r="B223" s="1293"/>
      <c r="C223" s="1293"/>
      <c r="D223" s="1293"/>
      <c r="E223" s="1293"/>
      <c r="F223" s="1293"/>
      <c r="G223" s="1293"/>
      <c r="H223" s="1293"/>
      <c r="I223" s="1293"/>
      <c r="J223" s="1293"/>
      <c r="K223" s="1301"/>
      <c r="L223" s="1302"/>
      <c r="M223" s="1293"/>
      <c r="N223" s="1293"/>
      <c r="O223" s="1293"/>
      <c r="P223" s="1293"/>
      <c r="Q223" s="1293"/>
      <c r="R223" s="1293"/>
      <c r="S223" s="1293"/>
      <c r="T223" s="1293"/>
    </row>
    <row r="224" spans="1:20">
      <c r="A224" s="1293"/>
      <c r="B224" s="1293"/>
      <c r="C224" s="1293"/>
      <c r="D224" s="1293"/>
      <c r="E224" s="1293"/>
      <c r="F224" s="1293"/>
      <c r="G224" s="1293"/>
      <c r="H224" s="1293"/>
      <c r="I224" s="1293"/>
      <c r="J224" s="1293"/>
      <c r="K224" s="1301"/>
      <c r="L224" s="1302"/>
      <c r="M224" s="1293"/>
      <c r="N224" s="1293"/>
      <c r="O224" s="1293"/>
      <c r="P224" s="1293"/>
      <c r="Q224" s="1293"/>
      <c r="R224" s="1293"/>
      <c r="S224" s="1293"/>
      <c r="T224" s="1293"/>
    </row>
    <row r="225" spans="1:20">
      <c r="A225" s="1293"/>
      <c r="B225" s="1293"/>
      <c r="C225" s="1293"/>
      <c r="D225" s="1293"/>
      <c r="E225" s="1293"/>
      <c r="F225" s="1293"/>
      <c r="G225" s="1293"/>
      <c r="H225" s="1293"/>
      <c r="I225" s="1293"/>
      <c r="J225" s="1293"/>
      <c r="K225" s="1301"/>
      <c r="L225" s="1302"/>
      <c r="M225" s="1293"/>
      <c r="N225" s="1293"/>
      <c r="O225" s="1293"/>
      <c r="P225" s="1293"/>
      <c r="Q225" s="1293"/>
      <c r="R225" s="1293"/>
      <c r="S225" s="1293"/>
      <c r="T225" s="1293"/>
    </row>
    <row r="226" spans="1:20">
      <c r="A226" s="1293"/>
      <c r="B226" s="1293"/>
      <c r="C226" s="1293"/>
      <c r="D226" s="1293"/>
      <c r="E226" s="1293"/>
      <c r="F226" s="1293"/>
      <c r="G226" s="1293"/>
      <c r="H226" s="1293"/>
      <c r="I226" s="1293"/>
      <c r="J226" s="1293"/>
      <c r="K226" s="1301"/>
      <c r="L226" s="1302"/>
      <c r="M226" s="1293"/>
      <c r="N226" s="1293"/>
      <c r="O226" s="1293"/>
      <c r="P226" s="1293"/>
      <c r="Q226" s="1293"/>
      <c r="R226" s="1293"/>
      <c r="S226" s="1293"/>
      <c r="T226" s="1293"/>
    </row>
    <row r="227" spans="1:20">
      <c r="A227" s="1293"/>
      <c r="B227" s="1293"/>
      <c r="C227" s="1293"/>
      <c r="D227" s="1293"/>
      <c r="E227" s="1293"/>
      <c r="F227" s="1293"/>
      <c r="G227" s="1293"/>
      <c r="H227" s="1293"/>
      <c r="I227" s="1293"/>
      <c r="J227" s="1293"/>
      <c r="K227" s="1301"/>
      <c r="L227" s="1302"/>
      <c r="M227" s="1293"/>
      <c r="N227" s="1293"/>
      <c r="O227" s="1293"/>
      <c r="P227" s="1293"/>
      <c r="Q227" s="1293"/>
      <c r="R227" s="1293"/>
      <c r="S227" s="1293"/>
      <c r="T227" s="1293"/>
    </row>
    <row r="228" spans="1:20">
      <c r="A228" s="1293"/>
      <c r="B228" s="1293"/>
      <c r="C228" s="1293"/>
      <c r="D228" s="1293"/>
      <c r="E228" s="1293"/>
      <c r="F228" s="1293"/>
      <c r="G228" s="1293"/>
      <c r="H228" s="1293"/>
      <c r="I228" s="1293"/>
      <c r="J228" s="1293"/>
      <c r="K228" s="1301"/>
      <c r="L228" s="1302"/>
      <c r="M228" s="1293"/>
      <c r="N228" s="1293"/>
      <c r="O228" s="1293"/>
      <c r="P228" s="1293"/>
      <c r="Q228" s="1293"/>
      <c r="R228" s="1293"/>
      <c r="S228" s="1293"/>
      <c r="T228" s="1293"/>
    </row>
    <row r="229" spans="1:20">
      <c r="A229" s="1293"/>
      <c r="B229" s="1293"/>
      <c r="C229" s="1293"/>
      <c r="D229" s="1293"/>
      <c r="E229" s="1293"/>
      <c r="F229" s="1293"/>
      <c r="G229" s="1293"/>
      <c r="H229" s="1293"/>
      <c r="I229" s="1293"/>
      <c r="J229" s="1293"/>
      <c r="K229" s="1301"/>
      <c r="L229" s="1302"/>
      <c r="M229" s="1293"/>
      <c r="N229" s="1293"/>
      <c r="O229" s="1293"/>
      <c r="P229" s="1293"/>
      <c r="Q229" s="1293"/>
      <c r="R229" s="1293"/>
      <c r="S229" s="1293"/>
      <c r="T229" s="1293"/>
    </row>
    <row r="230" spans="1:20">
      <c r="A230" s="1293"/>
      <c r="B230" s="1293"/>
      <c r="C230" s="1293"/>
      <c r="D230" s="1293"/>
      <c r="E230" s="1293"/>
      <c r="F230" s="1293"/>
      <c r="G230" s="1293"/>
      <c r="H230" s="1293"/>
      <c r="I230" s="1293"/>
      <c r="J230" s="1293"/>
      <c r="K230" s="1301"/>
      <c r="L230" s="1302"/>
      <c r="M230" s="1293"/>
      <c r="N230" s="1293"/>
      <c r="O230" s="1293"/>
      <c r="P230" s="1293"/>
      <c r="Q230" s="1293"/>
      <c r="R230" s="1293"/>
      <c r="S230" s="1293"/>
      <c r="T230" s="1293"/>
    </row>
    <row r="231" spans="1:20">
      <c r="A231" s="1293"/>
      <c r="B231" s="1293"/>
      <c r="C231" s="1293"/>
      <c r="D231" s="1293"/>
      <c r="E231" s="1293"/>
      <c r="F231" s="1293"/>
      <c r="G231" s="1293"/>
      <c r="H231" s="1293"/>
      <c r="I231" s="1293"/>
      <c r="J231" s="1293"/>
      <c r="K231" s="1301"/>
      <c r="L231" s="1302"/>
      <c r="M231" s="1293"/>
      <c r="N231" s="1293"/>
      <c r="O231" s="1293"/>
      <c r="P231" s="1293"/>
      <c r="Q231" s="1293"/>
      <c r="R231" s="1293"/>
      <c r="S231" s="1293"/>
      <c r="T231" s="1293"/>
    </row>
    <row r="232" spans="1:20">
      <c r="A232" s="1293"/>
      <c r="B232" s="1293"/>
      <c r="C232" s="1293"/>
      <c r="D232" s="1293"/>
      <c r="E232" s="1293"/>
      <c r="F232" s="1293"/>
      <c r="G232" s="1293"/>
      <c r="H232" s="1293"/>
      <c r="I232" s="1293"/>
      <c r="J232" s="1293"/>
      <c r="K232" s="1301"/>
      <c r="L232" s="1302"/>
      <c r="M232" s="1293"/>
      <c r="N232" s="1293"/>
      <c r="O232" s="1293"/>
      <c r="P232" s="1293"/>
      <c r="Q232" s="1293"/>
      <c r="R232" s="1293"/>
      <c r="S232" s="1293"/>
      <c r="T232" s="1293"/>
    </row>
    <row r="233" spans="1:20">
      <c r="A233" s="1293"/>
      <c r="B233" s="1293"/>
      <c r="C233" s="1293"/>
      <c r="D233" s="1293"/>
      <c r="E233" s="1293"/>
      <c r="F233" s="1293"/>
      <c r="G233" s="1293"/>
      <c r="H233" s="1293"/>
      <c r="I233" s="1293"/>
      <c r="J233" s="1293"/>
      <c r="K233" s="1301"/>
      <c r="L233" s="1302"/>
      <c r="M233" s="1293"/>
      <c r="N233" s="1293"/>
      <c r="O233" s="1293"/>
      <c r="P233" s="1293"/>
      <c r="Q233" s="1293"/>
      <c r="R233" s="1293"/>
      <c r="S233" s="1293"/>
      <c r="T233" s="1293"/>
    </row>
    <row r="234" spans="1:20">
      <c r="A234" s="1293"/>
      <c r="B234" s="1293"/>
      <c r="C234" s="1293"/>
      <c r="D234" s="1293"/>
      <c r="E234" s="1293"/>
      <c r="F234" s="1293"/>
      <c r="G234" s="1293"/>
      <c r="H234" s="1293"/>
      <c r="I234" s="1293"/>
      <c r="J234" s="1293"/>
      <c r="K234" s="1301"/>
      <c r="L234" s="1302"/>
      <c r="M234" s="1293"/>
      <c r="N234" s="1293"/>
      <c r="O234" s="1293"/>
      <c r="P234" s="1293"/>
      <c r="Q234" s="1293"/>
      <c r="R234" s="1293"/>
      <c r="S234" s="1293"/>
      <c r="T234" s="1293"/>
    </row>
    <row r="235" spans="1:20">
      <c r="A235" s="1293"/>
      <c r="B235" s="1293"/>
      <c r="C235" s="1293"/>
      <c r="D235" s="1293"/>
      <c r="E235" s="1293"/>
      <c r="F235" s="1293"/>
      <c r="G235" s="1293"/>
      <c r="H235" s="1293"/>
      <c r="I235" s="1293"/>
      <c r="J235" s="1293"/>
      <c r="K235" s="1301"/>
      <c r="L235" s="1302"/>
      <c r="M235" s="1293"/>
      <c r="N235" s="1293"/>
      <c r="O235" s="1293"/>
      <c r="P235" s="1293"/>
      <c r="Q235" s="1293"/>
      <c r="R235" s="1293"/>
      <c r="S235" s="1293"/>
      <c r="T235" s="1293"/>
    </row>
    <row r="236" spans="1:20">
      <c r="A236" s="1293"/>
      <c r="B236" s="1293"/>
      <c r="C236" s="1293"/>
      <c r="D236" s="1293"/>
      <c r="E236" s="1293"/>
      <c r="F236" s="1293"/>
      <c r="G236" s="1293"/>
      <c r="H236" s="1293"/>
      <c r="I236" s="1293"/>
      <c r="J236" s="1293"/>
      <c r="K236" s="1301"/>
      <c r="L236" s="1302"/>
      <c r="M236" s="1293"/>
      <c r="N236" s="1293"/>
      <c r="O236" s="1293"/>
      <c r="P236" s="1293"/>
      <c r="Q236" s="1293"/>
      <c r="R236" s="1293"/>
      <c r="S236" s="1293"/>
      <c r="T236" s="1293"/>
    </row>
    <row r="237" spans="1:20">
      <c r="A237" s="1293"/>
      <c r="B237" s="1293"/>
      <c r="C237" s="1293"/>
      <c r="D237" s="1293"/>
      <c r="E237" s="1293"/>
      <c r="F237" s="1293"/>
      <c r="G237" s="1293"/>
      <c r="H237" s="1293"/>
      <c r="I237" s="1293"/>
      <c r="J237" s="1293"/>
      <c r="K237" s="1301"/>
      <c r="L237" s="1302"/>
      <c r="M237" s="1293"/>
      <c r="N237" s="1293"/>
      <c r="O237" s="1293"/>
      <c r="P237" s="1293"/>
      <c r="Q237" s="1293"/>
      <c r="R237" s="1293"/>
      <c r="S237" s="1293"/>
      <c r="T237" s="1293"/>
    </row>
    <row r="238" spans="1:20">
      <c r="A238" s="1293"/>
      <c r="B238" s="1293"/>
      <c r="C238" s="1293"/>
      <c r="D238" s="1293"/>
      <c r="E238" s="1293"/>
      <c r="F238" s="1293"/>
      <c r="G238" s="1293"/>
      <c r="H238" s="1293"/>
      <c r="I238" s="1293"/>
      <c r="J238" s="1293"/>
      <c r="K238" s="1301"/>
      <c r="L238" s="1302"/>
      <c r="M238" s="1293"/>
      <c r="N238" s="1293"/>
      <c r="O238" s="1293"/>
      <c r="P238" s="1293"/>
      <c r="Q238" s="1293"/>
      <c r="R238" s="1293"/>
      <c r="S238" s="1293"/>
      <c r="T238" s="1293"/>
    </row>
    <row r="239" spans="1:20">
      <c r="A239" s="1293"/>
      <c r="B239" s="1293"/>
      <c r="C239" s="1293"/>
      <c r="D239" s="1293"/>
      <c r="E239" s="1293"/>
      <c r="F239" s="1293"/>
      <c r="G239" s="1293"/>
      <c r="H239" s="1293"/>
      <c r="I239" s="1293"/>
      <c r="J239" s="1293"/>
      <c r="K239" s="1301"/>
      <c r="L239" s="1302"/>
      <c r="M239" s="1293"/>
      <c r="N239" s="1293"/>
      <c r="O239" s="1293"/>
      <c r="P239" s="1293"/>
      <c r="Q239" s="1293"/>
      <c r="R239" s="1293"/>
      <c r="S239" s="1293"/>
      <c r="T239" s="1293"/>
    </row>
    <row r="240" spans="1:20">
      <c r="A240" s="1293"/>
      <c r="B240" s="1293"/>
      <c r="C240" s="1293"/>
      <c r="D240" s="1293"/>
      <c r="E240" s="1293"/>
      <c r="F240" s="1293"/>
      <c r="G240" s="1293"/>
      <c r="H240" s="1293"/>
      <c r="I240" s="1293"/>
      <c r="J240" s="1293"/>
      <c r="K240" s="1301"/>
      <c r="L240" s="1302"/>
      <c r="M240" s="1293"/>
      <c r="N240" s="1293"/>
      <c r="O240" s="1293"/>
      <c r="P240" s="1293"/>
      <c r="Q240" s="1293"/>
      <c r="R240" s="1293"/>
      <c r="S240" s="1293"/>
      <c r="T240" s="1293"/>
    </row>
    <row r="241" spans="1:20">
      <c r="A241" s="1293"/>
      <c r="B241" s="1293"/>
      <c r="C241" s="1293"/>
      <c r="D241" s="1293"/>
      <c r="E241" s="1293"/>
      <c r="F241" s="1293"/>
      <c r="G241" s="1293"/>
      <c r="H241" s="1293"/>
      <c r="I241" s="1293"/>
      <c r="J241" s="1293"/>
      <c r="K241" s="1301"/>
      <c r="L241" s="1302"/>
      <c r="M241" s="1293"/>
      <c r="N241" s="1293"/>
      <c r="O241" s="1293"/>
      <c r="P241" s="1293"/>
      <c r="Q241" s="1293"/>
      <c r="R241" s="1293"/>
      <c r="S241" s="1293"/>
      <c r="T241" s="12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0" customWidth="1"/>
    <col min="2" max="2" width="15.75" style="880" customWidth="1"/>
    <col min="3" max="3" width="14.375" style="880" customWidth="1"/>
    <col min="4" max="4" width="14.1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30" s="873" customFormat="1" ht="28.5" customHeight="1">
      <c r="A1" s="883" t="s">
        <v>922</v>
      </c>
      <c r="B1" s="884"/>
      <c r="C1" s="885" t="s">
        <v>1515</v>
      </c>
      <c r="D1" s="886"/>
      <c r="E1" s="886"/>
      <c r="F1" s="887" t="s">
        <v>924</v>
      </c>
      <c r="G1" s="886"/>
      <c r="H1" s="886"/>
      <c r="I1" s="886"/>
      <c r="J1" s="886"/>
      <c r="K1" s="1021"/>
      <c r="L1" s="1022"/>
      <c r="M1" s="1023"/>
      <c r="N1" s="1023"/>
      <c r="O1" s="1023"/>
      <c r="P1" s="1024"/>
      <c r="Q1" s="1024"/>
      <c r="R1" s="1024"/>
      <c r="S1" s="1024"/>
      <c r="T1" s="1024"/>
      <c r="U1" s="1024"/>
      <c r="V1" s="1024"/>
      <c r="W1" s="1024"/>
      <c r="X1" s="1024"/>
      <c r="Y1" s="1024"/>
      <c r="Z1" s="1024"/>
      <c r="AA1" s="1024"/>
      <c r="AB1" s="1024"/>
      <c r="AC1" s="1082"/>
      <c r="AD1" s="1083"/>
    </row>
    <row r="2" spans="1:30" s="873" customFormat="1" ht="28.5" customHeight="1">
      <c r="A2" s="144" t="s">
        <v>925</v>
      </c>
      <c r="B2" s="888" t="e">
        <f>F66</f>
        <v>#DIV/0!</v>
      </c>
      <c r="C2" s="889"/>
      <c r="D2" s="889"/>
      <c r="E2" s="890"/>
      <c r="F2" s="891"/>
      <c r="G2" s="890"/>
      <c r="H2" s="890"/>
      <c r="I2" s="890"/>
      <c r="J2" s="890"/>
      <c r="K2" s="1025"/>
      <c r="L2" s="1026"/>
      <c r="M2" s="1027"/>
      <c r="N2" s="1027"/>
      <c r="O2" s="1027"/>
      <c r="P2" s="1024"/>
      <c r="Q2" s="1024"/>
      <c r="R2" s="1024"/>
      <c r="S2" s="1024"/>
      <c r="T2" s="1024"/>
      <c r="U2" s="1024"/>
      <c r="V2" s="1024"/>
      <c r="W2" s="1024"/>
      <c r="X2" s="1024"/>
      <c r="Y2" s="1024"/>
      <c r="Z2" s="1024"/>
      <c r="AA2" s="1024"/>
      <c r="AB2" s="1024"/>
      <c r="AC2" s="1082"/>
      <c r="AD2" s="1083"/>
    </row>
    <row r="3" spans="1:30" s="873" customFormat="1" ht="28.5" customHeight="1">
      <c r="A3" s="147" t="s">
        <v>926</v>
      </c>
      <c r="B3" s="892" t="e">
        <f>ROUND(IF(D3="",B2*10000/'数据-汇总表'!E3,B2*10000/D3),0)</f>
        <v>#DIV/0!</v>
      </c>
      <c r="C3" s="147" t="s">
        <v>927</v>
      </c>
      <c r="D3" s="893"/>
      <c r="E3" s="890"/>
      <c r="F3" s="891"/>
      <c r="G3" s="890"/>
      <c r="H3" s="890"/>
      <c r="I3" s="890"/>
      <c r="J3" s="890"/>
      <c r="K3" s="1025"/>
      <c r="L3" s="1026"/>
      <c r="M3" s="1027"/>
      <c r="N3" s="1027"/>
      <c r="O3" s="1027"/>
      <c r="P3" s="1024"/>
      <c r="Q3" s="1024"/>
      <c r="R3" s="1024"/>
      <c r="S3" s="1024"/>
      <c r="T3" s="1024"/>
      <c r="U3" s="1024"/>
      <c r="V3" s="1024"/>
      <c r="W3" s="1024"/>
      <c r="X3" s="1024"/>
      <c r="Y3" s="1024"/>
      <c r="Z3" s="1024"/>
      <c r="AA3" s="1024"/>
      <c r="AB3" s="1084"/>
      <c r="AC3" s="1085"/>
    </row>
    <row r="4" spans="1:30" ht="15">
      <c r="A4" s="894" t="s">
        <v>928</v>
      </c>
      <c r="B4" s="895"/>
      <c r="C4" s="3167" t="s">
        <v>929</v>
      </c>
      <c r="D4" s="3168"/>
      <c r="E4" s="3169" t="s">
        <v>930</v>
      </c>
      <c r="F4" s="3170"/>
      <c r="G4" s="3167" t="s">
        <v>931</v>
      </c>
      <c r="H4" s="3168"/>
      <c r="I4" s="3167" t="s">
        <v>932</v>
      </c>
      <c r="J4" s="3168"/>
      <c r="K4" s="1028" t="s">
        <v>933</v>
      </c>
      <c r="L4" s="1029"/>
      <c r="M4" s="1030"/>
      <c r="N4" s="1030"/>
      <c r="O4" s="1030"/>
      <c r="P4" s="3198" t="s">
        <v>934</v>
      </c>
      <c r="Q4" s="3199"/>
      <c r="R4" s="3204" t="s">
        <v>930</v>
      </c>
      <c r="S4" s="3205"/>
      <c r="T4" s="3204" t="s">
        <v>931</v>
      </c>
      <c r="U4" s="3205"/>
      <c r="V4" s="3183" t="s">
        <v>932</v>
      </c>
      <c r="W4" s="3183"/>
      <c r="X4" s="1070"/>
      <c r="Y4" s="3204" t="s">
        <v>934</v>
      </c>
      <c r="Z4" s="3205"/>
      <c r="AA4" s="3195" t="s">
        <v>930</v>
      </c>
      <c r="AB4" s="3196" t="s">
        <v>931</v>
      </c>
      <c r="AC4" s="3195" t="s">
        <v>932</v>
      </c>
    </row>
    <row r="5" spans="1:30" ht="15">
      <c r="A5" s="896"/>
      <c r="B5" s="897"/>
      <c r="C5" s="3171" t="s">
        <v>935</v>
      </c>
      <c r="D5" s="3172"/>
      <c r="E5" s="3173" t="s">
        <v>1438</v>
      </c>
      <c r="F5" s="3174"/>
      <c r="G5" s="3171" t="s">
        <v>1439</v>
      </c>
      <c r="H5" s="3172"/>
      <c r="I5" s="3171" t="s">
        <v>1440</v>
      </c>
      <c r="J5" s="3172"/>
      <c r="K5" s="1028"/>
      <c r="L5" s="1029"/>
      <c r="M5" s="1030"/>
      <c r="N5" s="1030"/>
      <c r="O5" s="1030"/>
      <c r="P5" s="3200"/>
      <c r="Q5" s="3201"/>
      <c r="R5" s="3206"/>
      <c r="S5" s="3207"/>
      <c r="T5" s="3206"/>
      <c r="U5" s="3207"/>
      <c r="V5" s="3183"/>
      <c r="W5" s="3183"/>
      <c r="X5" s="1070"/>
      <c r="Y5" s="3206"/>
      <c r="Z5" s="3207"/>
      <c r="AA5" s="3196"/>
      <c r="AB5" s="3196"/>
      <c r="AC5" s="3196"/>
    </row>
    <row r="6" spans="1:30" ht="15">
      <c r="A6" s="898"/>
      <c r="B6" s="899"/>
      <c r="C6" s="3240" t="s">
        <v>1441</v>
      </c>
      <c r="D6" s="3241"/>
      <c r="E6" s="3242" t="s">
        <v>1441</v>
      </c>
      <c r="F6" s="3243"/>
      <c r="G6" s="3240" t="s">
        <v>1441</v>
      </c>
      <c r="H6" s="3241"/>
      <c r="I6" s="3240" t="s">
        <v>1441</v>
      </c>
      <c r="J6" s="3241"/>
      <c r="K6" s="1028" t="s">
        <v>937</v>
      </c>
      <c r="L6" s="1029"/>
      <c r="M6" s="1030"/>
      <c r="N6" s="1030"/>
      <c r="O6" s="1030"/>
      <c r="P6" s="3202"/>
      <c r="Q6" s="3203"/>
      <c r="R6" s="3206"/>
      <c r="S6" s="3207"/>
      <c r="T6" s="3208"/>
      <c r="U6" s="3209"/>
      <c r="V6" s="3183"/>
      <c r="W6" s="3183"/>
      <c r="X6" s="1070"/>
      <c r="Y6" s="3208"/>
      <c r="Z6" s="3209"/>
      <c r="AA6" s="3197"/>
      <c r="AB6" s="3197"/>
      <c r="AC6" s="3197"/>
    </row>
    <row r="7" spans="1:30" s="874" customFormat="1" ht="15">
      <c r="A7" s="900" t="s">
        <v>938</v>
      </c>
      <c r="B7" s="901"/>
      <c r="C7" s="902">
        <f>'数据-取费表'!B2</f>
        <v>44393</v>
      </c>
      <c r="D7" s="903">
        <v>100</v>
      </c>
      <c r="E7" s="904">
        <v>42309</v>
      </c>
      <c r="F7" s="905">
        <f>SUMIF(70:70,YEAR(E7)&amp;"-"&amp;INT((MONTH(E7)+2)/3),71:71)</f>
        <v>0</v>
      </c>
      <c r="G7" s="906">
        <v>42309</v>
      </c>
      <c r="H7" s="903">
        <f>SUMIF(70:70,YEAR(G7)&amp;"-"&amp;INT((MONTH(G7)+2)/3),71:71)</f>
        <v>0</v>
      </c>
      <c r="I7" s="906">
        <v>42036</v>
      </c>
      <c r="J7" s="903">
        <f>SUMIF(70:70,YEAR(I7)&amp;"-"&amp;INT((MONTH(I7)+2)/3),71:71)</f>
        <v>0</v>
      </c>
      <c r="K7" s="1031"/>
      <c r="L7" s="1032"/>
      <c r="M7" s="1033"/>
      <c r="N7" s="1033"/>
      <c r="O7" s="1033"/>
      <c r="P7" s="3179" t="s">
        <v>939</v>
      </c>
      <c r="Q7" s="3180"/>
      <c r="R7" s="1071" t="s">
        <v>940</v>
      </c>
      <c r="S7" s="1072">
        <f t="shared" ref="S7:S15" si="0">F7</f>
        <v>0</v>
      </c>
      <c r="T7" s="1071" t="s">
        <v>940</v>
      </c>
      <c r="U7" s="1072">
        <f t="shared" ref="U7:U15" si="1">H7</f>
        <v>0</v>
      </c>
      <c r="V7" s="1071" t="s">
        <v>940</v>
      </c>
      <c r="W7" s="1072">
        <f t="shared" ref="W7:W15" si="2">J7</f>
        <v>0</v>
      </c>
      <c r="X7" s="1073"/>
      <c r="Y7" s="3179" t="s">
        <v>939</v>
      </c>
      <c r="Z7" s="3181"/>
      <c r="AA7" s="1086" t="e">
        <f>D7/F7</f>
        <v>#DIV/0!</v>
      </c>
      <c r="AB7" s="1086" t="e">
        <f>D7/H7</f>
        <v>#DIV/0!</v>
      </c>
      <c r="AC7" s="1086" t="e">
        <f>D7/J7</f>
        <v>#DIV/0!</v>
      </c>
    </row>
    <row r="8" spans="1:30" s="874" customFormat="1" ht="15">
      <c r="A8" s="900" t="s">
        <v>941</v>
      </c>
      <c r="B8" s="901"/>
      <c r="C8" s="907" t="s">
        <v>942</v>
      </c>
      <c r="D8" s="903">
        <v>100</v>
      </c>
      <c r="E8" s="907"/>
      <c r="F8" s="905">
        <f>SUMIF(73:73,E8,74:74)-SUMIF(73:73,C8,74:74)+100</f>
        <v>0</v>
      </c>
      <c r="G8" s="907"/>
      <c r="H8" s="903">
        <f>SUMIF(73:73,G8,74:74)-SUMIF(73:73,C8,74:74)+100</f>
        <v>0</v>
      </c>
      <c r="I8" s="907"/>
      <c r="J8" s="903">
        <f>SUMIF(73:73,I8,74:74)-SUMIF(73:73,C8,74:74)+100</f>
        <v>0</v>
      </c>
      <c r="K8" s="1031"/>
      <c r="L8" s="1032"/>
      <c r="M8" s="1033"/>
      <c r="N8" s="1033"/>
      <c r="O8" s="1033"/>
      <c r="P8" s="3179" t="s">
        <v>943</v>
      </c>
      <c r="Q8" s="3181"/>
      <c r="R8" s="1071" t="s">
        <v>940</v>
      </c>
      <c r="S8" s="1072">
        <f t="shared" si="0"/>
        <v>0</v>
      </c>
      <c r="T8" s="1071" t="s">
        <v>940</v>
      </c>
      <c r="U8" s="1072">
        <f t="shared" si="1"/>
        <v>0</v>
      </c>
      <c r="V8" s="1071" t="s">
        <v>940</v>
      </c>
      <c r="W8" s="1072">
        <f t="shared" si="2"/>
        <v>0</v>
      </c>
      <c r="X8" s="1073"/>
      <c r="Y8" s="3179" t="s">
        <v>943</v>
      </c>
      <c r="Z8" s="3181"/>
      <c r="AA8" s="1086" t="e">
        <f t="shared" ref="AA8:AA45" si="3">D8/F8</f>
        <v>#DIV/0!</v>
      </c>
      <c r="AB8" s="1086" t="e">
        <f t="shared" ref="AB8:AB45" si="4">D8/H8</f>
        <v>#DIV/0!</v>
      </c>
      <c r="AC8" s="1086" t="e">
        <f t="shared" ref="AC8:AC45" si="5">D8/J8</f>
        <v>#DIV/0!</v>
      </c>
    </row>
    <row r="9" spans="1:30" s="874" customFormat="1">
      <c r="A9" s="908" t="s">
        <v>944</v>
      </c>
      <c r="B9" s="909" t="s">
        <v>349</v>
      </c>
      <c r="C9" s="910"/>
      <c r="D9" s="911">
        <v>100</v>
      </c>
      <c r="E9" s="910"/>
      <c r="F9" s="911">
        <f>SUMIF(75:75,E9,76:76)-SUMIF(75:75,C9,76:76)+100</f>
        <v>100</v>
      </c>
      <c r="G9" s="910"/>
      <c r="H9" s="911">
        <f>SUMIF(75:75,G9,76:76)-SUMIF(75:75,C9,76:76)+100</f>
        <v>100</v>
      </c>
      <c r="I9" s="910"/>
      <c r="J9" s="911">
        <f>SUMIF(75:75,I9,76:76)-SUMIF(75:75,C9,76:76)+100</f>
        <v>100</v>
      </c>
      <c r="K9" s="1031"/>
      <c r="L9" s="1032"/>
      <c r="M9" s="1033"/>
      <c r="N9" s="1033"/>
      <c r="O9" s="1034"/>
      <c r="P9" s="3182" t="s">
        <v>945</v>
      </c>
      <c r="Q9" s="1075" t="str">
        <f t="shared" ref="Q9:Q15" si="6">B9</f>
        <v>用途</v>
      </c>
      <c r="R9" s="1071" t="s">
        <v>940</v>
      </c>
      <c r="S9" s="1072">
        <f t="shared" si="0"/>
        <v>100</v>
      </c>
      <c r="T9" s="1071" t="s">
        <v>940</v>
      </c>
      <c r="U9" s="1072">
        <f t="shared" si="1"/>
        <v>100</v>
      </c>
      <c r="V9" s="1071" t="s">
        <v>940</v>
      </c>
      <c r="W9" s="1072">
        <f t="shared" si="2"/>
        <v>100</v>
      </c>
      <c r="X9" s="1073"/>
      <c r="Y9" s="3047" t="s">
        <v>946</v>
      </c>
      <c r="Z9" s="1087" t="str">
        <f t="shared" ref="Z9:Z15" si="7">Q9</f>
        <v>用途</v>
      </c>
      <c r="AA9" s="1086">
        <f t="shared" si="3"/>
        <v>1</v>
      </c>
      <c r="AB9" s="1086">
        <f t="shared" si="4"/>
        <v>1</v>
      </c>
      <c r="AC9" s="1086">
        <f t="shared" si="5"/>
        <v>1</v>
      </c>
    </row>
    <row r="10" spans="1:30" s="875" customFormat="1" ht="27">
      <c r="A10" s="912"/>
      <c r="B10" s="913" t="s">
        <v>947</v>
      </c>
      <c r="C10" s="914"/>
      <c r="D10" s="915">
        <v>100</v>
      </c>
      <c r="E10" s="916"/>
      <c r="F10" s="915">
        <f>ROUND(100/'数据-取费表'!G16,0)</f>
        <v>102</v>
      </c>
      <c r="G10" s="917"/>
      <c r="H10" s="915">
        <f>ROUND(100/'数据-取费表'!G16,0)</f>
        <v>102</v>
      </c>
      <c r="I10" s="917"/>
      <c r="J10" s="915">
        <f>ROUND(100/'数据-取费表'!G16,0)</f>
        <v>102</v>
      </c>
      <c r="K10" s="1035"/>
      <c r="L10" s="1036"/>
      <c r="M10" s="1037"/>
      <c r="N10" s="1037"/>
      <c r="O10" s="1038"/>
      <c r="P10" s="3182"/>
      <c r="Q10" s="1075" t="str">
        <f t="shared" si="6"/>
        <v>土地使用年限（年）</v>
      </c>
      <c r="R10" s="1071" t="s">
        <v>940</v>
      </c>
      <c r="S10" s="1072">
        <f t="shared" si="0"/>
        <v>102</v>
      </c>
      <c r="T10" s="1071" t="s">
        <v>940</v>
      </c>
      <c r="U10" s="1072">
        <f t="shared" si="1"/>
        <v>102</v>
      </c>
      <c r="V10" s="1071" t="s">
        <v>940</v>
      </c>
      <c r="W10" s="1072">
        <f t="shared" si="2"/>
        <v>102</v>
      </c>
      <c r="X10" s="1073"/>
      <c r="Y10" s="3047"/>
      <c r="Z10" s="1087" t="str">
        <f t="shared" si="7"/>
        <v>土地使用年限（年）</v>
      </c>
      <c r="AA10" s="1086">
        <f t="shared" si="3"/>
        <v>0.98039215686274506</v>
      </c>
      <c r="AB10" s="1086">
        <f t="shared" si="4"/>
        <v>0.98039215686274506</v>
      </c>
      <c r="AC10" s="1086">
        <f t="shared" si="5"/>
        <v>0.98039215686274506</v>
      </c>
    </row>
    <row r="11" spans="1:30" ht="15">
      <c r="A11" s="918"/>
      <c r="B11" s="913" t="s">
        <v>948</v>
      </c>
      <c r="C11" s="919"/>
      <c r="D11" s="915">
        <v>100</v>
      </c>
      <c r="E11" s="919"/>
      <c r="F11" s="915" t="e">
        <f>LOOKUP(E11,80:80,81:81)-LOOKUP(C11,80:80,81:81)+100</f>
        <v>#N/A</v>
      </c>
      <c r="G11" s="920"/>
      <c r="H11" s="915" t="e">
        <f>LOOKUP(G11,80:80,81:81)-LOOKUP(C11,80:80,81:81)+100</f>
        <v>#N/A</v>
      </c>
      <c r="I11" s="919"/>
      <c r="J11" s="915" t="e">
        <f>LOOKUP(I11,80:80,81:81)-LOOKUP(C11,80:80,81:81)+100</f>
        <v>#N/A</v>
      </c>
      <c r="K11" s="1039"/>
      <c r="L11" s="1040"/>
      <c r="M11" s="1030"/>
      <c r="N11" s="1030"/>
      <c r="O11" s="1041"/>
      <c r="P11" s="3182"/>
      <c r="Q11" s="1075" t="str">
        <f t="shared" si="6"/>
        <v>容积率</v>
      </c>
      <c r="R11" s="1071" t="s">
        <v>940</v>
      </c>
      <c r="S11" s="1072" t="e">
        <f t="shared" si="0"/>
        <v>#N/A</v>
      </c>
      <c r="T11" s="1071" t="s">
        <v>940</v>
      </c>
      <c r="U11" s="1072" t="e">
        <f t="shared" si="1"/>
        <v>#N/A</v>
      </c>
      <c r="V11" s="1071" t="s">
        <v>940</v>
      </c>
      <c r="W11" s="1072" t="e">
        <f t="shared" si="2"/>
        <v>#N/A</v>
      </c>
      <c r="X11" s="1073"/>
      <c r="Y11" s="3047"/>
      <c r="Z11" s="1087" t="str">
        <f t="shared" si="7"/>
        <v>容积率</v>
      </c>
      <c r="AA11" s="1086" t="e">
        <f t="shared" si="3"/>
        <v>#N/A</v>
      </c>
      <c r="AB11" s="1086" t="e">
        <f t="shared" si="4"/>
        <v>#N/A</v>
      </c>
      <c r="AC11" s="1086" t="e">
        <f t="shared" si="5"/>
        <v>#N/A</v>
      </c>
    </row>
    <row r="12" spans="1:30" s="874" customFormat="1" ht="15">
      <c r="A12" s="921"/>
      <c r="B12" s="922" t="s">
        <v>1516</v>
      </c>
      <c r="C12" s="914"/>
      <c r="D12" s="923">
        <v>100</v>
      </c>
      <c r="E12" s="916"/>
      <c r="F12" s="915">
        <f>SUMIF(82:82,E12,83:83)-SUMIF(82:82,C12,83:83)+100</f>
        <v>100</v>
      </c>
      <c r="G12" s="917"/>
      <c r="H12" s="915">
        <f>SUMIF(82:82,G12,83:83)-SUMIF(82:82,C12,83:83)+100</f>
        <v>100</v>
      </c>
      <c r="I12" s="916"/>
      <c r="J12" s="915">
        <f>SUMIF(82:82,I12,83:83)-SUMIF(82:82,C12,83:83)+100</f>
        <v>100</v>
      </c>
      <c r="K12" s="1035"/>
      <c r="L12" s="1032"/>
      <c r="M12" s="1033"/>
      <c r="N12" s="1033"/>
      <c r="O12" s="1034"/>
      <c r="P12" s="3182"/>
      <c r="Q12" s="1075" t="str">
        <f t="shared" si="6"/>
        <v>配建</v>
      </c>
      <c r="R12" s="1071" t="s">
        <v>940</v>
      </c>
      <c r="S12" s="1072">
        <f t="shared" si="0"/>
        <v>100</v>
      </c>
      <c r="T12" s="1071" t="s">
        <v>940</v>
      </c>
      <c r="U12" s="1072">
        <f t="shared" si="1"/>
        <v>100</v>
      </c>
      <c r="V12" s="1071" t="s">
        <v>940</v>
      </c>
      <c r="W12" s="1072">
        <f t="shared" si="2"/>
        <v>100</v>
      </c>
      <c r="X12" s="1073"/>
      <c r="Y12" s="3047"/>
      <c r="Z12" s="1087" t="str">
        <f t="shared" si="7"/>
        <v>配建</v>
      </c>
      <c r="AA12" s="1086">
        <f t="shared" si="3"/>
        <v>1</v>
      </c>
      <c r="AB12" s="1086">
        <f t="shared" si="4"/>
        <v>1</v>
      </c>
      <c r="AC12" s="1086">
        <f t="shared" si="5"/>
        <v>1</v>
      </c>
    </row>
    <row r="13" spans="1:30" ht="15">
      <c r="A13" s="918"/>
      <c r="B13" s="922">
        <v>111</v>
      </c>
      <c r="C13" s="924"/>
      <c r="D13" s="925">
        <v>100</v>
      </c>
      <c r="E13" s="926"/>
      <c r="F13" s="915">
        <f>SUMIF(84:84,E13,85:85)-SUMIF(84:84,C13,85:85)+100</f>
        <v>100</v>
      </c>
      <c r="G13" s="927"/>
      <c r="H13" s="925">
        <f>SUMIF(84:84,G13,85:85)-SUMIF(84:84,C13,85:85)+100</f>
        <v>100</v>
      </c>
      <c r="I13" s="927"/>
      <c r="J13" s="925">
        <f>SUMIF(84:84,I13,85:85)-SUMIF(84:84,C13,85:85)+100</f>
        <v>100</v>
      </c>
      <c r="K13" s="1035"/>
      <c r="L13" s="1042"/>
      <c r="M13" s="1030"/>
      <c r="N13" s="1030"/>
      <c r="O13" s="1041"/>
      <c r="P13" s="3182"/>
      <c r="Q13" s="1075">
        <f t="shared" si="6"/>
        <v>111</v>
      </c>
      <c r="R13" s="1071" t="s">
        <v>940</v>
      </c>
      <c r="S13" s="1072">
        <f t="shared" si="0"/>
        <v>100</v>
      </c>
      <c r="T13" s="1071" t="s">
        <v>940</v>
      </c>
      <c r="U13" s="1072">
        <f t="shared" si="1"/>
        <v>100</v>
      </c>
      <c r="V13" s="1071" t="s">
        <v>940</v>
      </c>
      <c r="W13" s="1072">
        <f t="shared" si="2"/>
        <v>100</v>
      </c>
      <c r="X13" s="1073"/>
      <c r="Y13" s="3047"/>
      <c r="Z13" s="1087">
        <f t="shared" si="7"/>
        <v>111</v>
      </c>
      <c r="AA13" s="1086">
        <f t="shared" si="3"/>
        <v>1</v>
      </c>
      <c r="AB13" s="1086">
        <f t="shared" si="4"/>
        <v>1</v>
      </c>
      <c r="AC13" s="1086">
        <f t="shared" si="5"/>
        <v>1</v>
      </c>
    </row>
    <row r="14" spans="1:30" ht="15">
      <c r="A14" s="928"/>
      <c r="B14" s="929">
        <v>111</v>
      </c>
      <c r="C14" s="930"/>
      <c r="D14" s="931">
        <v>100</v>
      </c>
      <c r="E14" s="926"/>
      <c r="F14" s="931">
        <f>SUMIF(86:86,E14,87:87)-SUMIF(86:86,C14,87:87)+100</f>
        <v>100</v>
      </c>
      <c r="G14" s="927"/>
      <c r="H14" s="931">
        <f>SUMIF(86:86,G14,87:87)-SUMIF(86:86,C14,87:87)+100</f>
        <v>100</v>
      </c>
      <c r="I14" s="927"/>
      <c r="J14" s="931">
        <f>SUMIF(86:86,I14,87:87)-SUMIF(86:86,C14,87:87)+100</f>
        <v>100</v>
      </c>
      <c r="K14" s="1035"/>
      <c r="L14" s="1042"/>
      <c r="M14" s="1030"/>
      <c r="N14" s="1030"/>
      <c r="O14" s="1041"/>
      <c r="P14" s="3182"/>
      <c r="Q14" s="1075">
        <f t="shared" si="6"/>
        <v>111</v>
      </c>
      <c r="R14" s="1071" t="s">
        <v>940</v>
      </c>
      <c r="S14" s="1072">
        <f t="shared" si="0"/>
        <v>100</v>
      </c>
      <c r="T14" s="1071" t="s">
        <v>940</v>
      </c>
      <c r="U14" s="1072">
        <f t="shared" si="1"/>
        <v>100</v>
      </c>
      <c r="V14" s="1071" t="s">
        <v>940</v>
      </c>
      <c r="W14" s="1072">
        <f t="shared" si="2"/>
        <v>100</v>
      </c>
      <c r="X14" s="1073"/>
      <c r="Y14" s="3047"/>
      <c r="Z14" s="1087">
        <f t="shared" si="7"/>
        <v>111</v>
      </c>
      <c r="AA14" s="1086">
        <f t="shared" si="3"/>
        <v>1</v>
      </c>
      <c r="AB14" s="1086">
        <f t="shared" si="4"/>
        <v>1</v>
      </c>
      <c r="AC14" s="1086">
        <f t="shared" si="5"/>
        <v>1</v>
      </c>
    </row>
    <row r="15" spans="1:30" ht="99.75">
      <c r="A15" s="932" t="s">
        <v>949</v>
      </c>
      <c r="B15" s="933" t="s">
        <v>657</v>
      </c>
      <c r="C15" s="934" t="str">
        <f>估价对象房地状况!C15</f>
        <v>估价对象周边居住用地比例、居住小区规模和社区发展完善程度，综合评价居住社区成熟度一般</v>
      </c>
      <c r="D15" s="935">
        <v>100</v>
      </c>
      <c r="E15" s="936"/>
      <c r="F15" s="935">
        <f>SUMIF(88:88,E16,89:89)-SUMIF(88:88,C16,89:89)+100</f>
        <v>100</v>
      </c>
      <c r="G15" s="936"/>
      <c r="H15" s="935">
        <f>SUMIF(88:88,G16,89:89)-SUMIF(88:88,C16,89:89)+100</f>
        <v>100</v>
      </c>
      <c r="I15" s="1043"/>
      <c r="J15" s="935">
        <f>SUMIF(88:88,I16,89:89)-SUMIF(88:88,C16,89:89)+100</f>
        <v>100</v>
      </c>
      <c r="K15" s="1039"/>
      <c r="L15" s="1042"/>
      <c r="M15" s="1030"/>
      <c r="N15" s="1030"/>
      <c r="O15" s="1041"/>
      <c r="P15" s="3185" t="s">
        <v>950</v>
      </c>
      <c r="Q15" s="657" t="str">
        <f t="shared" si="6"/>
        <v>居住社区成熟度</v>
      </c>
      <c r="R15" s="1076" t="s">
        <v>940</v>
      </c>
      <c r="S15" s="1077">
        <f t="shared" si="0"/>
        <v>100</v>
      </c>
      <c r="T15" s="1076" t="s">
        <v>940</v>
      </c>
      <c r="U15" s="1077">
        <f t="shared" si="1"/>
        <v>100</v>
      </c>
      <c r="V15" s="1076" t="s">
        <v>940</v>
      </c>
      <c r="W15" s="1077">
        <f t="shared" si="2"/>
        <v>100</v>
      </c>
      <c r="X15" s="1070"/>
      <c r="Y15" s="3185" t="s">
        <v>950</v>
      </c>
      <c r="Z15" s="1069" t="str">
        <f t="shared" si="7"/>
        <v>居住社区成熟度</v>
      </c>
      <c r="AA15" s="1088">
        <f t="shared" si="3"/>
        <v>1</v>
      </c>
      <c r="AB15" s="1088">
        <f t="shared" si="4"/>
        <v>1</v>
      </c>
      <c r="AC15" s="1088">
        <f t="shared" si="5"/>
        <v>1</v>
      </c>
    </row>
    <row r="16" spans="1:30" ht="15">
      <c r="A16" s="918"/>
      <c r="B16" s="937"/>
      <c r="C16" s="938"/>
      <c r="D16" s="939"/>
      <c r="E16" s="940"/>
      <c r="F16" s="939"/>
      <c r="G16" s="940"/>
      <c r="H16" s="941"/>
      <c r="I16" s="954"/>
      <c r="J16" s="939"/>
      <c r="K16" s="1035"/>
      <c r="L16" s="1042"/>
      <c r="M16" s="1030"/>
      <c r="N16" s="1030"/>
      <c r="O16" s="1041"/>
      <c r="P16" s="3186"/>
      <c r="Q16" s="657"/>
      <c r="R16" s="1076"/>
      <c r="S16" s="1077"/>
      <c r="T16" s="1076"/>
      <c r="U16" s="1077"/>
      <c r="V16" s="1076"/>
      <c r="W16" s="1077"/>
      <c r="X16" s="1070"/>
      <c r="Y16" s="3186"/>
      <c r="Z16" s="1069"/>
      <c r="AA16" s="1088">
        <v>1</v>
      </c>
      <c r="AB16" s="1088">
        <v>1</v>
      </c>
      <c r="AC16" s="1088">
        <v>1</v>
      </c>
    </row>
    <row r="17" spans="1:29" ht="71.25">
      <c r="A17" s="918"/>
      <c r="B17" s="942" t="s">
        <v>661</v>
      </c>
      <c r="C17" s="655" t="str">
        <f>估价对象房地状况!C16</f>
        <v>估价对象位于XX商圈，周边商业氛围成熟，人流量大，商业繁华度好</v>
      </c>
      <c r="D17" s="941">
        <v>100</v>
      </c>
      <c r="E17" s="943"/>
      <c r="F17" s="941">
        <f>SUMIF(90:90,E18,91:91)-SUMIF(90:90,C18,91:91)+100</f>
        <v>100</v>
      </c>
      <c r="G17" s="943"/>
      <c r="H17" s="944">
        <f>SUMIF(90:90,G18,91:91)-SUMIF(90:90,C18,91:91)+100</f>
        <v>100</v>
      </c>
      <c r="I17" s="952"/>
      <c r="J17" s="944">
        <f>SUMIF(90:90,I18,91:91)-SUMIF(90:90,C18,91:91)+100</f>
        <v>100</v>
      </c>
      <c r="K17" s="1039"/>
      <c r="L17" s="1042"/>
      <c r="M17" s="1030"/>
      <c r="N17" s="1030"/>
      <c r="O17" s="1041"/>
      <c r="P17" s="3186"/>
      <c r="Q17" s="657" t="str">
        <f>B17</f>
        <v>商业繁华度</v>
      </c>
      <c r="R17" s="1076" t="s">
        <v>940</v>
      </c>
      <c r="S17" s="1077">
        <f>F17</f>
        <v>100</v>
      </c>
      <c r="T17" s="1076" t="s">
        <v>940</v>
      </c>
      <c r="U17" s="1077">
        <f>H17</f>
        <v>100</v>
      </c>
      <c r="V17" s="1076" t="s">
        <v>940</v>
      </c>
      <c r="W17" s="1077">
        <f>J17</f>
        <v>100</v>
      </c>
      <c r="X17" s="1070"/>
      <c r="Y17" s="3186"/>
      <c r="Z17" s="1069" t="str">
        <f>Q17</f>
        <v>商业繁华度</v>
      </c>
      <c r="AA17" s="1088">
        <f t="shared" si="3"/>
        <v>1</v>
      </c>
      <c r="AB17" s="1088">
        <f t="shared" si="4"/>
        <v>1</v>
      </c>
      <c r="AC17" s="1088">
        <f t="shared" si="5"/>
        <v>1</v>
      </c>
    </row>
    <row r="18" spans="1:29" ht="15">
      <c r="A18" s="918"/>
      <c r="B18" s="945"/>
      <c r="C18" s="946"/>
      <c r="D18" s="941"/>
      <c r="E18" s="947"/>
      <c r="F18" s="941"/>
      <c r="G18" s="947"/>
      <c r="H18" s="939"/>
      <c r="I18" s="1044"/>
      <c r="J18" s="939"/>
      <c r="K18" s="1035"/>
      <c r="L18" s="1042"/>
      <c r="M18" s="1030"/>
      <c r="N18" s="1030"/>
      <c r="O18" s="1041"/>
      <c r="P18" s="3186"/>
      <c r="Q18" s="657"/>
      <c r="R18" s="1076"/>
      <c r="S18" s="1077"/>
      <c r="T18" s="1076"/>
      <c r="U18" s="1077"/>
      <c r="V18" s="1076"/>
      <c r="W18" s="1077"/>
      <c r="X18" s="1070"/>
      <c r="Y18" s="3186"/>
      <c r="Z18" s="1069"/>
      <c r="AA18" s="1088">
        <v>1</v>
      </c>
      <c r="AB18" s="1088">
        <v>1</v>
      </c>
      <c r="AC18" s="1088">
        <v>1</v>
      </c>
    </row>
    <row r="19" spans="1:29" ht="71.25">
      <c r="A19" s="918"/>
      <c r="B19" s="942" t="s">
        <v>665</v>
      </c>
      <c r="C19" s="655" t="str">
        <f>估价对象房地状况!C17</f>
        <v>估价对象位于XX商圈，周边办公楼项目较多，入驻率高，办公集聚程度较好</v>
      </c>
      <c r="D19" s="944">
        <v>100</v>
      </c>
      <c r="E19" s="948"/>
      <c r="F19" s="944">
        <f>SUMIF(92:92,E20,93:93)-SUMIF(92:92,C20,93:93)+100</f>
        <v>100</v>
      </c>
      <c r="G19" s="948"/>
      <c r="H19" s="941">
        <f>SUMIF(92:92,G20,93:93)-SUMIF(92:92,C20,93:93)+100</f>
        <v>100</v>
      </c>
      <c r="I19" s="1045"/>
      <c r="J19" s="941">
        <f>SUMIF(92:92,I20,93:93)-SUMIF(92:92,C20,93:93)+100</f>
        <v>100</v>
      </c>
      <c r="K19" s="1039"/>
      <c r="L19" s="1042"/>
      <c r="M19" s="1030"/>
      <c r="N19" s="1030"/>
      <c r="O19" s="1041"/>
      <c r="P19" s="3186"/>
      <c r="Q19" s="657" t="str">
        <f>B19</f>
        <v>办公集聚程度</v>
      </c>
      <c r="R19" s="1076" t="s">
        <v>940</v>
      </c>
      <c r="S19" s="1077">
        <f>F19</f>
        <v>100</v>
      </c>
      <c r="T19" s="1076" t="s">
        <v>940</v>
      </c>
      <c r="U19" s="1077">
        <f>H19</f>
        <v>100</v>
      </c>
      <c r="V19" s="1076" t="s">
        <v>940</v>
      </c>
      <c r="W19" s="1077">
        <f>J19</f>
        <v>100</v>
      </c>
      <c r="X19" s="1070"/>
      <c r="Y19" s="3186"/>
      <c r="Z19" s="1069" t="str">
        <f>Q19</f>
        <v>办公集聚程度</v>
      </c>
      <c r="AA19" s="1088">
        <f t="shared" si="3"/>
        <v>1</v>
      </c>
      <c r="AB19" s="1088">
        <f t="shared" si="4"/>
        <v>1</v>
      </c>
      <c r="AC19" s="1088">
        <f t="shared" si="5"/>
        <v>1</v>
      </c>
    </row>
    <row r="20" spans="1:29" ht="15">
      <c r="A20" s="918"/>
      <c r="B20" s="945"/>
      <c r="C20" s="938"/>
      <c r="D20" s="939"/>
      <c r="E20" s="940"/>
      <c r="F20" s="939"/>
      <c r="G20" s="940"/>
      <c r="H20" s="939"/>
      <c r="I20" s="954"/>
      <c r="J20" s="939"/>
      <c r="K20" s="1035"/>
      <c r="L20" s="1042"/>
      <c r="M20" s="1030"/>
      <c r="N20" s="1030"/>
      <c r="O20" s="1041"/>
      <c r="P20" s="3186"/>
      <c r="Q20" s="657"/>
      <c r="R20" s="1076"/>
      <c r="S20" s="1077"/>
      <c r="T20" s="1076"/>
      <c r="U20" s="1077"/>
      <c r="V20" s="1076"/>
      <c r="W20" s="1077"/>
      <c r="X20" s="1070"/>
      <c r="Y20" s="3186"/>
      <c r="Z20" s="1069"/>
      <c r="AA20" s="1088">
        <v>1</v>
      </c>
      <c r="AB20" s="1088">
        <v>1</v>
      </c>
      <c r="AC20" s="1088">
        <v>1</v>
      </c>
    </row>
    <row r="21" spans="1:29" ht="85.5">
      <c r="A21" s="918"/>
      <c r="B21" s="942" t="s">
        <v>663</v>
      </c>
      <c r="C21" s="949" t="str">
        <f>估价对象房地状况!C18</f>
        <v>估价对象周边道路状况、公共交通通达情况、停车便捷程度，综合评价交通便捷度较好</v>
      </c>
      <c r="D21" s="941">
        <v>100</v>
      </c>
      <c r="E21" s="943"/>
      <c r="F21" s="944">
        <f>SUMIF(94:94,E22,95:95)-SUMIF(94:94,C22,95:95)+100</f>
        <v>100</v>
      </c>
      <c r="G21" s="943"/>
      <c r="H21" s="941">
        <f>SUMIF(94:94,G22,95:95)-SUMIF(94:94,C22,95:95)+100</f>
        <v>100</v>
      </c>
      <c r="I21" s="952"/>
      <c r="J21" s="941">
        <f>SUMIF(94:94,I22,95:95)-SUMIF(94:94,C22,95:95)+100</f>
        <v>100</v>
      </c>
      <c r="K21" s="1039"/>
      <c r="L21" s="1042"/>
      <c r="M21" s="1030"/>
      <c r="N21" s="1030"/>
      <c r="O21" s="1041"/>
      <c r="P21" s="3186"/>
      <c r="Q21" s="657" t="str">
        <f>B21</f>
        <v>交通便捷度</v>
      </c>
      <c r="R21" s="1076" t="s">
        <v>940</v>
      </c>
      <c r="S21" s="1077">
        <f>F21</f>
        <v>100</v>
      </c>
      <c r="T21" s="1076" t="s">
        <v>940</v>
      </c>
      <c r="U21" s="1077">
        <f>H21</f>
        <v>100</v>
      </c>
      <c r="V21" s="1076" t="s">
        <v>940</v>
      </c>
      <c r="W21" s="1077">
        <f>J21</f>
        <v>100</v>
      </c>
      <c r="X21" s="1070"/>
      <c r="Y21" s="3186"/>
      <c r="Z21" s="1069" t="str">
        <f>Q21</f>
        <v>交通便捷度</v>
      </c>
      <c r="AA21" s="1088">
        <f t="shared" si="3"/>
        <v>1</v>
      </c>
      <c r="AB21" s="1088">
        <f t="shared" si="4"/>
        <v>1</v>
      </c>
      <c r="AC21" s="1088">
        <f t="shared" si="5"/>
        <v>1</v>
      </c>
    </row>
    <row r="22" spans="1:29" ht="15">
      <c r="A22" s="918"/>
      <c r="B22" s="950"/>
      <c r="C22" s="938"/>
      <c r="D22" s="941"/>
      <c r="E22" s="940"/>
      <c r="F22" s="939"/>
      <c r="G22" s="940"/>
      <c r="H22" s="939"/>
      <c r="I22" s="954"/>
      <c r="J22" s="939"/>
      <c r="K22" s="1035"/>
      <c r="L22" s="1042"/>
      <c r="M22" s="1030"/>
      <c r="N22" s="1030"/>
      <c r="O22" s="1041"/>
      <c r="P22" s="3186"/>
      <c r="Q22" s="657"/>
      <c r="R22" s="1076"/>
      <c r="S22" s="1077"/>
      <c r="T22" s="1076"/>
      <c r="U22" s="1077"/>
      <c r="V22" s="1076"/>
      <c r="W22" s="1077"/>
      <c r="X22" s="1070"/>
      <c r="Y22" s="3186"/>
      <c r="Z22" s="1069"/>
      <c r="AA22" s="1088">
        <v>1</v>
      </c>
      <c r="AB22" s="1088">
        <v>1</v>
      </c>
      <c r="AC22" s="1088">
        <v>1</v>
      </c>
    </row>
    <row r="23" spans="1:29" ht="15">
      <c r="A23" s="896"/>
      <c r="B23" s="942" t="s">
        <v>677</v>
      </c>
      <c r="C23" s="951">
        <f>估价对象房地状况!C19</f>
        <v>0</v>
      </c>
      <c r="D23" s="944">
        <v>100</v>
      </c>
      <c r="E23" s="943"/>
      <c r="F23" s="944">
        <f>SUMIF(96:96,E24,97:97)-SUMIF(96:96,C24,97:97)+100</f>
        <v>100</v>
      </c>
      <c r="G23" s="952"/>
      <c r="H23" s="944">
        <f>SUMIF(96:96,G24,97:97)-SUMIF(96:96,C24,97:97)+100</f>
        <v>100</v>
      </c>
      <c r="I23" s="952"/>
      <c r="J23" s="944">
        <f>SUMIF(96:96,I24,97:97)-SUMIF(96:96,C24,97:97)+100</f>
        <v>100</v>
      </c>
      <c r="K23" s="1039"/>
      <c r="L23" s="1042"/>
      <c r="M23" s="1030"/>
      <c r="N23" s="1030"/>
      <c r="O23" s="1041"/>
      <c r="P23" s="3186"/>
      <c r="Q23" s="657" t="str">
        <f t="shared" ref="Q23:Q38" si="8">B23</f>
        <v>区域土地利用方向</v>
      </c>
      <c r="R23" s="1076" t="s">
        <v>940</v>
      </c>
      <c r="S23" s="1077">
        <f>F23</f>
        <v>100</v>
      </c>
      <c r="T23" s="1076" t="s">
        <v>940</v>
      </c>
      <c r="U23" s="1077">
        <f>H23</f>
        <v>100</v>
      </c>
      <c r="V23" s="1076" t="s">
        <v>940</v>
      </c>
      <c r="W23" s="1077">
        <f>J23</f>
        <v>100</v>
      </c>
      <c r="X23" s="1070"/>
      <c r="Y23" s="3186"/>
      <c r="Z23" s="1069" t="str">
        <f>Q23</f>
        <v>区域土地利用方向</v>
      </c>
      <c r="AA23" s="1088">
        <f t="shared" si="3"/>
        <v>1</v>
      </c>
      <c r="AB23" s="1088">
        <f t="shared" si="4"/>
        <v>1</v>
      </c>
      <c r="AC23" s="1088">
        <f t="shared" si="5"/>
        <v>1</v>
      </c>
    </row>
    <row r="24" spans="1:29" ht="15">
      <c r="A24" s="896"/>
      <c r="B24" s="945"/>
      <c r="C24" s="953"/>
      <c r="D24" s="939"/>
      <c r="E24" s="940"/>
      <c r="F24" s="939"/>
      <c r="G24" s="954"/>
      <c r="H24" s="939"/>
      <c r="I24" s="954"/>
      <c r="J24" s="939"/>
      <c r="K24" s="1046"/>
      <c r="L24" s="1042"/>
      <c r="M24" s="1030"/>
      <c r="N24" s="1030"/>
      <c r="O24" s="1041"/>
      <c r="P24" s="3186"/>
      <c r="Q24" s="657"/>
      <c r="R24" s="1076"/>
      <c r="S24" s="1077"/>
      <c r="T24" s="1076"/>
      <c r="U24" s="1077"/>
      <c r="V24" s="1076"/>
      <c r="W24" s="1077"/>
      <c r="X24" s="1070"/>
      <c r="Y24" s="3186"/>
      <c r="Z24" s="1069"/>
      <c r="AA24" s="1088"/>
      <c r="AB24" s="1088"/>
      <c r="AC24" s="1088"/>
    </row>
    <row r="25" spans="1:29" ht="57">
      <c r="A25" s="896"/>
      <c r="B25" s="950" t="s">
        <v>678</v>
      </c>
      <c r="C25" s="655" t="str">
        <f>估价对象房地状况!C20</f>
        <v>区域自然环境：；人文环境；综合评价环境状况一般</v>
      </c>
      <c r="D25" s="941">
        <v>100</v>
      </c>
      <c r="E25" s="943"/>
      <c r="F25" s="941">
        <f>SUMIF(98:98,E26,99:99)-SUMIF(98:98,C26,99:99)+100</f>
        <v>100</v>
      </c>
      <c r="G25" s="943"/>
      <c r="H25" s="941">
        <f>SUMIF(98:98,G26,99:99)-SUMIF(98:98,C26,99:99)+100</f>
        <v>100</v>
      </c>
      <c r="I25" s="952"/>
      <c r="J25" s="941">
        <f>SUMIF(98:98,I26,99:99)-SUMIF(98:98,C26,99:99)+100</f>
        <v>100</v>
      </c>
      <c r="K25" s="1039"/>
      <c r="L25" s="1042"/>
      <c r="M25" s="1030"/>
      <c r="N25" s="1030"/>
      <c r="O25" s="1041"/>
      <c r="P25" s="3186"/>
      <c r="Q25" s="657" t="str">
        <f t="shared" si="8"/>
        <v>自然及人文环境状况</v>
      </c>
      <c r="R25" s="1076" t="s">
        <v>940</v>
      </c>
      <c r="S25" s="1077">
        <f>F25</f>
        <v>100</v>
      </c>
      <c r="T25" s="1076" t="s">
        <v>940</v>
      </c>
      <c r="U25" s="1077">
        <f>H25</f>
        <v>100</v>
      </c>
      <c r="V25" s="1076" t="s">
        <v>940</v>
      </c>
      <c r="W25" s="1077">
        <f>J25</f>
        <v>100</v>
      </c>
      <c r="X25" s="1070"/>
      <c r="Y25" s="3186"/>
      <c r="Z25" s="1069" t="str">
        <f>Q25</f>
        <v>自然及人文环境状况</v>
      </c>
      <c r="AA25" s="1088">
        <f t="shared" si="3"/>
        <v>1</v>
      </c>
      <c r="AB25" s="1088">
        <f t="shared" si="4"/>
        <v>1</v>
      </c>
      <c r="AC25" s="1088">
        <f t="shared" si="5"/>
        <v>1</v>
      </c>
    </row>
    <row r="26" spans="1:29" ht="15">
      <c r="A26" s="896"/>
      <c r="B26" s="945"/>
      <c r="C26" s="938"/>
      <c r="D26" s="939"/>
      <c r="E26" s="955"/>
      <c r="F26" s="939"/>
      <c r="G26" s="955"/>
      <c r="H26" s="939"/>
      <c r="I26" s="938"/>
      <c r="J26" s="939"/>
      <c r="K26" s="1035"/>
      <c r="L26" s="1042"/>
      <c r="M26" s="1030"/>
      <c r="N26" s="1030"/>
      <c r="O26" s="1041"/>
      <c r="P26" s="3186"/>
      <c r="Q26" s="657"/>
      <c r="R26" s="1076"/>
      <c r="S26" s="1077"/>
      <c r="T26" s="1076"/>
      <c r="U26" s="1077"/>
      <c r="V26" s="1076"/>
      <c r="W26" s="1077"/>
      <c r="X26" s="1070"/>
      <c r="Y26" s="3186"/>
      <c r="Z26" s="1069"/>
      <c r="AA26" s="1088">
        <v>1</v>
      </c>
      <c r="AB26" s="1088">
        <v>1</v>
      </c>
      <c r="AC26" s="1088">
        <v>1</v>
      </c>
    </row>
    <row r="27" spans="1:29" s="874" customFormat="1" ht="42.75">
      <c r="A27" s="956"/>
      <c r="B27" s="950" t="s">
        <v>667</v>
      </c>
      <c r="C27" s="949" t="str">
        <f>估价对象房地状况!C21</f>
        <v>估价对象所在区域公共配套设施齐备情况</v>
      </c>
      <c r="D27" s="941">
        <v>100</v>
      </c>
      <c r="E27" s="943"/>
      <c r="F27" s="941">
        <f>SUMIF(100:100,E28,101:101)-SUMIF(100:100,C28,101:101)+100</f>
        <v>100</v>
      </c>
      <c r="G27" s="943"/>
      <c r="H27" s="941">
        <f>SUMIF(100:100,G28,101:101)-SUMIF(100:100,C28,101:101)+100</f>
        <v>100</v>
      </c>
      <c r="I27" s="952"/>
      <c r="J27" s="941">
        <f>SUMIF(100:100,I28,101:101)-SUMIF(100:100,C28,101:101)+100</f>
        <v>100</v>
      </c>
      <c r="K27" s="1039"/>
      <c r="L27" s="1032"/>
      <c r="M27" s="1033"/>
      <c r="N27" s="1033"/>
      <c r="O27" s="1034"/>
      <c r="P27" s="3186"/>
      <c r="Q27" s="1075" t="str">
        <f t="shared" si="8"/>
        <v>公共配套设施</v>
      </c>
      <c r="R27" s="1071" t="s">
        <v>940</v>
      </c>
      <c r="S27" s="1072">
        <f>F27</f>
        <v>100</v>
      </c>
      <c r="T27" s="1071" t="s">
        <v>940</v>
      </c>
      <c r="U27" s="1072">
        <f>H27</f>
        <v>100</v>
      </c>
      <c r="V27" s="1071" t="s">
        <v>940</v>
      </c>
      <c r="W27" s="1072">
        <f>J27</f>
        <v>100</v>
      </c>
      <c r="X27" s="1073"/>
      <c r="Y27" s="3186"/>
      <c r="Z27" s="1087" t="str">
        <f>Q27</f>
        <v>公共配套设施</v>
      </c>
      <c r="AA27" s="1088">
        <f>D27/F27</f>
        <v>1</v>
      </c>
      <c r="AB27" s="1088">
        <f>D27/H27</f>
        <v>1</v>
      </c>
      <c r="AC27" s="1088">
        <f>D27/J27</f>
        <v>1</v>
      </c>
    </row>
    <row r="28" spans="1:29" s="874" customFormat="1" ht="15">
      <c r="A28" s="956"/>
      <c r="B28" s="945"/>
      <c r="C28" s="957"/>
      <c r="D28" s="939"/>
      <c r="E28" s="955"/>
      <c r="F28" s="939"/>
      <c r="G28" s="955"/>
      <c r="H28" s="939"/>
      <c r="I28" s="938"/>
      <c r="J28" s="939"/>
      <c r="K28" s="1035"/>
      <c r="L28" s="1032"/>
      <c r="M28" s="1033"/>
      <c r="N28" s="1033"/>
      <c r="O28" s="1034"/>
      <c r="P28" s="3186"/>
      <c r="Q28" s="1075"/>
      <c r="R28" s="1071"/>
      <c r="S28" s="1072"/>
      <c r="T28" s="1071"/>
      <c r="U28" s="1072"/>
      <c r="V28" s="1071"/>
      <c r="W28" s="1072"/>
      <c r="X28" s="1073"/>
      <c r="Y28" s="3186"/>
      <c r="Z28" s="1087"/>
      <c r="AA28" s="1088">
        <v>1</v>
      </c>
      <c r="AB28" s="1088">
        <v>1</v>
      </c>
      <c r="AC28" s="1088">
        <v>1</v>
      </c>
    </row>
    <row r="29" spans="1:29" s="874" customFormat="1" ht="28.5">
      <c r="A29" s="956"/>
      <c r="B29" s="950" t="s">
        <v>669</v>
      </c>
      <c r="C29" s="949" t="str">
        <f>估价对象房地状况!C22</f>
        <v>估价对象所在区域基础设施水平</v>
      </c>
      <c r="D29" s="941">
        <v>100</v>
      </c>
      <c r="E29" s="943"/>
      <c r="F29" s="941">
        <f>SUMIF(102:102,E30,103:103)-SUMIF(102:102,C30,103:103)+100</f>
        <v>100</v>
      </c>
      <c r="G29" s="943"/>
      <c r="H29" s="941">
        <f>SUMIF(102:102,G30,103:103)-SUMIF(102:102,C30,103:103)+100</f>
        <v>100</v>
      </c>
      <c r="I29" s="952"/>
      <c r="J29" s="941">
        <f>SUMIF(102:102,I30,103:103)-SUMIF(102:102,C30,103:103)+100</f>
        <v>100</v>
      </c>
      <c r="K29" s="1039"/>
      <c r="L29" s="1032"/>
      <c r="M29" s="1033"/>
      <c r="N29" s="1033"/>
      <c r="O29" s="1034"/>
      <c r="P29" s="3186"/>
      <c r="Q29" s="1075" t="str">
        <f t="shared" ref="Q29" si="9">B29</f>
        <v>基础设施水平</v>
      </c>
      <c r="R29" s="1071" t="s">
        <v>940</v>
      </c>
      <c r="S29" s="1072">
        <f>F29</f>
        <v>100</v>
      </c>
      <c r="T29" s="1071" t="s">
        <v>940</v>
      </c>
      <c r="U29" s="1072">
        <f>H29</f>
        <v>100</v>
      </c>
      <c r="V29" s="1071" t="s">
        <v>940</v>
      </c>
      <c r="W29" s="1072">
        <f>J29</f>
        <v>100</v>
      </c>
      <c r="X29" s="1073"/>
      <c r="Y29" s="3186"/>
      <c r="Z29" s="1087" t="str">
        <f>Q29</f>
        <v>基础设施水平</v>
      </c>
      <c r="AA29" s="1088">
        <f>D29/F29</f>
        <v>1</v>
      </c>
      <c r="AB29" s="1088">
        <f>D29/H29</f>
        <v>1</v>
      </c>
      <c r="AC29" s="1088">
        <f>D29/J29</f>
        <v>1</v>
      </c>
    </row>
    <row r="30" spans="1:29" s="874" customFormat="1" ht="15">
      <c r="A30" s="956"/>
      <c r="B30" s="945"/>
      <c r="C30" s="957"/>
      <c r="D30" s="939"/>
      <c r="E30" s="958"/>
      <c r="F30" s="939"/>
      <c r="G30" s="958"/>
      <c r="H30" s="939"/>
      <c r="I30" s="958"/>
      <c r="J30" s="939"/>
      <c r="K30" s="1035"/>
      <c r="L30" s="1032"/>
      <c r="M30" s="1033"/>
      <c r="N30" s="1033"/>
      <c r="O30" s="1034"/>
      <c r="P30" s="3186"/>
      <c r="Q30" s="1075"/>
      <c r="R30" s="1071"/>
      <c r="S30" s="1072"/>
      <c r="T30" s="1071"/>
      <c r="U30" s="1072"/>
      <c r="V30" s="1071"/>
      <c r="W30" s="1072"/>
      <c r="X30" s="1073"/>
      <c r="Y30" s="3186"/>
      <c r="Z30" s="1087"/>
      <c r="AA30" s="1088">
        <v>1</v>
      </c>
      <c r="AB30" s="1088">
        <v>1</v>
      </c>
      <c r="AC30" s="1088">
        <v>1</v>
      </c>
    </row>
    <row r="31" spans="1:29" ht="15">
      <c r="A31" s="918"/>
      <c r="B31" s="945" t="s">
        <v>679</v>
      </c>
      <c r="C31" s="953"/>
      <c r="D31" s="925">
        <v>100</v>
      </c>
      <c r="E31" s="959"/>
      <c r="F31" s="925">
        <f>SUMIF(104:104,E31,105:105)-SUMIF(104:104,C31,105:105)+100</f>
        <v>100</v>
      </c>
      <c r="G31" s="959"/>
      <c r="H31" s="925">
        <f>SUMIF(104:104,G31,105:105)-SUMIF(104:104,C31,105:105)+100</f>
        <v>100</v>
      </c>
      <c r="I31" s="959"/>
      <c r="J31" s="925">
        <f>SUMIF(104:104,I31,105:105)-SUMIF(104:104,C31,105:105)+100</f>
        <v>100</v>
      </c>
      <c r="K31" s="1039"/>
      <c r="L31" s="1042"/>
      <c r="M31" s="1030"/>
      <c r="N31" s="1030"/>
      <c r="O31" s="1041"/>
      <c r="P31" s="3186"/>
      <c r="Q31" s="657" t="str">
        <f t="shared" si="8"/>
        <v>临街状况</v>
      </c>
      <c r="R31" s="1076" t="s">
        <v>940</v>
      </c>
      <c r="S31" s="1077">
        <f t="shared" ref="S31:S45" si="10">F31</f>
        <v>100</v>
      </c>
      <c r="T31" s="1076" t="s">
        <v>940</v>
      </c>
      <c r="U31" s="1077">
        <f t="shared" ref="U31:U45" si="11">H31</f>
        <v>100</v>
      </c>
      <c r="V31" s="1076" t="s">
        <v>940</v>
      </c>
      <c r="W31" s="1077">
        <f t="shared" ref="W31:W45" si="12">J31</f>
        <v>100</v>
      </c>
      <c r="X31" s="1070"/>
      <c r="Y31" s="3186"/>
      <c r="Z31" s="1069" t="str">
        <f t="shared" ref="Z31:Z45" si="13">Q31</f>
        <v>临街状况</v>
      </c>
      <c r="AA31" s="1088">
        <f t="shared" si="3"/>
        <v>1</v>
      </c>
      <c r="AB31" s="1088">
        <f t="shared" si="4"/>
        <v>1</v>
      </c>
      <c r="AC31" s="1088">
        <f t="shared" si="5"/>
        <v>1</v>
      </c>
    </row>
    <row r="32" spans="1:29" ht="27">
      <c r="A32" s="918"/>
      <c r="B32" s="950" t="s">
        <v>675</v>
      </c>
      <c r="C32" s="952"/>
      <c r="D32" s="941">
        <v>100</v>
      </c>
      <c r="E32" s="943"/>
      <c r="F32" s="941">
        <f>SUMIF(106:106,E33,107:107)-SUMIF(106:106,C33,107:107)+100</f>
        <v>100</v>
      </c>
      <c r="G32" s="943"/>
      <c r="H32" s="941">
        <f>SUMIF(106:106,G33,107:107)-SUMIF(106:106,C33,107:107)+100</f>
        <v>100</v>
      </c>
      <c r="I32" s="952"/>
      <c r="J32" s="941">
        <f>SUMIF(106:106,I33,107:107)-SUMIF(106:106,C33,107:107)+100</f>
        <v>100</v>
      </c>
      <c r="K32" s="1039"/>
      <c r="L32" s="1042"/>
      <c r="M32" s="1030"/>
      <c r="N32" s="1030"/>
      <c r="O32" s="1041"/>
      <c r="P32" s="3186"/>
      <c r="Q32" s="657" t="str">
        <f t="shared" si="8"/>
        <v>毗邻道路的类型与等级</v>
      </c>
      <c r="R32" s="1076" t="s">
        <v>940</v>
      </c>
      <c r="S32" s="1077">
        <f t="shared" si="10"/>
        <v>100</v>
      </c>
      <c r="T32" s="1076" t="s">
        <v>940</v>
      </c>
      <c r="U32" s="1077">
        <f t="shared" si="11"/>
        <v>100</v>
      </c>
      <c r="V32" s="1076" t="s">
        <v>940</v>
      </c>
      <c r="W32" s="1077">
        <f t="shared" si="12"/>
        <v>100</v>
      </c>
      <c r="X32" s="1070"/>
      <c r="Y32" s="3186"/>
      <c r="Z32" s="1069" t="str">
        <f t="shared" si="13"/>
        <v>毗邻道路的类型与等级</v>
      </c>
      <c r="AA32" s="1088">
        <f t="shared" si="3"/>
        <v>1</v>
      </c>
      <c r="AB32" s="1088">
        <f t="shared" si="4"/>
        <v>1</v>
      </c>
      <c r="AC32" s="1088">
        <f t="shared" si="5"/>
        <v>1</v>
      </c>
    </row>
    <row r="33" spans="1:29" ht="15">
      <c r="A33" s="918"/>
      <c r="B33" s="945"/>
      <c r="C33" s="938"/>
      <c r="D33" s="939"/>
      <c r="E33" s="955"/>
      <c r="F33" s="939"/>
      <c r="G33" s="955"/>
      <c r="H33" s="939"/>
      <c r="I33" s="938"/>
      <c r="J33" s="939"/>
      <c r="K33" s="1047"/>
      <c r="L33" s="1042"/>
      <c r="M33" s="1030"/>
      <c r="N33" s="1030"/>
      <c r="O33" s="1041"/>
      <c r="P33" s="3186"/>
      <c r="Q33" s="657"/>
      <c r="R33" s="1076"/>
      <c r="S33" s="1077"/>
      <c r="T33" s="1076"/>
      <c r="U33" s="1077"/>
      <c r="V33" s="1076"/>
      <c r="W33" s="1077"/>
      <c r="X33" s="1070"/>
      <c r="Y33" s="3186"/>
      <c r="Z33" s="1069"/>
      <c r="AA33" s="1088">
        <v>1</v>
      </c>
      <c r="AB33" s="1088">
        <v>1</v>
      </c>
      <c r="AC33" s="1088">
        <v>1</v>
      </c>
    </row>
    <row r="34" spans="1:29" ht="15">
      <c r="A34" s="918"/>
      <c r="B34" s="913" t="s">
        <v>680</v>
      </c>
      <c r="C34" s="953"/>
      <c r="D34" s="925">
        <v>100</v>
      </c>
      <c r="E34" s="959"/>
      <c r="F34" s="925">
        <f>SUMIF(108:108,E34,109:109)-SUMIF(108:108,C34,109:109)+100</f>
        <v>100</v>
      </c>
      <c r="G34" s="959"/>
      <c r="H34" s="925">
        <f>SUMIF(108:108,G34,109:109)-SUMIF(108:108,C34,109:109)+100</f>
        <v>100</v>
      </c>
      <c r="I34" s="953"/>
      <c r="J34" s="925">
        <f>SUMIF(108:108,I34,109:109)-SUMIF(108:108,C34,109:109)+100</f>
        <v>100</v>
      </c>
      <c r="K34" s="1048"/>
      <c r="L34" s="1042"/>
      <c r="M34" s="1030"/>
      <c r="N34" s="1030"/>
      <c r="O34" s="1041"/>
      <c r="P34" s="3186"/>
      <c r="Q34" s="657" t="str">
        <f t="shared" si="8"/>
        <v>土地级别</v>
      </c>
      <c r="R34" s="1076" t="s">
        <v>940</v>
      </c>
      <c r="S34" s="1077">
        <f t="shared" si="10"/>
        <v>100</v>
      </c>
      <c r="T34" s="1076" t="s">
        <v>940</v>
      </c>
      <c r="U34" s="1077">
        <f t="shared" si="11"/>
        <v>100</v>
      </c>
      <c r="V34" s="1076" t="s">
        <v>940</v>
      </c>
      <c r="W34" s="1077">
        <f t="shared" si="12"/>
        <v>100</v>
      </c>
      <c r="X34" s="1070"/>
      <c r="Y34" s="3186"/>
      <c r="Z34" s="1069" t="str">
        <f t="shared" si="13"/>
        <v>土地级别</v>
      </c>
      <c r="AA34" s="1088">
        <f t="shared" si="3"/>
        <v>1</v>
      </c>
      <c r="AB34" s="1088">
        <f t="shared" si="4"/>
        <v>1</v>
      </c>
      <c r="AC34" s="1088">
        <f t="shared" si="5"/>
        <v>1</v>
      </c>
    </row>
    <row r="35" spans="1:29" ht="15">
      <c r="A35" s="896"/>
      <c r="B35" s="960">
        <v>111</v>
      </c>
      <c r="C35" s="927"/>
      <c r="D35" s="925">
        <v>100</v>
      </c>
      <c r="E35" s="961"/>
      <c r="F35" s="925">
        <f>SUMIF(110:110,E35,111:111)-SUMIF(110:110,C35,111:111)+100</f>
        <v>100</v>
      </c>
      <c r="G35" s="961"/>
      <c r="H35" s="925">
        <f>SUMIF(110:110,G35,111:111)-SUMIF(110:110,C35,111:111)+100</f>
        <v>100</v>
      </c>
      <c r="I35" s="927"/>
      <c r="J35" s="925">
        <f>SUMIF(110:110,I35,111:111)-SUMIF(110:110,C35,111:111)+100</f>
        <v>100</v>
      </c>
      <c r="K35" s="1047"/>
      <c r="L35" s="1042"/>
      <c r="M35" s="1030"/>
      <c r="N35" s="1030"/>
      <c r="O35" s="1041"/>
      <c r="P35" s="3186"/>
      <c r="Q35" s="657">
        <f t="shared" si="8"/>
        <v>111</v>
      </c>
      <c r="R35" s="1076" t="s">
        <v>940</v>
      </c>
      <c r="S35" s="1077">
        <f t="shared" si="10"/>
        <v>100</v>
      </c>
      <c r="T35" s="1076" t="s">
        <v>940</v>
      </c>
      <c r="U35" s="1077">
        <f t="shared" si="11"/>
        <v>100</v>
      </c>
      <c r="V35" s="1076" t="s">
        <v>940</v>
      </c>
      <c r="W35" s="1077">
        <f t="shared" si="12"/>
        <v>100</v>
      </c>
      <c r="X35" s="1070"/>
      <c r="Y35" s="3186"/>
      <c r="Z35" s="1069">
        <f t="shared" si="13"/>
        <v>111</v>
      </c>
      <c r="AA35" s="1088">
        <f t="shared" si="3"/>
        <v>1</v>
      </c>
      <c r="AB35" s="1088">
        <f t="shared" si="4"/>
        <v>1</v>
      </c>
      <c r="AC35" s="1088">
        <f t="shared" si="5"/>
        <v>1</v>
      </c>
    </row>
    <row r="36" spans="1:29" ht="15">
      <c r="A36" s="962"/>
      <c r="B36" s="963">
        <v>111</v>
      </c>
      <c r="C36" s="927"/>
      <c r="D36" s="925">
        <v>100</v>
      </c>
      <c r="E36" s="961"/>
      <c r="F36" s="925">
        <f>SUMIF(112:112,E37,113:113)-SUMIF(112:112,C37,113:113)+100</f>
        <v>100</v>
      </c>
      <c r="G36" s="961"/>
      <c r="H36" s="925">
        <f>SUMIF(112:112,G36,113:113)-SUMIF(112:112,C36,113:113)+100</f>
        <v>100</v>
      </c>
      <c r="I36" s="927"/>
      <c r="J36" s="925">
        <f>SUMIF(112:112,I36,113:113)-SUMIF(112:112,C36,113:113)+100</f>
        <v>100</v>
      </c>
      <c r="K36" s="1047"/>
      <c r="L36" s="1042"/>
      <c r="M36" s="1030"/>
      <c r="N36" s="1030"/>
      <c r="O36" s="1041"/>
      <c r="P36" s="3187" t="s">
        <v>951</v>
      </c>
      <c r="Q36" s="657">
        <f t="shared" si="8"/>
        <v>111</v>
      </c>
      <c r="R36" s="1076" t="s">
        <v>940</v>
      </c>
      <c r="S36" s="1077">
        <f t="shared" si="10"/>
        <v>100</v>
      </c>
      <c r="T36" s="1076" t="s">
        <v>940</v>
      </c>
      <c r="U36" s="1077">
        <f t="shared" si="11"/>
        <v>100</v>
      </c>
      <c r="V36" s="1076" t="s">
        <v>940</v>
      </c>
      <c r="W36" s="1077">
        <f t="shared" si="12"/>
        <v>100</v>
      </c>
      <c r="X36" s="1070"/>
      <c r="Y36" s="3188" t="s">
        <v>951</v>
      </c>
      <c r="Z36" s="1069">
        <f t="shared" si="13"/>
        <v>111</v>
      </c>
      <c r="AA36" s="1088">
        <f t="shared" si="3"/>
        <v>1</v>
      </c>
      <c r="AB36" s="1088">
        <f t="shared" si="4"/>
        <v>1</v>
      </c>
      <c r="AC36" s="1088">
        <f t="shared" si="5"/>
        <v>1</v>
      </c>
    </row>
    <row r="37" spans="1:29" s="876" customFormat="1" ht="15">
      <c r="A37" s="964"/>
      <c r="B37" s="965">
        <v>111</v>
      </c>
      <c r="C37" s="966"/>
      <c r="D37" s="967">
        <v>100</v>
      </c>
      <c r="E37" s="968"/>
      <c r="F37" s="931">
        <f>SUMIF(114:114,E37,115:115)-SUMIF(114:114,C37,115:115)+100</f>
        <v>100</v>
      </c>
      <c r="G37" s="968"/>
      <c r="H37" s="931">
        <f>SUMIF(114:114,G37,115:115)-SUMIF(114:114,C37,115:115)+100</f>
        <v>100</v>
      </c>
      <c r="I37" s="966"/>
      <c r="J37" s="931">
        <f>SUMIF(114:114,I37,115:115)-SUMIF(114:114,C37,115:115)+100</f>
        <v>100</v>
      </c>
      <c r="K37" s="1047"/>
      <c r="L37" s="1040"/>
      <c r="M37" s="1049"/>
      <c r="N37" s="1049"/>
      <c r="O37" s="1050"/>
      <c r="P37" s="3188"/>
      <c r="Q37" s="657">
        <f t="shared" si="8"/>
        <v>111</v>
      </c>
      <c r="R37" s="1078" t="s">
        <v>940</v>
      </c>
      <c r="S37" s="1079">
        <f t="shared" si="10"/>
        <v>100</v>
      </c>
      <c r="T37" s="1078" t="s">
        <v>940</v>
      </c>
      <c r="U37" s="1079">
        <f t="shared" si="11"/>
        <v>100</v>
      </c>
      <c r="V37" s="1078" t="s">
        <v>940</v>
      </c>
      <c r="W37" s="1079">
        <f t="shared" si="12"/>
        <v>100</v>
      </c>
      <c r="X37" s="1080"/>
      <c r="Y37" s="3188"/>
      <c r="Z37" s="1089">
        <f t="shared" si="13"/>
        <v>111</v>
      </c>
      <c r="AA37" s="1088">
        <f t="shared" si="3"/>
        <v>1</v>
      </c>
      <c r="AB37" s="1088">
        <f t="shared" si="4"/>
        <v>1</v>
      </c>
      <c r="AC37" s="1088">
        <f t="shared" si="5"/>
        <v>1</v>
      </c>
    </row>
    <row r="38" spans="1:29" ht="15">
      <c r="A38" s="969" t="s">
        <v>952</v>
      </c>
      <c r="B38" s="945" t="s">
        <v>953</v>
      </c>
      <c r="C38" s="970"/>
      <c r="D38" s="971">
        <v>100</v>
      </c>
      <c r="E38" s="970"/>
      <c r="F38" s="971" t="e">
        <f>LOOKUP(E38,117:117,118:118)-LOOKUP(C38,117:117,118:118)+100</f>
        <v>#N/A</v>
      </c>
      <c r="G38" s="970"/>
      <c r="H38" s="971" t="e">
        <f>LOOKUP(G38,117:117,118:118)-LOOKUP(C38,117:117,118:118)+100</f>
        <v>#N/A</v>
      </c>
      <c r="I38" s="1051"/>
      <c r="J38" s="971" t="e">
        <f>LOOKUP(I38,117:117,118:118)-LOOKUP(C38,117:117,118:118)+100</f>
        <v>#N/A</v>
      </c>
      <c r="K38" s="1047"/>
      <c r="L38" s="1042"/>
      <c r="M38" s="1030"/>
      <c r="N38" s="1030"/>
      <c r="O38" s="1041"/>
      <c r="P38" s="3188"/>
      <c r="Q38" s="657" t="str">
        <f t="shared" si="8"/>
        <v>宗地面积</v>
      </c>
      <c r="R38" s="1076" t="s">
        <v>940</v>
      </c>
      <c r="S38" s="1077" t="e">
        <f t="shared" si="10"/>
        <v>#N/A</v>
      </c>
      <c r="T38" s="1076" t="s">
        <v>940</v>
      </c>
      <c r="U38" s="1077" t="e">
        <f t="shared" si="11"/>
        <v>#N/A</v>
      </c>
      <c r="V38" s="1076" t="s">
        <v>940</v>
      </c>
      <c r="W38" s="1077" t="e">
        <f t="shared" si="12"/>
        <v>#N/A</v>
      </c>
      <c r="X38" s="1070"/>
      <c r="Y38" s="3188"/>
      <c r="Z38" s="1069" t="str">
        <f t="shared" si="13"/>
        <v>宗地面积</v>
      </c>
      <c r="AA38" s="1088" t="e">
        <f t="shared" si="3"/>
        <v>#N/A</v>
      </c>
      <c r="AB38" s="1088" t="e">
        <f t="shared" si="4"/>
        <v>#N/A</v>
      </c>
      <c r="AC38" s="1088" t="e">
        <f t="shared" si="5"/>
        <v>#N/A</v>
      </c>
    </row>
    <row r="39" spans="1:29" ht="15">
      <c r="A39" s="969"/>
      <c r="B39" s="913" t="s">
        <v>954</v>
      </c>
      <c r="C39" s="972"/>
      <c r="D39" s="925">
        <v>100</v>
      </c>
      <c r="E39" s="972"/>
      <c r="F39" s="925">
        <f>SUMIF(119:119,E39,120:120)-SUMIF(119:119,C39,120:120)+100</f>
        <v>100</v>
      </c>
      <c r="G39" s="972"/>
      <c r="H39" s="925">
        <f>SUMIF(119:119,G39,120:120)-SUMIF(119:119,C39,120:120)+100</f>
        <v>100</v>
      </c>
      <c r="I39" s="972"/>
      <c r="J39" s="925">
        <f>SUMIF(119:119,I39,120:120)-SUMIF(119:119,C39,120:120)+100</f>
        <v>100</v>
      </c>
      <c r="K39" s="1048"/>
      <c r="L39" s="1042"/>
      <c r="M39" s="1030"/>
      <c r="N39" s="1030"/>
      <c r="O39" s="1041"/>
      <c r="P39" s="3188"/>
      <c r="Q39" s="657" t="str">
        <f t="shared" ref="Q39:Q45" si="14">B39</f>
        <v>宗地形状</v>
      </c>
      <c r="R39" s="1076" t="s">
        <v>940</v>
      </c>
      <c r="S39" s="1077">
        <f t="shared" si="10"/>
        <v>100</v>
      </c>
      <c r="T39" s="1076" t="s">
        <v>940</v>
      </c>
      <c r="U39" s="1077">
        <f t="shared" si="11"/>
        <v>100</v>
      </c>
      <c r="V39" s="1076" t="s">
        <v>940</v>
      </c>
      <c r="W39" s="1077">
        <f t="shared" si="12"/>
        <v>100</v>
      </c>
      <c r="X39" s="1070"/>
      <c r="Y39" s="3188"/>
      <c r="Z39" s="1069" t="str">
        <f t="shared" si="13"/>
        <v>宗地形状</v>
      </c>
      <c r="AA39" s="1088">
        <f t="shared" si="3"/>
        <v>1</v>
      </c>
      <c r="AB39" s="1088">
        <f t="shared" si="4"/>
        <v>1</v>
      </c>
      <c r="AC39" s="1088">
        <f t="shared" si="5"/>
        <v>1</v>
      </c>
    </row>
    <row r="40" spans="1:29" ht="15">
      <c r="A40" s="969"/>
      <c r="B40" s="913" t="s">
        <v>1517</v>
      </c>
      <c r="C40" s="972"/>
      <c r="D40" s="925">
        <v>100</v>
      </c>
      <c r="E40" s="972"/>
      <c r="F40" s="925">
        <f>SUMIF(121:121,E40,122:122)-SUMIF(121:121,C40,122:122)+100</f>
        <v>100</v>
      </c>
      <c r="G40" s="972"/>
      <c r="H40" s="925">
        <f>SUMIF(121:121,G40,122:122)-SUMIF(121:121,C40,122:122)+100</f>
        <v>100</v>
      </c>
      <c r="I40" s="972"/>
      <c r="J40" s="925">
        <f>SUMIF(121:121,I40,122:122)-SUMIF(121:121,C40,122:122)+100</f>
        <v>100</v>
      </c>
      <c r="K40" s="1048"/>
      <c r="L40" s="1042"/>
      <c r="M40" s="1030"/>
      <c r="N40" s="1030"/>
      <c r="O40" s="1041"/>
      <c r="P40" s="3188"/>
      <c r="Q40" s="657" t="str">
        <f t="shared" si="14"/>
        <v>临街宽度及深度</v>
      </c>
      <c r="R40" s="1076" t="s">
        <v>940</v>
      </c>
      <c r="S40" s="1077">
        <f t="shared" si="10"/>
        <v>100</v>
      </c>
      <c r="T40" s="1076" t="s">
        <v>940</v>
      </c>
      <c r="U40" s="1077">
        <f t="shared" si="11"/>
        <v>100</v>
      </c>
      <c r="V40" s="1076" t="s">
        <v>940</v>
      </c>
      <c r="W40" s="1077">
        <f t="shared" si="12"/>
        <v>100</v>
      </c>
      <c r="X40" s="1070"/>
      <c r="Y40" s="3188"/>
      <c r="Z40" s="1069" t="str">
        <f t="shared" si="13"/>
        <v>临街宽度及深度</v>
      </c>
      <c r="AA40" s="1088">
        <f t="shared" si="3"/>
        <v>1</v>
      </c>
      <c r="AB40" s="1088">
        <f t="shared" si="4"/>
        <v>1</v>
      </c>
      <c r="AC40" s="1088">
        <f t="shared" si="5"/>
        <v>1</v>
      </c>
    </row>
    <row r="41" spans="1:29" s="874" customFormat="1" ht="15">
      <c r="A41" s="973"/>
      <c r="B41" s="913" t="s">
        <v>956</v>
      </c>
      <c r="C41" s="974"/>
      <c r="D41" s="915">
        <v>100</v>
      </c>
      <c r="E41" s="974"/>
      <c r="F41" s="925">
        <f>SUMIF(123:123,E41,124:124)-SUMIF(123:123,C41,124:124)+100</f>
        <v>100</v>
      </c>
      <c r="G41" s="974"/>
      <c r="H41" s="925">
        <f>SUMIF(123:123,G41,124:124)-SUMIF(123:123,C41,124:124)+100</f>
        <v>100</v>
      </c>
      <c r="I41" s="974"/>
      <c r="J41" s="925">
        <f>SUMIF(123:123,I41,124:124)-SUMIF(123:123,C41,124:124)+100</f>
        <v>100</v>
      </c>
      <c r="K41" s="1048"/>
      <c r="L41" s="1032"/>
      <c r="M41" s="1033"/>
      <c r="N41" s="1033"/>
      <c r="O41" s="1034"/>
      <c r="P41" s="3188"/>
      <c r="Q41" s="657" t="str">
        <f t="shared" si="14"/>
        <v>宗地开发程度</v>
      </c>
      <c r="R41" s="1071" t="s">
        <v>940</v>
      </c>
      <c r="S41" s="1072">
        <f t="shared" si="10"/>
        <v>100</v>
      </c>
      <c r="T41" s="1071" t="s">
        <v>940</v>
      </c>
      <c r="U41" s="1072">
        <f t="shared" si="11"/>
        <v>100</v>
      </c>
      <c r="V41" s="1071" t="s">
        <v>940</v>
      </c>
      <c r="W41" s="1072">
        <f t="shared" si="12"/>
        <v>100</v>
      </c>
      <c r="X41" s="1073"/>
      <c r="Y41" s="3188"/>
      <c r="Z41" s="1087" t="str">
        <f t="shared" si="13"/>
        <v>宗地开发程度</v>
      </c>
      <c r="AA41" s="1086">
        <f t="shared" si="3"/>
        <v>1</v>
      </c>
      <c r="AB41" s="1086">
        <f t="shared" si="4"/>
        <v>1</v>
      </c>
      <c r="AC41" s="1086">
        <f t="shared" si="5"/>
        <v>1</v>
      </c>
    </row>
    <row r="42" spans="1:29" ht="15">
      <c r="A42" s="969"/>
      <c r="B42" s="913" t="s">
        <v>957</v>
      </c>
      <c r="C42" s="972"/>
      <c r="D42" s="925">
        <v>100</v>
      </c>
      <c r="E42" s="972"/>
      <c r="F42" s="925">
        <f>SUMIF(125:125,E42,126:126)-SUMIF(125:125,C42,126:126)+100</f>
        <v>100</v>
      </c>
      <c r="G42" s="972"/>
      <c r="H42" s="925">
        <f>SUMIF(125:125,G42,126:126)-SUMIF(125:125,C42,126:126)+100</f>
        <v>100</v>
      </c>
      <c r="I42" s="972"/>
      <c r="J42" s="925">
        <f>SUMIF(125:125,I42,126:126)-SUMIF(125:125,C42,126:126)+100</f>
        <v>100</v>
      </c>
      <c r="K42" s="1048"/>
      <c r="L42" s="1042"/>
      <c r="M42" s="1030"/>
      <c r="N42" s="1030"/>
      <c r="O42" s="1041"/>
      <c r="P42" s="3188" t="s">
        <v>951</v>
      </c>
      <c r="Q42" s="657" t="str">
        <f t="shared" si="14"/>
        <v>工程地质条件</v>
      </c>
      <c r="R42" s="1076" t="s">
        <v>940</v>
      </c>
      <c r="S42" s="1077">
        <f t="shared" si="10"/>
        <v>100</v>
      </c>
      <c r="T42" s="1076" t="s">
        <v>940</v>
      </c>
      <c r="U42" s="1077">
        <f t="shared" si="11"/>
        <v>100</v>
      </c>
      <c r="V42" s="1076" t="s">
        <v>940</v>
      </c>
      <c r="W42" s="1077">
        <f t="shared" si="12"/>
        <v>100</v>
      </c>
      <c r="X42" s="1070"/>
      <c r="Y42" s="3188" t="s">
        <v>951</v>
      </c>
      <c r="Z42" s="1069" t="str">
        <f t="shared" si="13"/>
        <v>工程地质条件</v>
      </c>
      <c r="AA42" s="1088">
        <f t="shared" si="3"/>
        <v>1</v>
      </c>
      <c r="AB42" s="1088">
        <f t="shared" si="4"/>
        <v>1</v>
      </c>
      <c r="AC42" s="1088">
        <f t="shared" si="5"/>
        <v>1</v>
      </c>
    </row>
    <row r="43" spans="1:29" ht="15">
      <c r="A43" s="969"/>
      <c r="B43" s="963">
        <v>111</v>
      </c>
      <c r="C43" s="927"/>
      <c r="D43" s="925">
        <v>100</v>
      </c>
      <c r="E43" s="927"/>
      <c r="F43" s="925">
        <f>SUMIF(127:127,E43,128:128)-SUMIF(127:127,C43,128:128)+100</f>
        <v>100</v>
      </c>
      <c r="G43" s="927"/>
      <c r="H43" s="925">
        <f>SUMIF(127:127,G43,128:128)-SUMIF(127:127,C43,128:128)+100</f>
        <v>100</v>
      </c>
      <c r="I43" s="926"/>
      <c r="J43" s="925">
        <f>SUMIF(127:127,I43,128:128)-SUMIF(127:127,C43,128:128)+100</f>
        <v>100</v>
      </c>
      <c r="K43" s="1047"/>
      <c r="L43" s="1042"/>
      <c r="M43" s="1030"/>
      <c r="N43" s="1030"/>
      <c r="O43" s="1041"/>
      <c r="P43" s="3188"/>
      <c r="Q43" s="657">
        <f t="shared" si="14"/>
        <v>111</v>
      </c>
      <c r="R43" s="1076" t="s">
        <v>940</v>
      </c>
      <c r="S43" s="1077">
        <f t="shared" si="10"/>
        <v>100</v>
      </c>
      <c r="T43" s="1076" t="s">
        <v>940</v>
      </c>
      <c r="U43" s="1077">
        <f t="shared" si="11"/>
        <v>100</v>
      </c>
      <c r="V43" s="1076" t="s">
        <v>940</v>
      </c>
      <c r="W43" s="1077">
        <f t="shared" si="12"/>
        <v>100</v>
      </c>
      <c r="X43" s="1070"/>
      <c r="Y43" s="3188"/>
      <c r="Z43" s="1069">
        <f t="shared" si="13"/>
        <v>111</v>
      </c>
      <c r="AA43" s="1088">
        <f t="shared" si="3"/>
        <v>1</v>
      </c>
      <c r="AB43" s="1088">
        <f t="shared" si="4"/>
        <v>1</v>
      </c>
      <c r="AC43" s="1088">
        <f t="shared" si="5"/>
        <v>1</v>
      </c>
    </row>
    <row r="44" spans="1:29" ht="15">
      <c r="A44" s="969"/>
      <c r="B44" s="963">
        <v>111</v>
      </c>
      <c r="C44" s="927"/>
      <c r="D44" s="925">
        <v>100</v>
      </c>
      <c r="E44" s="927"/>
      <c r="F44" s="925">
        <f>SUMIF(129:129,E44,130:130)-SUMIF(129:129,C44,130:130)+100</f>
        <v>100</v>
      </c>
      <c r="G44" s="927"/>
      <c r="H44" s="925">
        <f>SUMIF(129:129,G44,130:130)-SUMIF(129:129,C44,130:130)+100</f>
        <v>100</v>
      </c>
      <c r="I44" s="926"/>
      <c r="J44" s="925">
        <f>SUMIF(129:129,I44,130:130)-SUMIF(129:129,C44,130:130)+100</f>
        <v>100</v>
      </c>
      <c r="K44" s="1047"/>
      <c r="L44" s="1042"/>
      <c r="M44" s="1030"/>
      <c r="N44" s="1030"/>
      <c r="O44" s="1041"/>
      <c r="P44" s="3188"/>
      <c r="Q44" s="657">
        <f t="shared" si="14"/>
        <v>111</v>
      </c>
      <c r="R44" s="1076" t="s">
        <v>940</v>
      </c>
      <c r="S44" s="1077">
        <f t="shared" si="10"/>
        <v>100</v>
      </c>
      <c r="T44" s="1076" t="s">
        <v>940</v>
      </c>
      <c r="U44" s="1077">
        <f t="shared" si="11"/>
        <v>100</v>
      </c>
      <c r="V44" s="1076" t="s">
        <v>940</v>
      </c>
      <c r="W44" s="1077">
        <f t="shared" si="12"/>
        <v>100</v>
      </c>
      <c r="X44" s="1070"/>
      <c r="Y44" s="3188"/>
      <c r="Z44" s="1069">
        <f t="shared" si="13"/>
        <v>111</v>
      </c>
      <c r="AA44" s="1088">
        <f t="shared" si="3"/>
        <v>1</v>
      </c>
      <c r="AB44" s="1088">
        <f t="shared" si="4"/>
        <v>1</v>
      </c>
      <c r="AC44" s="1088">
        <f t="shared" si="5"/>
        <v>1</v>
      </c>
    </row>
    <row r="45" spans="1:29" s="876" customFormat="1" ht="15">
      <c r="A45" s="975"/>
      <c r="B45" s="963">
        <v>111</v>
      </c>
      <c r="C45" s="976"/>
      <c r="D45" s="977">
        <v>100</v>
      </c>
      <c r="E45" s="927"/>
      <c r="F45" s="931">
        <f>SUMIF(131:131,E45,132:132)-SUMIF(131:131,C45,132:132)+100</f>
        <v>100</v>
      </c>
      <c r="G45" s="927"/>
      <c r="H45" s="931">
        <f>SUMIF(131:131,G45,132:132)-SUMIF(131:131,C45,132:132)+100</f>
        <v>100</v>
      </c>
      <c r="I45" s="927"/>
      <c r="J45" s="931">
        <f>SUMIF(131:131,I45,132:132)-SUMIF(131:131,C45,132:132)+100</f>
        <v>100</v>
      </c>
      <c r="K45" s="1052"/>
      <c r="L45" s="1040"/>
      <c r="M45" s="1049"/>
      <c r="N45" s="1049"/>
      <c r="O45" s="1050"/>
      <c r="P45" s="3188"/>
      <c r="Q45" s="657">
        <f t="shared" si="14"/>
        <v>111</v>
      </c>
      <c r="R45" s="1078" t="s">
        <v>940</v>
      </c>
      <c r="S45" s="1079">
        <f t="shared" si="10"/>
        <v>100</v>
      </c>
      <c r="T45" s="1078" t="s">
        <v>940</v>
      </c>
      <c r="U45" s="1079">
        <f t="shared" si="11"/>
        <v>100</v>
      </c>
      <c r="V45" s="1078" t="s">
        <v>940</v>
      </c>
      <c r="W45" s="1079">
        <f t="shared" si="12"/>
        <v>100</v>
      </c>
      <c r="X45" s="1080"/>
      <c r="Y45" s="3188"/>
      <c r="Z45" s="1089">
        <f t="shared" si="13"/>
        <v>111</v>
      </c>
      <c r="AA45" s="1088">
        <f t="shared" si="3"/>
        <v>1</v>
      </c>
      <c r="AB45" s="1088">
        <f t="shared" si="4"/>
        <v>1</v>
      </c>
      <c r="AC45" s="1088">
        <f t="shared" si="5"/>
        <v>1</v>
      </c>
    </row>
    <row r="46" spans="1:29" ht="15">
      <c r="A46" s="978" t="s">
        <v>958</v>
      </c>
      <c r="B46" s="979" t="s">
        <v>1518</v>
      </c>
      <c r="C46" s="980" t="s">
        <v>124</v>
      </c>
      <c r="D46" s="981"/>
      <c r="E46" s="982"/>
      <c r="F46" s="983"/>
      <c r="G46" s="984"/>
      <c r="H46" s="985"/>
      <c r="I46" s="982"/>
      <c r="J46" s="985"/>
      <c r="K46" s="1053"/>
      <c r="L46" s="1054"/>
      <c r="M46" s="995"/>
      <c r="N46" s="1030"/>
      <c r="O46" s="995"/>
      <c r="P46" s="3182" t="str">
        <f>A46</f>
        <v>成交单价</v>
      </c>
      <c r="Q46" s="3182"/>
      <c r="R46" s="3183">
        <f>E46</f>
        <v>0</v>
      </c>
      <c r="S46" s="3183"/>
      <c r="T46" s="3183">
        <f>G46</f>
        <v>0</v>
      </c>
      <c r="U46" s="3183"/>
      <c r="V46" s="3183">
        <f>I46</f>
        <v>0</v>
      </c>
      <c r="W46" s="3183"/>
      <c r="X46" s="1081"/>
      <c r="Y46" s="1090"/>
      <c r="Z46" s="1081"/>
      <c r="AA46" s="1081"/>
      <c r="AB46" s="1081"/>
      <c r="AC46" s="1081"/>
    </row>
    <row r="47" spans="1:29" ht="15">
      <c r="A47" s="986" t="s">
        <v>960</v>
      </c>
      <c r="B47" s="987"/>
      <c r="C47" s="988" t="e">
        <f>R48</f>
        <v>#DIV/0!</v>
      </c>
      <c r="D47" s="989"/>
      <c r="E47" s="988" t="e">
        <f>R47</f>
        <v>#DIV/0!</v>
      </c>
      <c r="F47" s="990"/>
      <c r="G47" s="991" t="e">
        <f>T47</f>
        <v>#DIV/0!</v>
      </c>
      <c r="H47" s="989"/>
      <c r="I47" s="988" t="e">
        <f>V47</f>
        <v>#DIV/0!</v>
      </c>
      <c r="J47" s="989"/>
      <c r="K47" s="1055"/>
      <c r="L47" s="1054"/>
      <c r="M47" s="995"/>
      <c r="N47" s="995"/>
      <c r="O47" s="995"/>
      <c r="P47" s="3182" t="str">
        <f>A47</f>
        <v>比较价值（元/平方米）</v>
      </c>
      <c r="Q47" s="3182"/>
      <c r="R47" s="3191" t="e">
        <f>ROUND(PRODUCT(R46,AA7:AA45),0)</f>
        <v>#DIV/0!</v>
      </c>
      <c r="S47" s="3191"/>
      <c r="T47" s="3191" t="e">
        <f>ROUND(PRODUCT(T46,AB7:AB45),0)</f>
        <v>#DIV/0!</v>
      </c>
      <c r="U47" s="3191"/>
      <c r="V47" s="3191" t="e">
        <f>ROUND(PRODUCT(V46,AC7:AC45),0)</f>
        <v>#DIV/0!</v>
      </c>
      <c r="W47" s="3191"/>
      <c r="X47" s="1081"/>
      <c r="Y47" s="1081"/>
      <c r="Z47" s="1081"/>
      <c r="AA47" s="1081"/>
      <c r="AB47" s="1081"/>
      <c r="AC47" s="1081"/>
    </row>
    <row r="48" spans="1:29" ht="15">
      <c r="A48" s="992" t="s">
        <v>1519</v>
      </c>
      <c r="B48" s="993"/>
      <c r="C48" s="994" t="e">
        <f>R48</f>
        <v>#DIV/0!</v>
      </c>
      <c r="D48" s="994"/>
      <c r="E48" s="994"/>
      <c r="F48" s="994"/>
      <c r="G48" s="994"/>
      <c r="H48" s="994"/>
      <c r="I48" s="994"/>
      <c r="J48" s="994"/>
      <c r="K48" s="1056"/>
      <c r="L48" s="1054"/>
      <c r="M48" s="995"/>
      <c r="N48" s="995"/>
      <c r="O48" s="995"/>
      <c r="P48" s="3192" t="str">
        <f>A48</f>
        <v>估价对象XX用房的比较价值（楼面单价，元/平方米）</v>
      </c>
      <c r="Q48" s="3193"/>
      <c r="R48" s="3194" t="e">
        <f>ROUND(AVERAGE(R47:V47),0)</f>
        <v>#DIV/0!</v>
      </c>
      <c r="S48" s="3194"/>
      <c r="T48" s="3194"/>
      <c r="U48" s="3194"/>
      <c r="V48" s="3194"/>
      <c r="W48" s="3194"/>
      <c r="X48" s="1081"/>
      <c r="Y48" s="1081"/>
      <c r="Z48" s="1081"/>
      <c r="AA48" s="1081"/>
      <c r="AB48" s="1081"/>
      <c r="AC48" s="1081"/>
    </row>
    <row r="49" spans="1:15">
      <c r="A49" s="995"/>
      <c r="B49" s="995"/>
      <c r="C49" s="995"/>
      <c r="D49" s="995"/>
      <c r="E49" s="995"/>
      <c r="F49" s="995"/>
      <c r="G49" s="996"/>
      <c r="H49" s="995"/>
      <c r="I49" s="995"/>
      <c r="J49" s="995"/>
      <c r="K49" s="1058"/>
      <c r="L49" s="1059"/>
      <c r="M49" s="995"/>
      <c r="N49" s="995"/>
      <c r="O49" s="995"/>
    </row>
    <row r="50" spans="1:15">
      <c r="A50" s="995"/>
      <c r="B50" s="995"/>
      <c r="C50" s="995"/>
      <c r="D50" s="995"/>
      <c r="E50" s="995"/>
      <c r="F50" s="995"/>
      <c r="G50" s="995"/>
      <c r="H50" s="995"/>
      <c r="I50" s="995"/>
      <c r="J50" s="995"/>
      <c r="K50" s="1058"/>
      <c r="L50" s="1059"/>
      <c r="M50" s="995"/>
      <c r="N50" s="995"/>
      <c r="O50" s="995"/>
    </row>
    <row r="51" spans="1:15" ht="13.5" customHeight="1">
      <c r="A51" s="995"/>
      <c r="B51" s="995"/>
      <c r="C51" s="997" t="s">
        <v>962</v>
      </c>
      <c r="D51" s="697"/>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58"/>
      <c r="L51" s="1059"/>
      <c r="M51" s="995"/>
      <c r="N51" s="995"/>
      <c r="O51" s="995"/>
    </row>
    <row r="52" spans="1:15" ht="13.5" customHeight="1">
      <c r="A52" s="995"/>
      <c r="B52" s="995"/>
      <c r="C52" s="997" t="s">
        <v>963</v>
      </c>
      <c r="D52" s="696"/>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58"/>
      <c r="L52" s="1059"/>
      <c r="M52" s="995"/>
      <c r="N52" s="995"/>
      <c r="O52" s="995"/>
    </row>
    <row r="53" spans="1:15" s="877" customFormat="1" ht="13.5" customHeight="1">
      <c r="A53" s="1000"/>
      <c r="B53" s="1000"/>
      <c r="C53" s="997" t="s">
        <v>964</v>
      </c>
      <c r="D53" s="696"/>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60"/>
      <c r="L53" s="1061"/>
      <c r="M53" s="1000"/>
      <c r="N53" s="1000"/>
      <c r="O53" s="1000"/>
    </row>
    <row r="54" spans="1:15" s="877" customFormat="1">
      <c r="A54" s="1000"/>
      <c r="B54" s="1001"/>
      <c r="C54" s="1002"/>
      <c r="D54" s="1003"/>
      <c r="E54" s="1003"/>
      <c r="F54" s="1003"/>
      <c r="G54" s="1003"/>
      <c r="H54" s="1003"/>
      <c r="I54" s="1003"/>
      <c r="J54" s="1003"/>
      <c r="K54" s="1060"/>
      <c r="L54" s="1061"/>
      <c r="M54" s="1000"/>
      <c r="N54" s="1000"/>
      <c r="O54" s="1000"/>
    </row>
    <row r="55" spans="1:15" ht="27" customHeight="1">
      <c r="A55" s="1004" t="s">
        <v>965</v>
      </c>
      <c r="B55" s="1005" t="s">
        <v>966</v>
      </c>
      <c r="C55" s="1006" t="s">
        <v>967</v>
      </c>
      <c r="D55" s="1007" t="s">
        <v>968</v>
      </c>
      <c r="E55" s="1008" t="s">
        <v>969</v>
      </c>
      <c r="F55" s="1009" t="s">
        <v>970</v>
      </c>
      <c r="G55" s="3167" t="s">
        <v>971</v>
      </c>
      <c r="H55" s="3189"/>
      <c r="I55" s="1062" t="s">
        <v>1520</v>
      </c>
      <c r="J55" s="1063" t="str">
        <f>项目基本情况!F35</f>
        <v>辽宁省朝阳市</v>
      </c>
      <c r="K55" s="1064" t="s">
        <v>973</v>
      </c>
      <c r="L55" s="1059"/>
      <c r="M55" s="995"/>
      <c r="N55" s="995"/>
      <c r="O55" s="995"/>
    </row>
    <row r="56" spans="1:15" s="878" customFormat="1">
      <c r="A56" s="1010" t="s">
        <v>974</v>
      </c>
      <c r="B56" s="1011" t="e">
        <f>C48</f>
        <v>#DIV/0!</v>
      </c>
      <c r="C56" s="1012">
        <v>1</v>
      </c>
      <c r="D56" s="1013">
        <v>1</v>
      </c>
      <c r="E56" s="1012">
        <f>'数据-汇总表'!E8+'数据-汇总表'!E9</f>
        <v>34364.589999999997</v>
      </c>
      <c r="F56" s="1014" t="e">
        <f t="shared" ref="F56:F65" si="15">ROUND(B56*E56/10000,0)</f>
        <v>#DIV/0!</v>
      </c>
      <c r="G56" s="3190"/>
      <c r="H56" s="3182"/>
      <c r="I56" s="1065">
        <v>1</v>
      </c>
      <c r="J56" s="1066">
        <v>1</v>
      </c>
      <c r="K56" s="1000"/>
      <c r="L56" s="1067"/>
      <c r="M56" s="1067"/>
      <c r="N56" s="1067"/>
      <c r="O56" s="1067"/>
    </row>
    <row r="57" spans="1:15" s="878" customFormat="1">
      <c r="A57" s="1015" t="s">
        <v>975</v>
      </c>
      <c r="B57" s="161" t="e">
        <f>ROUND($C$48*C57*D57,0)</f>
        <v>#DIV/0!</v>
      </c>
      <c r="C57" s="602">
        <f t="shared" ref="C57:C65" si="16">IF($C$55="北京市系数",I57,J57)</f>
        <v>0</v>
      </c>
      <c r="D57" s="1016">
        <v>0.25</v>
      </c>
      <c r="E57" s="1017"/>
      <c r="F57" s="1014" t="e">
        <f t="shared" si="15"/>
        <v>#DIV/0!</v>
      </c>
      <c r="G57" s="3184" t="s">
        <v>976</v>
      </c>
      <c r="H57" s="1019">
        <f>项目基本情况!B37</f>
        <v>0</v>
      </c>
      <c r="I57" s="1065">
        <f>SUMIF(修正!A45:A56,H57,修正!B45:B56)</f>
        <v>0</v>
      </c>
      <c r="J57" s="1068"/>
      <c r="K57" s="995"/>
      <c r="L57" s="1067"/>
      <c r="M57" s="1067"/>
      <c r="N57" s="1067"/>
      <c r="O57" s="1067"/>
    </row>
    <row r="58" spans="1:15" s="878" customFormat="1">
      <c r="A58" s="1015" t="s">
        <v>977</v>
      </c>
      <c r="B58" s="161" t="e">
        <f t="shared" ref="B58:B65" si="17">ROUND($C$48*C58*D58,0)</f>
        <v>#DIV/0!</v>
      </c>
      <c r="C58" s="602">
        <f t="shared" si="16"/>
        <v>0</v>
      </c>
      <c r="D58" s="1016">
        <v>0.25</v>
      </c>
      <c r="E58" s="1017"/>
      <c r="F58" s="1014" t="e">
        <f t="shared" si="15"/>
        <v>#DIV/0!</v>
      </c>
      <c r="G58" s="3184"/>
      <c r="H58" s="1019">
        <f>项目基本情况!B37</f>
        <v>0</v>
      </c>
      <c r="I58" s="1065">
        <f>SUMIF(修正!A45:A56,H58,修正!C45:C56)</f>
        <v>0</v>
      </c>
      <c r="J58" s="1068"/>
      <c r="K58" s="1000"/>
      <c r="L58" s="1067"/>
      <c r="M58" s="1067"/>
      <c r="N58" s="1067"/>
      <c r="O58" s="1067"/>
    </row>
    <row r="59" spans="1:15" s="878" customFormat="1">
      <c r="A59" s="1015" t="s">
        <v>978</v>
      </c>
      <c r="B59" s="161" t="e">
        <f t="shared" si="17"/>
        <v>#DIV/0!</v>
      </c>
      <c r="C59" s="602">
        <f t="shared" si="16"/>
        <v>0</v>
      </c>
      <c r="D59" s="1016">
        <v>0.25</v>
      </c>
      <c r="E59" s="1017"/>
      <c r="F59" s="1014" t="e">
        <f t="shared" si="15"/>
        <v>#DIV/0!</v>
      </c>
      <c r="G59" s="3184"/>
      <c r="H59" s="1019">
        <f>项目基本情况!B37</f>
        <v>0</v>
      </c>
      <c r="I59" s="1065">
        <f>SUMIF(修正!A45:A56,H59,修正!D45:D56)</f>
        <v>0</v>
      </c>
      <c r="J59" s="1068"/>
      <c r="K59" s="995"/>
      <c r="L59" s="1067"/>
      <c r="M59" s="1067"/>
      <c r="N59" s="1067"/>
      <c r="O59" s="1067"/>
    </row>
    <row r="60" spans="1:15" s="878" customFormat="1">
      <c r="A60" s="1015" t="s">
        <v>979</v>
      </c>
      <c r="B60" s="161" t="e">
        <f t="shared" si="17"/>
        <v>#DIV/0!</v>
      </c>
      <c r="C60" s="602">
        <f t="shared" si="16"/>
        <v>0</v>
      </c>
      <c r="D60" s="1016">
        <v>0.25</v>
      </c>
      <c r="E60" s="1017"/>
      <c r="F60" s="1014" t="e">
        <f t="shared" si="15"/>
        <v>#DIV/0!</v>
      </c>
      <c r="G60" s="3184"/>
      <c r="H60" s="1019">
        <f>项目基本情况!B37</f>
        <v>0</v>
      </c>
      <c r="I60" s="1065">
        <f>SUMIF(修正!A45:A56,H60,修正!E45:E56)</f>
        <v>0</v>
      </c>
      <c r="J60" s="1068"/>
      <c r="K60" s="1000"/>
      <c r="L60" s="1067"/>
      <c r="M60" s="1067"/>
      <c r="N60" s="1067"/>
      <c r="O60" s="1067"/>
    </row>
    <row r="61" spans="1:15" s="878" customFormat="1">
      <c r="A61" s="1015" t="s">
        <v>980</v>
      </c>
      <c r="B61" s="161" t="e">
        <f t="shared" si="17"/>
        <v>#DIV/0!</v>
      </c>
      <c r="C61" s="602">
        <f t="shared" si="16"/>
        <v>0</v>
      </c>
      <c r="D61" s="1016">
        <v>0.25</v>
      </c>
      <c r="E61" s="160">
        <f>'数据-汇总表'!E11</f>
        <v>0</v>
      </c>
      <c r="F61" s="1014" t="e">
        <f t="shared" si="15"/>
        <v>#DIV/0!</v>
      </c>
      <c r="G61" s="1018" t="s">
        <v>981</v>
      </c>
      <c r="H61" s="1019">
        <f>项目基本情况!C37</f>
        <v>0</v>
      </c>
      <c r="I61" s="1065">
        <f>SUMIF(修正!A45:A56,H61,修正!F45:F56)</f>
        <v>0</v>
      </c>
      <c r="J61" s="1068"/>
      <c r="K61" s="995"/>
      <c r="L61" s="1067"/>
      <c r="M61" s="1067"/>
      <c r="N61" s="1067"/>
      <c r="O61" s="1067"/>
    </row>
    <row r="62" spans="1:15" s="878" customFormat="1">
      <c r="A62" s="1015" t="s">
        <v>982</v>
      </c>
      <c r="B62" s="161" t="e">
        <f t="shared" si="17"/>
        <v>#DIV/0!</v>
      </c>
      <c r="C62" s="602">
        <f t="shared" si="16"/>
        <v>0</v>
      </c>
      <c r="D62" s="1016">
        <v>0.25</v>
      </c>
      <c r="E62" s="160">
        <f>'数据-汇总表'!E12</f>
        <v>0</v>
      </c>
      <c r="F62" s="1014" t="e">
        <f t="shared" si="15"/>
        <v>#DIV/0!</v>
      </c>
      <c r="G62" s="1020" t="s">
        <v>983</v>
      </c>
      <c r="H62" s="1019">
        <f>IF(G62="商业",项目基本情况!B37,IF(G62="办公",项目基本情况!C37,IF(G62="住宅",项目基本情况!D37,项目基本情况!E37)))</f>
        <v>0</v>
      </c>
      <c r="I62" s="1065">
        <f>SUMIF(修正!A45:A56,H62,修正!G45:G56)</f>
        <v>0</v>
      </c>
      <c r="J62" s="1068"/>
      <c r="K62" s="1000"/>
      <c r="L62" s="1067"/>
      <c r="M62" s="1067"/>
      <c r="N62" s="1067"/>
      <c r="O62" s="1067"/>
    </row>
    <row r="63" spans="1:15" s="878" customFormat="1">
      <c r="A63" s="1015" t="s">
        <v>984</v>
      </c>
      <c r="B63" s="161" t="e">
        <f t="shared" si="17"/>
        <v>#DIV/0!</v>
      </c>
      <c r="C63" s="602">
        <f t="shared" si="16"/>
        <v>0</v>
      </c>
      <c r="D63" s="1016">
        <v>0.25</v>
      </c>
      <c r="E63" s="160">
        <f>'数据-汇总表'!E13</f>
        <v>0</v>
      </c>
      <c r="F63" s="1014" t="e">
        <f t="shared" si="15"/>
        <v>#DIV/0!</v>
      </c>
      <c r="G63" s="1020" t="s">
        <v>985</v>
      </c>
      <c r="H63" s="1019">
        <f>IF(G63="商业",项目基本情况!B37,IF(G63="办公",项目基本情况!C37,IF(G63="住宅",项目基本情况!D37,项目基本情况!E37)))</f>
        <v>0</v>
      </c>
      <c r="I63" s="1065">
        <f>SUMIF(修正!A45:A56,H63,修正!H45:H56)</f>
        <v>0</v>
      </c>
      <c r="J63" s="1068"/>
      <c r="K63" s="995"/>
      <c r="L63" s="1067"/>
      <c r="M63" s="1067"/>
      <c r="N63" s="1067"/>
      <c r="O63" s="1067"/>
    </row>
    <row r="64" spans="1:15" s="878" customFormat="1">
      <c r="A64" s="1015" t="s">
        <v>986</v>
      </c>
      <c r="B64" s="161" t="e">
        <f t="shared" si="17"/>
        <v>#DIV/0!</v>
      </c>
      <c r="C64" s="602">
        <f t="shared" si="16"/>
        <v>0</v>
      </c>
      <c r="D64" s="1016">
        <v>0.25</v>
      </c>
      <c r="E64" s="160">
        <f>'数据-汇总表'!E14</f>
        <v>0</v>
      </c>
      <c r="F64" s="1014" t="e">
        <f t="shared" si="15"/>
        <v>#DIV/0!</v>
      </c>
      <c r="G64" s="1018" t="s">
        <v>976</v>
      </c>
      <c r="H64" s="1019">
        <f>项目基本情况!B37</f>
        <v>0</v>
      </c>
      <c r="I64" s="1065">
        <f>SUMIF(修正!A45:A56,H64,修正!H45:H56)</f>
        <v>0</v>
      </c>
      <c r="J64" s="1068"/>
      <c r="K64" s="1000"/>
      <c r="L64" s="1067"/>
      <c r="M64" s="1067"/>
      <c r="N64" s="1067"/>
      <c r="O64" s="1067"/>
    </row>
    <row r="65" spans="1:17" s="878" customFormat="1">
      <c r="A65" s="1015" t="s">
        <v>987</v>
      </c>
      <c r="B65" s="161" t="e">
        <f t="shared" si="17"/>
        <v>#DIV/0!</v>
      </c>
      <c r="C65" s="602">
        <f t="shared" si="16"/>
        <v>0</v>
      </c>
      <c r="D65" s="1016">
        <v>0.25</v>
      </c>
      <c r="E65" s="160">
        <f>'数据-汇总表'!E15</f>
        <v>0</v>
      </c>
      <c r="F65" s="1014" t="e">
        <f t="shared" si="15"/>
        <v>#DIV/0!</v>
      </c>
      <c r="G65" s="1091" t="s">
        <v>981</v>
      </c>
      <c r="H65" s="1092">
        <f>项目基本情况!C37</f>
        <v>0</v>
      </c>
      <c r="I65" s="1154">
        <f>SUMIF(修正!A45:A56,H65,修正!H45:H56)</f>
        <v>0</v>
      </c>
      <c r="J65" s="1155"/>
      <c r="K65" s="995"/>
      <c r="L65" s="1067"/>
      <c r="M65" s="1067"/>
      <c r="N65" s="1067"/>
      <c r="O65" s="1067"/>
    </row>
    <row r="66" spans="1:17" s="878" customFormat="1" ht="12.75">
      <c r="A66" s="1093" t="s">
        <v>988</v>
      </c>
      <c r="B66" s="1094" t="s">
        <v>989</v>
      </c>
      <c r="C66" s="1094" t="s">
        <v>989</v>
      </c>
      <c r="D66" s="1094" t="s">
        <v>989</v>
      </c>
      <c r="E66" s="1094">
        <f>IF(B46="楼面地价",SUM(E56:E65),'数据-汇总表'!D3)</f>
        <v>34364.589999999997</v>
      </c>
      <c r="F66" s="1095" t="e">
        <f>IF(B46="楼面地价",SUM(F56:F65),ROUND(C48*E66/10000,0))</f>
        <v>#DIV/0!</v>
      </c>
      <c r="G66" s="1096"/>
      <c r="H66" s="1096"/>
      <c r="I66" s="1096"/>
      <c r="J66" s="1096"/>
      <c r="K66" s="1156"/>
      <c r="L66" s="1067"/>
      <c r="M66" s="1067"/>
      <c r="N66" s="1067"/>
      <c r="O66" s="1067"/>
    </row>
    <row r="67" spans="1:17">
      <c r="A67" s="1081"/>
      <c r="B67" s="1097"/>
      <c r="C67" s="1002"/>
      <c r="D67" s="1081"/>
      <c r="E67" s="1081"/>
      <c r="F67" s="1081"/>
      <c r="G67" s="1081"/>
      <c r="H67" s="1081"/>
      <c r="I67" s="1081"/>
      <c r="J67" s="995"/>
      <c r="K67" s="1058"/>
      <c r="L67" s="1059"/>
      <c r="M67" s="995"/>
      <c r="N67" s="995"/>
      <c r="O67" s="995"/>
    </row>
    <row r="68" spans="1:17">
      <c r="A68" s="1081"/>
      <c r="B68" s="1097"/>
      <c r="C68" s="1097" t="str">
        <f>YEAR(C7)&amp;"-"&amp;MONTH(C7)&amp;"-1"</f>
        <v>2021-7-1</v>
      </c>
      <c r="D68" s="1097">
        <f>EDATE(C68,-3)</f>
        <v>44287</v>
      </c>
      <c r="E68" s="1097">
        <f>EDATE(D68,-3)</f>
        <v>44197</v>
      </c>
      <c r="F68" s="1097">
        <f t="shared" ref="F68:O68" si="18">EDATE(E68,-3)</f>
        <v>44105</v>
      </c>
      <c r="G68" s="1097">
        <f t="shared" si="18"/>
        <v>44013</v>
      </c>
      <c r="H68" s="1097">
        <f t="shared" si="18"/>
        <v>43922</v>
      </c>
      <c r="I68" s="1097">
        <f t="shared" si="18"/>
        <v>43831</v>
      </c>
      <c r="J68" s="1097">
        <f t="shared" si="18"/>
        <v>43739</v>
      </c>
      <c r="K68" s="1097">
        <f t="shared" si="18"/>
        <v>43647</v>
      </c>
      <c r="L68" s="1097">
        <f t="shared" si="18"/>
        <v>43556</v>
      </c>
      <c r="M68" s="1097">
        <f t="shared" si="18"/>
        <v>43466</v>
      </c>
      <c r="N68" s="1097">
        <f t="shared" si="18"/>
        <v>43374</v>
      </c>
      <c r="O68" s="1097">
        <f t="shared" si="18"/>
        <v>43282</v>
      </c>
    </row>
    <row r="69" spans="1:17" ht="21">
      <c r="A69" s="1098" t="s">
        <v>990</v>
      </c>
      <c r="B69" s="1081"/>
      <c r="C69" s="1099"/>
      <c r="D69" s="1099"/>
      <c r="E69" s="1099"/>
      <c r="F69" s="1100"/>
      <c r="G69" s="1100"/>
      <c r="H69" s="1099"/>
      <c r="I69" s="1099"/>
      <c r="J69" s="1157"/>
      <c r="K69" s="1158"/>
      <c r="L69" s="1159"/>
      <c r="M69" s="1157"/>
      <c r="N69" s="1157"/>
      <c r="O69" s="1157"/>
      <c r="P69" s="1160"/>
      <c r="Q69" s="1164"/>
    </row>
    <row r="70" spans="1:17" s="879" customFormat="1" ht="15">
      <c r="A70" s="1101" t="s">
        <v>991</v>
      </c>
      <c r="B70" s="1102"/>
      <c r="C70" s="1103" t="str">
        <f>YEAR(C68)&amp;"-"&amp;ROUNDUP(MONTH(C68)/3,0)</f>
        <v>2021-3</v>
      </c>
      <c r="D70" s="1103" t="str">
        <f>YEAR(D68)&amp;"-"&amp;ROUNDUP(MONTH(D68)/3,0)</f>
        <v>2021-2</v>
      </c>
      <c r="E70" s="1103" t="str">
        <f t="shared" ref="E70:O70" si="19">YEAR(E68)&amp;"-"&amp;ROUNDUP(MONTH(E68)/3,0)</f>
        <v>2021-1</v>
      </c>
      <c r="F70" s="1103" t="str">
        <f t="shared" si="19"/>
        <v>2020-4</v>
      </c>
      <c r="G70" s="1103" t="str">
        <f t="shared" si="19"/>
        <v>2020-3</v>
      </c>
      <c r="H70" s="1103" t="str">
        <f t="shared" si="19"/>
        <v>2020-2</v>
      </c>
      <c r="I70" s="1103" t="str">
        <f t="shared" si="19"/>
        <v>2020-1</v>
      </c>
      <c r="J70" s="1103" t="str">
        <f t="shared" si="19"/>
        <v>2019-4</v>
      </c>
      <c r="K70" s="1103" t="str">
        <f t="shared" si="19"/>
        <v>2019-3</v>
      </c>
      <c r="L70" s="1103" t="str">
        <f t="shared" si="19"/>
        <v>2019-2</v>
      </c>
      <c r="M70" s="1103" t="str">
        <f t="shared" si="19"/>
        <v>2019-1</v>
      </c>
      <c r="N70" s="1103" t="str">
        <f t="shared" si="19"/>
        <v>2018-4</v>
      </c>
      <c r="O70" s="1103" t="str">
        <f t="shared" si="19"/>
        <v>2018-3</v>
      </c>
      <c r="P70" s="1161"/>
    </row>
    <row r="71" spans="1:17" s="874" customFormat="1" ht="30" customHeight="1">
      <c r="A71" s="1104" t="s">
        <v>1521</v>
      </c>
      <c r="B71" s="1105" t="str">
        <f>"北京市平均增长率"&amp;TEXT(SUMIF(基准地价修正!N21:N25,A71,基准地价修正!P21:P25),"0.00%")</f>
        <v>北京市平均增长率0.00%</v>
      </c>
      <c r="C71" s="809">
        <v>100</v>
      </c>
      <c r="D71" s="1106"/>
      <c r="E71" s="1106"/>
      <c r="F71" s="1106"/>
      <c r="G71" s="1106"/>
      <c r="H71" s="1106"/>
      <c r="I71" s="1106"/>
      <c r="J71" s="1106"/>
      <c r="K71" s="1106"/>
      <c r="L71" s="1106"/>
      <c r="M71" s="1162"/>
      <c r="N71" s="1106"/>
      <c r="O71" s="1163"/>
      <c r="P71" s="1164"/>
    </row>
    <row r="72" spans="1:17" s="874" customFormat="1" ht="15">
      <c r="A72" s="1107" t="s">
        <v>992</v>
      </c>
      <c r="B72" s="1108"/>
      <c r="C72" s="1109"/>
      <c r="D72" s="1110"/>
      <c r="E72" s="1110"/>
      <c r="F72" s="1110"/>
      <c r="G72" s="1110"/>
      <c r="H72" s="1110"/>
      <c r="I72" s="1110"/>
      <c r="J72" s="1110"/>
      <c r="K72" s="1110"/>
      <c r="L72" s="1110"/>
      <c r="M72" s="1165"/>
      <c r="N72" s="1110"/>
      <c r="O72" s="1166"/>
      <c r="P72" s="1164"/>
      <c r="Q72" s="1164"/>
    </row>
    <row r="73" spans="1:17" s="874" customFormat="1" ht="15">
      <c r="A73" s="1111" t="s">
        <v>941</v>
      </c>
      <c r="B73" s="1112"/>
      <c r="C73" s="1113" t="s">
        <v>942</v>
      </c>
      <c r="D73" s="1114"/>
      <c r="E73" s="1114"/>
      <c r="F73" s="1114"/>
      <c r="G73" s="1114"/>
      <c r="H73" s="1114"/>
      <c r="I73" s="1114"/>
      <c r="J73" s="1114"/>
      <c r="K73" s="1114"/>
      <c r="L73" s="1167"/>
      <c r="M73" s="1168"/>
      <c r="N73" s="1169"/>
      <c r="O73" s="1169"/>
      <c r="P73" s="1170"/>
      <c r="Q73" s="1164"/>
    </row>
    <row r="74" spans="1:17" s="874" customFormat="1" ht="15">
      <c r="A74" s="1111"/>
      <c r="B74" s="1112"/>
      <c r="C74" s="1115">
        <v>100</v>
      </c>
      <c r="D74" s="1116"/>
      <c r="E74" s="1116"/>
      <c r="F74" s="1116"/>
      <c r="G74" s="1116"/>
      <c r="H74" s="1116"/>
      <c r="I74" s="1116"/>
      <c r="J74" s="1116"/>
      <c r="K74" s="1116"/>
      <c r="L74" s="1116"/>
      <c r="M74" s="1171"/>
      <c r="N74" s="1169"/>
      <c r="O74" s="1169"/>
      <c r="P74" s="1164"/>
      <c r="Q74" s="1164"/>
    </row>
    <row r="75" spans="1:17">
      <c r="A75" s="1117" t="s">
        <v>993</v>
      </c>
      <c r="B75" s="1118" t="s">
        <v>349</v>
      </c>
      <c r="C75" s="1051"/>
      <c r="D75" s="1051"/>
      <c r="E75" s="1051"/>
      <c r="F75" s="1051"/>
      <c r="G75" s="1051"/>
      <c r="H75" s="1051"/>
      <c r="I75" s="1051"/>
      <c r="J75" s="1051"/>
      <c r="K75" s="1172"/>
      <c r="L75" s="1173"/>
      <c r="M75" s="1174"/>
      <c r="N75" s="1175"/>
      <c r="O75" s="1175"/>
      <c r="P75" s="1176"/>
      <c r="Q75" s="1164"/>
    </row>
    <row r="76" spans="1:17" ht="15">
      <c r="A76" s="1119"/>
      <c r="B76" s="1120"/>
      <c r="C76" s="1121"/>
      <c r="D76" s="1121"/>
      <c r="E76" s="1121"/>
      <c r="F76" s="1121"/>
      <c r="G76" s="1121"/>
      <c r="H76" s="1121"/>
      <c r="I76" s="1121"/>
      <c r="J76" s="1121"/>
      <c r="K76" s="1121"/>
      <c r="L76" s="1121"/>
      <c r="M76" s="1177"/>
      <c r="N76" s="1178"/>
      <c r="O76" s="1178"/>
      <c r="P76" s="1176"/>
      <c r="Q76" s="1164"/>
    </row>
    <row r="77" spans="1:17" ht="27">
      <c r="A77" s="1119"/>
      <c r="B77" s="1122" t="s">
        <v>947</v>
      </c>
      <c r="C77" s="1123"/>
      <c r="D77" s="1123"/>
      <c r="E77" s="1123"/>
      <c r="F77" s="1123"/>
      <c r="G77" s="1123"/>
      <c r="H77" s="1123"/>
      <c r="I77" s="1123"/>
      <c r="J77" s="1123"/>
      <c r="K77" s="1179"/>
      <c r="L77" s="1180"/>
      <c r="M77" s="1181"/>
      <c r="N77" s="1175"/>
      <c r="O77" s="1175"/>
      <c r="P77" s="1176"/>
      <c r="Q77" s="1164"/>
    </row>
    <row r="78" spans="1:17" ht="15">
      <c r="A78" s="1119"/>
      <c r="B78" s="1124"/>
      <c r="C78" s="1125"/>
      <c r="D78" s="1125"/>
      <c r="E78" s="1125"/>
      <c r="F78" s="1125"/>
      <c r="G78" s="1125"/>
      <c r="H78" s="1125"/>
      <c r="I78" s="1125"/>
      <c r="J78" s="1125"/>
      <c r="K78" s="1125"/>
      <c r="L78" s="1125"/>
      <c r="M78" s="1182"/>
      <c r="N78" s="1178"/>
      <c r="O78" s="1178"/>
      <c r="P78" s="1176"/>
      <c r="Q78" s="1164"/>
    </row>
    <row r="79" spans="1:17" ht="15">
      <c r="A79" s="1119"/>
      <c r="B79" s="1126" t="s">
        <v>948</v>
      </c>
      <c r="C79" s="1127" t="str">
        <f>C80&amp;"（含）"&amp;"-"&amp;D80</f>
        <v>（含）-</v>
      </c>
      <c r="D79" s="1127" t="str">
        <f t="shared" ref="D79:L79" si="20">D80&amp;"（含）"&amp;"-"&amp;E80</f>
        <v>（含）-</v>
      </c>
      <c r="E79" s="1127" t="str">
        <f t="shared" si="20"/>
        <v>（含）-</v>
      </c>
      <c r="F79" s="1127" t="str">
        <f t="shared" si="20"/>
        <v>（含）-</v>
      </c>
      <c r="G79" s="1127" t="str">
        <f t="shared" si="20"/>
        <v>（含）-</v>
      </c>
      <c r="H79" s="1127" t="str">
        <f t="shared" si="20"/>
        <v>（含）-</v>
      </c>
      <c r="I79" s="1127" t="str">
        <f t="shared" si="20"/>
        <v>（含）-</v>
      </c>
      <c r="J79" s="1127" t="str">
        <f t="shared" si="20"/>
        <v>（含）-</v>
      </c>
      <c r="K79" s="1127" t="str">
        <f t="shared" si="20"/>
        <v>（含）-</v>
      </c>
      <c r="L79" s="1127" t="str">
        <f t="shared" si="20"/>
        <v>（含）-</v>
      </c>
      <c r="M79" s="939" t="str">
        <f>M80&amp;"（含）"&amp;"-"&amp;P80</f>
        <v>（含）-</v>
      </c>
      <c r="N79" s="1178"/>
      <c r="O79" s="1178"/>
      <c r="P79" s="1176"/>
      <c r="Q79" s="1164"/>
    </row>
    <row r="80" spans="1:17" ht="15">
      <c r="A80" s="1119"/>
      <c r="B80" s="1128"/>
      <c r="C80" s="926"/>
      <c r="D80" s="926"/>
      <c r="E80" s="926"/>
      <c r="F80" s="926"/>
      <c r="G80" s="926"/>
      <c r="H80" s="926"/>
      <c r="I80" s="926"/>
      <c r="J80" s="926"/>
      <c r="K80" s="1183"/>
      <c r="L80" s="1184"/>
      <c r="M80" s="1185"/>
      <c r="N80" s="1175"/>
      <c r="O80" s="1175"/>
      <c r="P80" s="1176"/>
      <c r="Q80" s="1164"/>
    </row>
    <row r="81" spans="1:17" ht="15">
      <c r="A81" s="1119"/>
      <c r="B81" s="1120"/>
      <c r="C81" s="1125">
        <v>100</v>
      </c>
      <c r="D81" s="1125">
        <f t="shared" ref="D81:M81" si="21">IF($B$46="单位面积地价",C81+$K11,C81-$K11)</f>
        <v>100</v>
      </c>
      <c r="E81" s="1125">
        <f t="shared" si="21"/>
        <v>100</v>
      </c>
      <c r="F81" s="1125">
        <f t="shared" si="21"/>
        <v>100</v>
      </c>
      <c r="G81" s="1125">
        <f t="shared" si="21"/>
        <v>100</v>
      </c>
      <c r="H81" s="1125">
        <f t="shared" si="21"/>
        <v>100</v>
      </c>
      <c r="I81" s="1125">
        <f t="shared" si="21"/>
        <v>100</v>
      </c>
      <c r="J81" s="1125">
        <f t="shared" si="21"/>
        <v>100</v>
      </c>
      <c r="K81" s="1125">
        <f t="shared" si="21"/>
        <v>100</v>
      </c>
      <c r="L81" s="1125">
        <f t="shared" si="21"/>
        <v>100</v>
      </c>
      <c r="M81" s="1125">
        <f t="shared" si="21"/>
        <v>100</v>
      </c>
      <c r="N81" s="1178"/>
      <c r="O81" s="1178"/>
      <c r="P81" s="1176"/>
      <c r="Q81" s="1164"/>
    </row>
    <row r="82" spans="1:17" s="876" customFormat="1" ht="15">
      <c r="A82" s="1129"/>
      <c r="B82" s="1122" t="str">
        <f>B12</f>
        <v>配建</v>
      </c>
      <c r="C82" s="1130"/>
      <c r="D82" s="1130"/>
      <c r="E82" s="1130"/>
      <c r="F82" s="1130"/>
      <c r="G82" s="1130"/>
      <c r="H82" s="1131"/>
      <c r="I82" s="1131"/>
      <c r="J82" s="1131"/>
      <c r="K82" s="1131"/>
      <c r="L82" s="1186"/>
      <c r="M82" s="1187"/>
      <c r="N82" s="1188"/>
      <c r="O82" s="1188"/>
      <c r="P82" s="1189"/>
      <c r="Q82" s="1217"/>
    </row>
    <row r="83" spans="1:17" s="876" customFormat="1" ht="15">
      <c r="A83" s="1129"/>
      <c r="B83" s="1124"/>
      <c r="C83" s="1132"/>
      <c r="D83" s="1121"/>
      <c r="E83" s="1121"/>
      <c r="F83" s="1121"/>
      <c r="G83" s="1121"/>
      <c r="H83" s="1121"/>
      <c r="I83" s="1121"/>
      <c r="J83" s="1121"/>
      <c r="K83" s="1121"/>
      <c r="L83" s="1121"/>
      <c r="M83" s="1177"/>
      <c r="N83" s="1178"/>
      <c r="O83" s="1178"/>
      <c r="P83" s="1189"/>
      <c r="Q83" s="1217"/>
    </row>
    <row r="84" spans="1:17" s="876" customFormat="1" ht="15">
      <c r="A84" s="1129"/>
      <c r="B84" s="1122">
        <f>B13</f>
        <v>111</v>
      </c>
      <c r="C84" s="1130"/>
      <c r="D84" s="1130"/>
      <c r="E84" s="1130"/>
      <c r="F84" s="1130"/>
      <c r="G84" s="1130"/>
      <c r="H84" s="1131"/>
      <c r="I84" s="1131"/>
      <c r="J84" s="1131"/>
      <c r="K84" s="1131"/>
      <c r="L84" s="1186"/>
      <c r="M84" s="1187"/>
      <c r="N84" s="1188"/>
      <c r="O84" s="1188"/>
      <c r="P84" s="1190"/>
      <c r="Q84" s="1218"/>
    </row>
    <row r="85" spans="1:17" s="876" customFormat="1" ht="15">
      <c r="A85" s="1129"/>
      <c r="B85" s="1124"/>
      <c r="C85" s="1132"/>
      <c r="D85" s="1132"/>
      <c r="E85" s="1132"/>
      <c r="F85" s="1132"/>
      <c r="G85" s="1132"/>
      <c r="H85" s="1133"/>
      <c r="I85" s="1133"/>
      <c r="J85" s="1133"/>
      <c r="K85" s="1133"/>
      <c r="L85" s="1133"/>
      <c r="M85" s="1191"/>
      <c r="N85" s="1188"/>
      <c r="O85" s="1188"/>
      <c r="P85" s="1189"/>
      <c r="Q85" s="1217"/>
    </row>
    <row r="86" spans="1:17" s="876" customFormat="1" ht="15">
      <c r="A86" s="1129"/>
      <c r="B86" s="1126">
        <f>B14</f>
        <v>111</v>
      </c>
      <c r="C86" s="1114"/>
      <c r="D86" s="1114"/>
      <c r="E86" s="1114"/>
      <c r="F86" s="1114"/>
      <c r="G86" s="1114"/>
      <c r="H86" s="1134"/>
      <c r="I86" s="1134"/>
      <c r="J86" s="1134"/>
      <c r="K86" s="1134"/>
      <c r="L86" s="1192"/>
      <c r="M86" s="1193"/>
      <c r="N86" s="1188"/>
      <c r="O86" s="1188"/>
      <c r="P86" s="1194"/>
      <c r="Q86" s="1217"/>
    </row>
    <row r="87" spans="1:17" s="876" customFormat="1" ht="15">
      <c r="A87" s="1135"/>
      <c r="B87" s="1136"/>
      <c r="C87" s="1137"/>
      <c r="D87" s="1137"/>
      <c r="E87" s="1137"/>
      <c r="F87" s="1137"/>
      <c r="G87" s="1137"/>
      <c r="H87" s="1138"/>
      <c r="I87" s="1138"/>
      <c r="J87" s="1138"/>
      <c r="K87" s="1138"/>
      <c r="L87" s="1138"/>
      <c r="M87" s="1195"/>
      <c r="N87" s="1188"/>
      <c r="O87" s="1188"/>
      <c r="P87" s="1189"/>
      <c r="Q87" s="1217"/>
    </row>
    <row r="88" spans="1:17">
      <c r="A88" s="1117" t="s">
        <v>949</v>
      </c>
      <c r="B88" s="1118" t="s">
        <v>657</v>
      </c>
      <c r="C88" s="1139" t="s">
        <v>994</v>
      </c>
      <c r="D88" s="1139" t="s">
        <v>995</v>
      </c>
      <c r="E88" s="1139" t="s">
        <v>996</v>
      </c>
      <c r="F88" s="1139" t="s">
        <v>997</v>
      </c>
      <c r="G88" s="1139" t="s">
        <v>998</v>
      </c>
      <c r="H88" s="1140"/>
      <c r="I88" s="1140"/>
      <c r="J88" s="1140"/>
      <c r="K88" s="1196"/>
      <c r="L88" s="1197"/>
      <c r="M88" s="1198"/>
      <c r="N88" s="1175"/>
      <c r="O88" s="1175"/>
      <c r="P88" s="1199"/>
      <c r="Q88" s="1164"/>
    </row>
    <row r="89" spans="1:17" ht="15">
      <c r="A89" s="1119"/>
      <c r="B89" s="1124"/>
      <c r="C89" s="1125">
        <v>100</v>
      </c>
      <c r="D89" s="1125">
        <f>C89-$K15</f>
        <v>100</v>
      </c>
      <c r="E89" s="1125">
        <f>D89-$K15</f>
        <v>100</v>
      </c>
      <c r="F89" s="1125">
        <f>E89-$K15</f>
        <v>100</v>
      </c>
      <c r="G89" s="1125">
        <f>F89-$K15</f>
        <v>100</v>
      </c>
      <c r="H89" s="1125"/>
      <c r="I89" s="1125"/>
      <c r="J89" s="1125"/>
      <c r="K89" s="1125"/>
      <c r="L89" s="1125"/>
      <c r="M89" s="1182"/>
      <c r="N89" s="1178"/>
      <c r="O89" s="1178"/>
      <c r="P89" s="1176"/>
      <c r="Q89" s="1164"/>
    </row>
    <row r="90" spans="1:17" ht="15">
      <c r="A90" s="1119"/>
      <c r="B90" s="1122" t="s">
        <v>661</v>
      </c>
      <c r="C90" s="1141" t="s">
        <v>994</v>
      </c>
      <c r="D90" s="1141" t="s">
        <v>995</v>
      </c>
      <c r="E90" s="1141" t="s">
        <v>996</v>
      </c>
      <c r="F90" s="1141" t="s">
        <v>997</v>
      </c>
      <c r="G90" s="1141" t="s">
        <v>998</v>
      </c>
      <c r="H90" s="1123"/>
      <c r="I90" s="1123"/>
      <c r="J90" s="1123"/>
      <c r="K90" s="1179"/>
      <c r="L90" s="1180"/>
      <c r="M90" s="1181"/>
      <c r="N90" s="1175"/>
      <c r="O90" s="1175"/>
      <c r="P90" s="1176"/>
      <c r="Q90" s="1164"/>
    </row>
    <row r="91" spans="1:17" ht="15">
      <c r="A91" s="1119"/>
      <c r="B91" s="1124"/>
      <c r="C91" s="1125">
        <v>100</v>
      </c>
      <c r="D91" s="1125">
        <f>C91-$K17</f>
        <v>100</v>
      </c>
      <c r="E91" s="1125">
        <f>D91-$K17</f>
        <v>100</v>
      </c>
      <c r="F91" s="1125">
        <f>E91-$K17</f>
        <v>100</v>
      </c>
      <c r="G91" s="1125">
        <f>F91-$K17</f>
        <v>100</v>
      </c>
      <c r="H91" s="1125"/>
      <c r="I91" s="1125"/>
      <c r="J91" s="1125"/>
      <c r="K91" s="1125"/>
      <c r="L91" s="1125"/>
      <c r="M91" s="1182"/>
      <c r="N91" s="1178"/>
      <c r="O91" s="1178"/>
      <c r="P91" s="1176"/>
      <c r="Q91" s="1164"/>
    </row>
    <row r="92" spans="1:17" ht="15">
      <c r="A92" s="1119"/>
      <c r="B92" s="1122" t="s">
        <v>665</v>
      </c>
      <c r="C92" s="1141" t="s">
        <v>994</v>
      </c>
      <c r="D92" s="1141" t="s">
        <v>995</v>
      </c>
      <c r="E92" s="1141" t="s">
        <v>996</v>
      </c>
      <c r="F92" s="1141" t="s">
        <v>997</v>
      </c>
      <c r="G92" s="1141" t="s">
        <v>998</v>
      </c>
      <c r="H92" s="1123"/>
      <c r="I92" s="1123"/>
      <c r="J92" s="1123"/>
      <c r="K92" s="1179"/>
      <c r="L92" s="1180"/>
      <c r="M92" s="1181"/>
      <c r="N92" s="1175"/>
      <c r="O92" s="1175"/>
      <c r="P92" s="1176"/>
      <c r="Q92" s="1164"/>
    </row>
    <row r="93" spans="1:17" ht="15">
      <c r="A93" s="1119"/>
      <c r="B93" s="1124"/>
      <c r="C93" s="1125">
        <v>100</v>
      </c>
      <c r="D93" s="1125">
        <f>C93-$K19</f>
        <v>100</v>
      </c>
      <c r="E93" s="1125">
        <f>D93-$K19</f>
        <v>100</v>
      </c>
      <c r="F93" s="1125">
        <f>E93-$K19</f>
        <v>100</v>
      </c>
      <c r="G93" s="1125">
        <f>F93-$K19</f>
        <v>100</v>
      </c>
      <c r="H93" s="1125"/>
      <c r="I93" s="1125"/>
      <c r="J93" s="1125"/>
      <c r="K93" s="1125"/>
      <c r="L93" s="1125"/>
      <c r="M93" s="1182"/>
      <c r="N93" s="1178"/>
      <c r="O93" s="1178"/>
      <c r="P93" s="1176"/>
      <c r="Q93" s="1164"/>
    </row>
    <row r="94" spans="1:17" ht="15">
      <c r="A94" s="1119"/>
      <c r="B94" s="1122" t="s">
        <v>663</v>
      </c>
      <c r="C94" s="1141" t="s">
        <v>994</v>
      </c>
      <c r="D94" s="1141" t="s">
        <v>995</v>
      </c>
      <c r="E94" s="1141" t="s">
        <v>996</v>
      </c>
      <c r="F94" s="1141" t="s">
        <v>997</v>
      </c>
      <c r="G94" s="1141" t="s">
        <v>998</v>
      </c>
      <c r="H94" s="1123"/>
      <c r="I94" s="1123"/>
      <c r="J94" s="1123"/>
      <c r="K94" s="1179"/>
      <c r="L94" s="1180"/>
      <c r="M94" s="1181"/>
      <c r="N94" s="1175"/>
      <c r="O94" s="1175"/>
      <c r="P94" s="1176"/>
      <c r="Q94" s="1164"/>
    </row>
    <row r="95" spans="1:17" ht="15">
      <c r="A95" s="1119"/>
      <c r="B95" s="1124"/>
      <c r="C95" s="1125">
        <v>100</v>
      </c>
      <c r="D95" s="1125">
        <f>C95-$K21</f>
        <v>100</v>
      </c>
      <c r="E95" s="1125">
        <f>D95-$K21</f>
        <v>100</v>
      </c>
      <c r="F95" s="1125">
        <f>E95-$K21</f>
        <v>100</v>
      </c>
      <c r="G95" s="1125">
        <f>F95-$K21</f>
        <v>100</v>
      </c>
      <c r="H95" s="1125"/>
      <c r="I95" s="1125"/>
      <c r="J95" s="1125"/>
      <c r="K95" s="1125"/>
      <c r="L95" s="1125"/>
      <c r="M95" s="1182"/>
      <c r="N95" s="1178"/>
      <c r="O95" s="1178"/>
      <c r="P95" s="1176"/>
      <c r="Q95" s="1164"/>
    </row>
    <row r="96" spans="1:17" s="874" customFormat="1" ht="15">
      <c r="A96" s="1142"/>
      <c r="B96" s="1122" t="s">
        <v>677</v>
      </c>
      <c r="C96" s="1141" t="s">
        <v>994</v>
      </c>
      <c r="D96" s="1141" t="s">
        <v>995</v>
      </c>
      <c r="E96" s="1141" t="s">
        <v>996</v>
      </c>
      <c r="F96" s="1141" t="s">
        <v>997</v>
      </c>
      <c r="G96" s="1141" t="s">
        <v>998</v>
      </c>
      <c r="H96" s="1141"/>
      <c r="I96" s="1141"/>
      <c r="J96" s="1141"/>
      <c r="K96" s="1141"/>
      <c r="L96" s="1200"/>
      <c r="M96" s="1201"/>
      <c r="N96" s="1169"/>
      <c r="O96" s="1169"/>
      <c r="P96" s="1176"/>
      <c r="Q96" s="1164"/>
    </row>
    <row r="97" spans="1:17" s="874" customFormat="1" ht="15">
      <c r="A97" s="1142"/>
      <c r="B97" s="1124"/>
      <c r="C97" s="1143">
        <v>100</v>
      </c>
      <c r="D97" s="1125">
        <f>C97-$K23</f>
        <v>100</v>
      </c>
      <c r="E97" s="1125">
        <f>D97-$K23</f>
        <v>100</v>
      </c>
      <c r="F97" s="1125">
        <f>E97-$K23</f>
        <v>100</v>
      </c>
      <c r="G97" s="1125">
        <f>F97-$K23</f>
        <v>100</v>
      </c>
      <c r="H97" s="1125"/>
      <c r="I97" s="1125"/>
      <c r="J97" s="1125"/>
      <c r="K97" s="1125"/>
      <c r="L97" s="1125"/>
      <c r="M97" s="1182"/>
      <c r="N97" s="1178"/>
      <c r="O97" s="1178"/>
      <c r="P97" s="1176"/>
      <c r="Q97" s="1164"/>
    </row>
    <row r="98" spans="1:17" s="874" customFormat="1" ht="27">
      <c r="A98" s="1142"/>
      <c r="B98" s="1122" t="s">
        <v>678</v>
      </c>
      <c r="C98" s="1139" t="s">
        <v>994</v>
      </c>
      <c r="D98" s="1139" t="s">
        <v>995</v>
      </c>
      <c r="E98" s="1139" t="s">
        <v>996</v>
      </c>
      <c r="F98" s="1139" t="s">
        <v>997</v>
      </c>
      <c r="G98" s="1139" t="s">
        <v>998</v>
      </c>
      <c r="H98" s="1141"/>
      <c r="I98" s="1141"/>
      <c r="J98" s="1141"/>
      <c r="K98" s="1141"/>
      <c r="L98" s="1141"/>
      <c r="M98" s="1201"/>
      <c r="N98" s="1169"/>
      <c r="O98" s="1169"/>
      <c r="P98" s="1176"/>
      <c r="Q98" s="1164"/>
    </row>
    <row r="99" spans="1:17" s="874" customFormat="1" ht="15">
      <c r="A99" s="1142"/>
      <c r="B99" s="1124"/>
      <c r="C99" s="1125">
        <v>100</v>
      </c>
      <c r="D99" s="1125">
        <f>C99-$K25</f>
        <v>100</v>
      </c>
      <c r="E99" s="1125">
        <f>D99-$K25</f>
        <v>100</v>
      </c>
      <c r="F99" s="1125">
        <f>E99-$K25</f>
        <v>100</v>
      </c>
      <c r="G99" s="1125">
        <f>F99-$K25</f>
        <v>100</v>
      </c>
      <c r="H99" s="1125"/>
      <c r="I99" s="1125"/>
      <c r="J99" s="1125"/>
      <c r="K99" s="1125"/>
      <c r="L99" s="1125"/>
      <c r="M99" s="1182"/>
      <c r="N99" s="1178"/>
      <c r="O99" s="1178"/>
      <c r="P99" s="1176"/>
      <c r="Q99" s="1164"/>
    </row>
    <row r="100" spans="1:17" s="876" customFormat="1" ht="15">
      <c r="A100" s="1129"/>
      <c r="B100" s="1122" t="s">
        <v>667</v>
      </c>
      <c r="C100" s="1139" t="s">
        <v>994</v>
      </c>
      <c r="D100" s="1139" t="s">
        <v>995</v>
      </c>
      <c r="E100" s="1139" t="s">
        <v>996</v>
      </c>
      <c r="F100" s="1139" t="s">
        <v>997</v>
      </c>
      <c r="G100" s="1139" t="s">
        <v>998</v>
      </c>
      <c r="H100" s="1144"/>
      <c r="I100" s="1144"/>
      <c r="J100" s="1144"/>
      <c r="K100" s="1144"/>
      <c r="L100" s="1202"/>
      <c r="M100" s="1203"/>
      <c r="N100" s="1188"/>
      <c r="O100" s="1188"/>
      <c r="P100" s="1189"/>
      <c r="Q100" s="1217"/>
    </row>
    <row r="101" spans="1:17" s="876" customFormat="1" ht="15">
      <c r="A101" s="1129"/>
      <c r="B101" s="1124"/>
      <c r="C101" s="1125">
        <v>100</v>
      </c>
      <c r="D101" s="1125">
        <f>C101-$K27</f>
        <v>100</v>
      </c>
      <c r="E101" s="1125">
        <f>D101-$K27</f>
        <v>100</v>
      </c>
      <c r="F101" s="1125">
        <f>E101-$K27</f>
        <v>100</v>
      </c>
      <c r="G101" s="1125">
        <f>F101-$K27</f>
        <v>100</v>
      </c>
      <c r="H101" s="1145"/>
      <c r="I101" s="1145"/>
      <c r="J101" s="1145"/>
      <c r="K101" s="1145"/>
      <c r="L101" s="1145"/>
      <c r="M101" s="1204"/>
      <c r="N101" s="1188"/>
      <c r="O101" s="1188"/>
      <c r="P101" s="1189"/>
      <c r="Q101" s="1217"/>
    </row>
    <row r="102" spans="1:17" s="876" customFormat="1" ht="15">
      <c r="A102" s="1129"/>
      <c r="B102" s="1126" t="s">
        <v>669</v>
      </c>
      <c r="C102" s="1146" t="s">
        <v>999</v>
      </c>
      <c r="D102" s="1146" t="s">
        <v>1000</v>
      </c>
      <c r="E102" s="1146" t="s">
        <v>1001</v>
      </c>
      <c r="F102" s="1146" t="s">
        <v>1002</v>
      </c>
      <c r="G102" s="1146" t="s">
        <v>1003</v>
      </c>
      <c r="H102" s="1144"/>
      <c r="I102" s="1144"/>
      <c r="J102" s="1144"/>
      <c r="K102" s="1144"/>
      <c r="L102" s="1144"/>
      <c r="M102" s="1205"/>
      <c r="N102" s="1188"/>
      <c r="O102" s="1188"/>
      <c r="P102" s="1189"/>
      <c r="Q102" s="1217"/>
    </row>
    <row r="103" spans="1:17" s="876" customFormat="1" ht="15">
      <c r="A103" s="1129"/>
      <c r="B103" s="1126"/>
      <c r="C103" s="1125">
        <v>100</v>
      </c>
      <c r="D103" s="1125">
        <f>C103-$K29</f>
        <v>100</v>
      </c>
      <c r="E103" s="1125">
        <f>D103-$K29</f>
        <v>100</v>
      </c>
      <c r="F103" s="1125">
        <f>E103-$K29</f>
        <v>100</v>
      </c>
      <c r="G103" s="1125">
        <f>F103-$K29</f>
        <v>100</v>
      </c>
      <c r="H103" s="1128"/>
      <c r="I103" s="1128"/>
      <c r="J103" s="1128"/>
      <c r="K103" s="1128"/>
      <c r="L103" s="1128"/>
      <c r="M103" s="1205"/>
      <c r="N103" s="1188"/>
      <c r="O103" s="1188"/>
      <c r="P103" s="1189"/>
      <c r="Q103" s="1217"/>
    </row>
    <row r="104" spans="1:17" ht="15">
      <c r="A104" s="1119"/>
      <c r="B104" s="1122" t="str">
        <f>B31</f>
        <v>临街状况</v>
      </c>
      <c r="C104" s="1123" t="s">
        <v>1004</v>
      </c>
      <c r="D104" s="1123" t="s">
        <v>1005</v>
      </c>
      <c r="E104" s="1123" t="s">
        <v>1006</v>
      </c>
      <c r="F104" s="1123" t="s">
        <v>1007</v>
      </c>
      <c r="G104" s="1123"/>
      <c r="H104" s="1123"/>
      <c r="I104" s="1123"/>
      <c r="J104" s="1123"/>
      <c r="K104" s="1179"/>
      <c r="L104" s="1180"/>
      <c r="M104" s="1181"/>
      <c r="N104" s="1175"/>
      <c r="O104" s="1175"/>
      <c r="P104" s="1176"/>
      <c r="Q104" s="1164"/>
    </row>
    <row r="105" spans="1:17" ht="15">
      <c r="A105" s="1119"/>
      <c r="B105" s="1124"/>
      <c r="C105" s="1125">
        <v>100</v>
      </c>
      <c r="D105" s="1125">
        <f>C105-$K31</f>
        <v>100</v>
      </c>
      <c r="E105" s="1125">
        <f t="shared" ref="E105:M105" si="22">D105-$K31</f>
        <v>100</v>
      </c>
      <c r="F105" s="1125">
        <f t="shared" si="22"/>
        <v>100</v>
      </c>
      <c r="G105" s="1125">
        <f t="shared" si="22"/>
        <v>100</v>
      </c>
      <c r="H105" s="1125">
        <f t="shared" si="22"/>
        <v>100</v>
      </c>
      <c r="I105" s="1125">
        <f t="shared" si="22"/>
        <v>100</v>
      </c>
      <c r="J105" s="1125">
        <f t="shared" si="22"/>
        <v>100</v>
      </c>
      <c r="K105" s="1125">
        <f t="shared" si="22"/>
        <v>100</v>
      </c>
      <c r="L105" s="1125">
        <f t="shared" si="22"/>
        <v>100</v>
      </c>
      <c r="M105" s="1125">
        <f t="shared" si="22"/>
        <v>100</v>
      </c>
      <c r="N105" s="1178"/>
      <c r="O105" s="1178"/>
      <c r="P105" s="1176"/>
      <c r="Q105" s="1164"/>
    </row>
    <row r="106" spans="1:17" ht="27">
      <c r="A106" s="1119"/>
      <c r="B106" s="1122" t="s">
        <v>675</v>
      </c>
      <c r="C106" s="1130"/>
      <c r="D106" s="1130"/>
      <c r="E106" s="1130"/>
      <c r="F106" s="1130"/>
      <c r="G106" s="1130"/>
      <c r="H106" s="1147"/>
      <c r="I106" s="1147"/>
      <c r="J106" s="1147"/>
      <c r="K106" s="1206"/>
      <c r="L106" s="1207"/>
      <c r="M106" s="1208"/>
      <c r="N106" s="1175"/>
      <c r="O106" s="1175"/>
      <c r="P106" s="1176"/>
      <c r="Q106" s="1164"/>
    </row>
    <row r="107" spans="1:17" ht="15">
      <c r="A107" s="1119"/>
      <c r="B107" s="1124"/>
      <c r="C107" s="1125">
        <v>100</v>
      </c>
      <c r="D107" s="1125">
        <f>C107-$K32</f>
        <v>100</v>
      </c>
      <c r="E107" s="1125">
        <f t="shared" ref="E107:M107" si="23">D107-$K32</f>
        <v>100</v>
      </c>
      <c r="F107" s="1125">
        <f t="shared" si="23"/>
        <v>100</v>
      </c>
      <c r="G107" s="1125">
        <f t="shared" si="23"/>
        <v>100</v>
      </c>
      <c r="H107" s="1125">
        <f t="shared" si="23"/>
        <v>100</v>
      </c>
      <c r="I107" s="1125">
        <f t="shared" si="23"/>
        <v>100</v>
      </c>
      <c r="J107" s="1125">
        <f t="shared" si="23"/>
        <v>100</v>
      </c>
      <c r="K107" s="1125">
        <f t="shared" si="23"/>
        <v>100</v>
      </c>
      <c r="L107" s="1125">
        <f t="shared" si="23"/>
        <v>100</v>
      </c>
      <c r="M107" s="1125">
        <f t="shared" si="23"/>
        <v>100</v>
      </c>
      <c r="N107" s="1178"/>
      <c r="O107" s="1178"/>
      <c r="P107" s="1176"/>
      <c r="Q107" s="1164"/>
    </row>
    <row r="108" spans="1:17" ht="15">
      <c r="A108" s="1119"/>
      <c r="B108" s="1122" t="s">
        <v>680</v>
      </c>
      <c r="C108" s="1147"/>
      <c r="D108" s="1147"/>
      <c r="E108" s="1147"/>
      <c r="F108" s="1147"/>
      <c r="G108" s="1147"/>
      <c r="H108" s="1147"/>
      <c r="I108" s="1147"/>
      <c r="J108" s="1147"/>
      <c r="K108" s="1206"/>
      <c r="L108" s="1207"/>
      <c r="M108" s="1208"/>
      <c r="N108" s="1175"/>
      <c r="O108" s="1175"/>
      <c r="P108" s="1176"/>
      <c r="Q108" s="1164"/>
    </row>
    <row r="109" spans="1:17" ht="15">
      <c r="A109" s="1119"/>
      <c r="B109" s="1124"/>
      <c r="C109" s="1125">
        <v>100</v>
      </c>
      <c r="D109" s="1125">
        <f>C109-$K34</f>
        <v>100</v>
      </c>
      <c r="E109" s="1125">
        <f t="shared" ref="E109:M109" si="24">D109-$K34</f>
        <v>100</v>
      </c>
      <c r="F109" s="1125">
        <f t="shared" si="24"/>
        <v>100</v>
      </c>
      <c r="G109" s="1125">
        <f t="shared" si="24"/>
        <v>100</v>
      </c>
      <c r="H109" s="1125">
        <f t="shared" si="24"/>
        <v>100</v>
      </c>
      <c r="I109" s="1125">
        <f t="shared" si="24"/>
        <v>100</v>
      </c>
      <c r="J109" s="1125">
        <f t="shared" si="24"/>
        <v>100</v>
      </c>
      <c r="K109" s="1125">
        <f t="shared" si="24"/>
        <v>100</v>
      </c>
      <c r="L109" s="1125">
        <f t="shared" si="24"/>
        <v>100</v>
      </c>
      <c r="M109" s="1125">
        <f t="shared" si="24"/>
        <v>100</v>
      </c>
      <c r="N109" s="1178"/>
      <c r="O109" s="1178"/>
      <c r="P109" s="1176"/>
      <c r="Q109" s="1164"/>
    </row>
    <row r="110" spans="1:17" ht="15">
      <c r="A110" s="1119"/>
      <c r="B110" s="1126">
        <f>B35</f>
        <v>111</v>
      </c>
      <c r="C110" s="1130"/>
      <c r="D110" s="1130"/>
      <c r="E110" s="1130"/>
      <c r="F110" s="1130"/>
      <c r="G110" s="1148"/>
      <c r="H110" s="1148"/>
      <c r="I110" s="1148"/>
      <c r="J110" s="1148"/>
      <c r="K110" s="1209"/>
      <c r="L110" s="1210"/>
      <c r="M110" s="1211"/>
      <c r="N110" s="1175"/>
      <c r="O110" s="1175"/>
      <c r="P110" s="1176"/>
      <c r="Q110" s="1164"/>
    </row>
    <row r="111" spans="1:17" ht="15">
      <c r="A111" s="1119"/>
      <c r="B111" s="1136"/>
      <c r="C111" s="1132"/>
      <c r="D111" s="1132"/>
      <c r="E111" s="1132"/>
      <c r="F111" s="1132"/>
      <c r="G111" s="1149"/>
      <c r="H111" s="1149"/>
      <c r="I111" s="1149"/>
      <c r="J111" s="1149"/>
      <c r="K111" s="1149"/>
      <c r="L111" s="1149"/>
      <c r="M111" s="1212"/>
      <c r="N111" s="1178"/>
      <c r="O111" s="1178"/>
      <c r="P111" s="1176"/>
      <c r="Q111" s="1164"/>
    </row>
    <row r="112" spans="1:17">
      <c r="A112" s="962"/>
      <c r="B112" s="1122">
        <f>B36</f>
        <v>111</v>
      </c>
      <c r="C112" s="1114"/>
      <c r="D112" s="1114"/>
      <c r="E112" s="1114"/>
      <c r="F112" s="1114"/>
      <c r="G112" s="1147"/>
      <c r="H112" s="1147"/>
      <c r="I112" s="1147"/>
      <c r="J112" s="1147"/>
      <c r="K112" s="1206"/>
      <c r="L112" s="1207"/>
      <c r="M112" s="1208"/>
      <c r="N112" s="1175"/>
      <c r="O112" s="1175"/>
      <c r="P112" s="1176"/>
      <c r="Q112" s="1164"/>
    </row>
    <row r="113" spans="1:17" ht="15">
      <c r="A113" s="1119"/>
      <c r="B113" s="1124"/>
      <c r="C113" s="1137"/>
      <c r="D113" s="1137"/>
      <c r="E113" s="1137"/>
      <c r="F113" s="1137"/>
      <c r="G113" s="1121"/>
      <c r="H113" s="1121"/>
      <c r="I113" s="1121"/>
      <c r="J113" s="1121"/>
      <c r="K113" s="1121"/>
      <c r="L113" s="1121"/>
      <c r="M113" s="1177"/>
      <c r="N113" s="1178"/>
      <c r="O113" s="1178"/>
      <c r="P113" s="1176"/>
      <c r="Q113" s="1164"/>
    </row>
    <row r="114" spans="1:17" s="876" customFormat="1">
      <c r="A114" s="1150"/>
      <c r="B114" s="1151">
        <f>B37</f>
        <v>111</v>
      </c>
      <c r="C114" s="1106"/>
      <c r="D114" s="1106"/>
      <c r="E114" s="1106"/>
      <c r="F114" s="1106"/>
      <c r="G114" s="1106"/>
      <c r="H114" s="1106"/>
      <c r="I114" s="1106"/>
      <c r="J114" s="1213"/>
      <c r="K114" s="1213"/>
      <c r="L114" s="1214"/>
      <c r="M114" s="1215"/>
      <c r="N114" s="1188"/>
      <c r="O114" s="1188"/>
      <c r="P114" s="1189"/>
      <c r="Q114" s="1217"/>
    </row>
    <row r="115" spans="1:17" s="876" customFormat="1" ht="15">
      <c r="A115" s="1129"/>
      <c r="B115" s="1126"/>
      <c r="C115" s="1116"/>
      <c r="D115" s="1152"/>
      <c r="E115" s="1152"/>
      <c r="F115" s="1152"/>
      <c r="G115" s="1152"/>
      <c r="H115" s="1152"/>
      <c r="I115" s="1152"/>
      <c r="J115" s="1152"/>
      <c r="K115" s="1152"/>
      <c r="L115" s="1152"/>
      <c r="M115" s="1216"/>
      <c r="N115" s="1178"/>
      <c r="O115" s="1178"/>
      <c r="P115" s="1189"/>
      <c r="Q115" s="1217"/>
    </row>
    <row r="116" spans="1:17">
      <c r="A116" s="1117" t="s">
        <v>952</v>
      </c>
      <c r="B116" s="1118" t="s">
        <v>953</v>
      </c>
      <c r="C116" s="1140" t="str">
        <f>C117&amp;"(含)"&amp;"-"&amp;D117</f>
        <v>(含)-</v>
      </c>
      <c r="D116" s="1140" t="str">
        <f t="shared" ref="D116:M116" si="25">D117&amp;"(含)"&amp;"-"&amp;E117</f>
        <v>(含)-</v>
      </c>
      <c r="E116" s="1140" t="str">
        <f t="shared" si="25"/>
        <v>(含)-</v>
      </c>
      <c r="F116" s="1140" t="str">
        <f t="shared" si="25"/>
        <v>(含)-</v>
      </c>
      <c r="G116" s="1140" t="str">
        <f t="shared" si="25"/>
        <v>(含)-</v>
      </c>
      <c r="H116" s="1140" t="str">
        <f t="shared" si="25"/>
        <v>(含)-</v>
      </c>
      <c r="I116" s="1140" t="str">
        <f t="shared" si="25"/>
        <v>(含)-</v>
      </c>
      <c r="J116" s="1140" t="str">
        <f t="shared" si="25"/>
        <v>(含)-</v>
      </c>
      <c r="K116" s="1140" t="str">
        <f t="shared" si="25"/>
        <v>(含)-</v>
      </c>
      <c r="L116" s="1140" t="str">
        <f t="shared" si="25"/>
        <v>(含)-</v>
      </c>
      <c r="M116" s="1140" t="str">
        <f t="shared" si="25"/>
        <v>(含)-</v>
      </c>
      <c r="N116" s="1175"/>
      <c r="O116" s="1175"/>
      <c r="P116" s="1176"/>
      <c r="Q116" s="1164"/>
    </row>
    <row r="117" spans="1:17" ht="15">
      <c r="A117" s="1119"/>
      <c r="B117" s="1126"/>
      <c r="C117" s="1106"/>
      <c r="D117" s="1106"/>
      <c r="E117" s="1106"/>
      <c r="F117" s="1106"/>
      <c r="G117" s="1106"/>
      <c r="H117" s="1106"/>
      <c r="I117" s="1106"/>
      <c r="J117" s="1213"/>
      <c r="K117" s="1213"/>
      <c r="L117" s="1214"/>
      <c r="M117" s="1215"/>
      <c r="N117" s="1175"/>
      <c r="O117" s="1175"/>
      <c r="P117" s="1176"/>
      <c r="Q117" s="1164"/>
    </row>
    <row r="118" spans="1:17" ht="15">
      <c r="A118" s="1119"/>
      <c r="B118" s="1124"/>
      <c r="C118" s="1137"/>
      <c r="D118" s="1149"/>
      <c r="E118" s="1149"/>
      <c r="F118" s="1149"/>
      <c r="G118" s="1149"/>
      <c r="H118" s="1149"/>
      <c r="I118" s="1149"/>
      <c r="J118" s="1149"/>
      <c r="K118" s="1149"/>
      <c r="L118" s="1149"/>
      <c r="M118" s="1212"/>
      <c r="N118" s="1178"/>
      <c r="O118" s="1178"/>
      <c r="P118" s="1176"/>
      <c r="Q118" s="1164"/>
    </row>
    <row r="119" spans="1:17">
      <c r="A119" s="1153"/>
      <c r="B119" s="1122" t="s">
        <v>954</v>
      </c>
      <c r="C119" s="1147"/>
      <c r="D119" s="1147"/>
      <c r="E119" s="1147"/>
      <c r="F119" s="1147"/>
      <c r="G119" s="1147"/>
      <c r="H119" s="1147"/>
      <c r="I119" s="1147"/>
      <c r="J119" s="1147"/>
      <c r="K119" s="1206"/>
      <c r="L119" s="1207"/>
      <c r="M119" s="1208"/>
      <c r="N119" s="1175"/>
      <c r="O119" s="1175"/>
      <c r="P119" s="1176"/>
      <c r="Q119" s="1164"/>
    </row>
    <row r="120" spans="1:17" ht="15">
      <c r="A120" s="1119"/>
      <c r="B120" s="1124"/>
      <c r="C120" s="1125">
        <v>100</v>
      </c>
      <c r="D120" s="1125">
        <f t="shared" ref="D120:M120" si="26">C120-$K39</f>
        <v>100</v>
      </c>
      <c r="E120" s="1125">
        <f t="shared" si="26"/>
        <v>100</v>
      </c>
      <c r="F120" s="1125">
        <f t="shared" si="26"/>
        <v>100</v>
      </c>
      <c r="G120" s="1125">
        <f t="shared" si="26"/>
        <v>100</v>
      </c>
      <c r="H120" s="1125">
        <f t="shared" si="26"/>
        <v>100</v>
      </c>
      <c r="I120" s="1125">
        <f t="shared" si="26"/>
        <v>100</v>
      </c>
      <c r="J120" s="1125">
        <f t="shared" si="26"/>
        <v>100</v>
      </c>
      <c r="K120" s="1125">
        <f t="shared" si="26"/>
        <v>100</v>
      </c>
      <c r="L120" s="1125">
        <f t="shared" si="26"/>
        <v>100</v>
      </c>
      <c r="M120" s="1182">
        <f t="shared" si="26"/>
        <v>100</v>
      </c>
      <c r="N120" s="1178"/>
      <c r="O120" s="1178"/>
      <c r="P120" s="1176"/>
      <c r="Q120" s="1164"/>
    </row>
    <row r="121" spans="1:17">
      <c r="A121" s="1153"/>
      <c r="B121" s="1122" t="s">
        <v>1517</v>
      </c>
      <c r="C121" s="1130"/>
      <c r="D121" s="1130"/>
      <c r="E121" s="1130"/>
      <c r="F121" s="1147"/>
      <c r="G121" s="1147"/>
      <c r="H121" s="1147"/>
      <c r="I121" s="1147"/>
      <c r="J121" s="1147"/>
      <c r="K121" s="1206"/>
      <c r="L121" s="1207"/>
      <c r="M121" s="1208"/>
      <c r="N121" s="1175"/>
      <c r="O121" s="1175"/>
      <c r="P121" s="1176"/>
      <c r="Q121" s="1164"/>
    </row>
    <row r="122" spans="1:17" ht="15">
      <c r="A122" s="1119"/>
      <c r="B122" s="1124"/>
      <c r="C122" s="1125">
        <v>100</v>
      </c>
      <c r="D122" s="1125">
        <f t="shared" ref="D122:M122" si="27">C122-$K40</f>
        <v>100</v>
      </c>
      <c r="E122" s="1125">
        <f t="shared" si="27"/>
        <v>100</v>
      </c>
      <c r="F122" s="1125">
        <f t="shared" si="27"/>
        <v>100</v>
      </c>
      <c r="G122" s="1125">
        <f t="shared" si="27"/>
        <v>100</v>
      </c>
      <c r="H122" s="1125">
        <f t="shared" si="27"/>
        <v>100</v>
      </c>
      <c r="I122" s="1125">
        <f t="shared" si="27"/>
        <v>100</v>
      </c>
      <c r="J122" s="1125">
        <f t="shared" si="27"/>
        <v>100</v>
      </c>
      <c r="K122" s="1125">
        <f t="shared" si="27"/>
        <v>100</v>
      </c>
      <c r="L122" s="1125">
        <f t="shared" si="27"/>
        <v>100</v>
      </c>
      <c r="M122" s="1182">
        <f t="shared" si="27"/>
        <v>100</v>
      </c>
      <c r="N122" s="1178"/>
      <c r="O122" s="1178"/>
      <c r="P122" s="1176"/>
      <c r="Q122" s="1164"/>
    </row>
    <row r="123" spans="1:17" s="876" customFormat="1">
      <c r="A123" s="1150"/>
      <c r="B123" s="1122" t="s">
        <v>956</v>
      </c>
      <c r="C123" s="1130"/>
      <c r="D123" s="1130"/>
      <c r="E123" s="1130"/>
      <c r="F123" s="1130"/>
      <c r="G123" s="1130"/>
      <c r="H123" s="1147"/>
      <c r="I123" s="1147"/>
      <c r="J123" s="1147"/>
      <c r="K123" s="1206"/>
      <c r="L123" s="1207"/>
      <c r="M123" s="1208"/>
      <c r="N123" s="1188"/>
      <c r="O123" s="1188"/>
      <c r="P123" s="1189"/>
      <c r="Q123" s="1217"/>
    </row>
    <row r="124" spans="1:17" s="876" customFormat="1" ht="15">
      <c r="A124" s="1129"/>
      <c r="B124" s="1124"/>
      <c r="C124" s="1125">
        <v>100</v>
      </c>
      <c r="D124" s="1125">
        <f>C124-$K41</f>
        <v>100</v>
      </c>
      <c r="E124" s="1125">
        <f t="shared" ref="E124:M124" si="28">D124-$K41</f>
        <v>100</v>
      </c>
      <c r="F124" s="1125">
        <f t="shared" si="28"/>
        <v>100</v>
      </c>
      <c r="G124" s="1125">
        <f t="shared" si="28"/>
        <v>100</v>
      </c>
      <c r="H124" s="1125">
        <f t="shared" si="28"/>
        <v>100</v>
      </c>
      <c r="I124" s="1125">
        <f t="shared" si="28"/>
        <v>100</v>
      </c>
      <c r="J124" s="1125">
        <f t="shared" si="28"/>
        <v>100</v>
      </c>
      <c r="K124" s="1125">
        <f t="shared" si="28"/>
        <v>100</v>
      </c>
      <c r="L124" s="1125">
        <f t="shared" si="28"/>
        <v>100</v>
      </c>
      <c r="M124" s="1182">
        <f t="shared" si="28"/>
        <v>100</v>
      </c>
      <c r="N124" s="1188"/>
      <c r="O124" s="1188"/>
      <c r="P124" s="1189"/>
      <c r="Q124" s="1217"/>
    </row>
    <row r="125" spans="1:17">
      <c r="A125" s="1153"/>
      <c r="B125" s="1122" t="s">
        <v>957</v>
      </c>
      <c r="C125" s="1130"/>
      <c r="D125" s="1130"/>
      <c r="E125" s="1147"/>
      <c r="F125" s="1147"/>
      <c r="G125" s="1147"/>
      <c r="H125" s="1147"/>
      <c r="I125" s="1147"/>
      <c r="J125" s="1147"/>
      <c r="K125" s="1206"/>
      <c r="L125" s="1207"/>
      <c r="M125" s="1208"/>
      <c r="N125" s="1175"/>
      <c r="O125" s="1175"/>
      <c r="P125" s="1176"/>
      <c r="Q125" s="1164"/>
    </row>
    <row r="126" spans="1:17" ht="15">
      <c r="A126" s="1119"/>
      <c r="B126" s="1124"/>
      <c r="C126" s="1125">
        <v>100</v>
      </c>
      <c r="D126" s="1125">
        <f t="shared" ref="D126:M126" si="29">C126-$K42</f>
        <v>100</v>
      </c>
      <c r="E126" s="1125">
        <f t="shared" si="29"/>
        <v>100</v>
      </c>
      <c r="F126" s="1125">
        <f t="shared" si="29"/>
        <v>100</v>
      </c>
      <c r="G126" s="1125">
        <f t="shared" si="29"/>
        <v>100</v>
      </c>
      <c r="H126" s="1125">
        <f t="shared" si="29"/>
        <v>100</v>
      </c>
      <c r="I126" s="1125">
        <f t="shared" si="29"/>
        <v>100</v>
      </c>
      <c r="J126" s="1125">
        <f t="shared" si="29"/>
        <v>100</v>
      </c>
      <c r="K126" s="1125">
        <f t="shared" si="29"/>
        <v>100</v>
      </c>
      <c r="L126" s="1125">
        <f t="shared" si="29"/>
        <v>100</v>
      </c>
      <c r="M126" s="1182">
        <f t="shared" si="29"/>
        <v>100</v>
      </c>
      <c r="N126" s="1178"/>
      <c r="O126" s="1178"/>
      <c r="P126" s="1176"/>
      <c r="Q126" s="1164"/>
    </row>
    <row r="127" spans="1:17">
      <c r="A127" s="1153"/>
      <c r="B127" s="1122">
        <f>B43</f>
        <v>111</v>
      </c>
      <c r="C127" s="1130"/>
      <c r="D127" s="1130"/>
      <c r="E127" s="1130"/>
      <c r="F127" s="1130"/>
      <c r="G127" s="1130"/>
      <c r="H127" s="1147"/>
      <c r="I127" s="1147"/>
      <c r="J127" s="1147"/>
      <c r="K127" s="1206"/>
      <c r="L127" s="1207"/>
      <c r="M127" s="1208"/>
      <c r="N127" s="1175"/>
      <c r="O127" s="1175"/>
      <c r="P127" s="1176"/>
      <c r="Q127" s="1164"/>
    </row>
    <row r="128" spans="1:17" ht="15">
      <c r="A128" s="1119"/>
      <c r="B128" s="1124"/>
      <c r="C128" s="1132"/>
      <c r="D128" s="1132"/>
      <c r="E128" s="1132"/>
      <c r="F128" s="1132"/>
      <c r="G128" s="1121"/>
      <c r="H128" s="1121"/>
      <c r="I128" s="1121"/>
      <c r="J128" s="1121"/>
      <c r="K128" s="1121"/>
      <c r="L128" s="1121"/>
      <c r="M128" s="1177"/>
      <c r="N128" s="1178"/>
      <c r="O128" s="1178"/>
      <c r="P128" s="1176"/>
      <c r="Q128" s="1164"/>
    </row>
    <row r="129" spans="1:17">
      <c r="A129" s="1153"/>
      <c r="B129" s="1122">
        <f>B44</f>
        <v>111</v>
      </c>
      <c r="C129" s="1114"/>
      <c r="D129" s="1114"/>
      <c r="E129" s="1114"/>
      <c r="F129" s="1114"/>
      <c r="G129" s="1147"/>
      <c r="H129" s="1147"/>
      <c r="I129" s="1147"/>
      <c r="J129" s="1147"/>
      <c r="K129" s="1206"/>
      <c r="L129" s="1207"/>
      <c r="M129" s="1208"/>
      <c r="N129" s="1175"/>
      <c r="O129" s="1175"/>
      <c r="P129" s="1176"/>
      <c r="Q129" s="1164"/>
    </row>
    <row r="130" spans="1:17" ht="15">
      <c r="A130" s="1119"/>
      <c r="B130" s="1124"/>
      <c r="C130" s="1137"/>
      <c r="D130" s="1137"/>
      <c r="E130" s="1137"/>
      <c r="F130" s="1137"/>
      <c r="G130" s="1121"/>
      <c r="H130" s="1121"/>
      <c r="I130" s="1121"/>
      <c r="J130" s="1121"/>
      <c r="K130" s="1121"/>
      <c r="L130" s="1121"/>
      <c r="M130" s="1177"/>
      <c r="N130" s="1178"/>
      <c r="O130" s="1178"/>
      <c r="P130" s="1176"/>
      <c r="Q130" s="1164"/>
    </row>
    <row r="131" spans="1:17" s="876" customFormat="1">
      <c r="A131" s="1150"/>
      <c r="B131" s="1122">
        <f>B45</f>
        <v>111</v>
      </c>
      <c r="C131" s="1114"/>
      <c r="D131" s="1114"/>
      <c r="E131" s="1114"/>
      <c r="F131" s="1114"/>
      <c r="G131" s="1131"/>
      <c r="H131" s="1131"/>
      <c r="I131" s="1131"/>
      <c r="J131" s="1131"/>
      <c r="K131" s="1131"/>
      <c r="L131" s="1186"/>
      <c r="M131" s="1187"/>
      <c r="N131" s="1188"/>
      <c r="O131" s="1188"/>
      <c r="P131" s="1189"/>
      <c r="Q131" s="1217"/>
    </row>
    <row r="132" spans="1:17" s="876" customFormat="1" ht="15">
      <c r="A132" s="1135"/>
      <c r="B132" s="1219"/>
      <c r="C132" s="1137"/>
      <c r="D132" s="1137"/>
      <c r="E132" s="1137"/>
      <c r="F132" s="1137"/>
      <c r="G132" s="1149"/>
      <c r="H132" s="1149"/>
      <c r="I132" s="1149"/>
      <c r="J132" s="1149"/>
      <c r="K132" s="1149"/>
      <c r="L132" s="1149"/>
      <c r="M132" s="1212"/>
      <c r="N132" s="1188"/>
      <c r="O132" s="1188"/>
      <c r="P132" s="1189"/>
      <c r="Q132" s="121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1522</v>
      </c>
      <c r="B1" s="141"/>
      <c r="C1" s="144" t="s">
        <v>927</v>
      </c>
      <c r="D1" s="568">
        <f>SUM(D29:D30,D33:D39)</f>
        <v>0</v>
      </c>
      <c r="E1" s="569"/>
      <c r="F1" s="569"/>
      <c r="G1" s="569"/>
      <c r="H1" s="569"/>
      <c r="I1" s="569"/>
      <c r="J1" s="569"/>
      <c r="K1" s="561"/>
      <c r="L1" s="737" t="s">
        <v>1523</v>
      </c>
      <c r="M1" s="738">
        <f>SUMPRODUCT((区片价!B5:B9=I2)*(区片价!C3:F3=E2)*(区片价!C5:F9))</f>
        <v>0</v>
      </c>
      <c r="N1" s="739">
        <f>SUMPRODUCT((因素修正幅度!B5:B9=I2)*(因素修正幅度!C3:F3=E2)*(因素修正幅度!C5:F9))</f>
        <v>0</v>
      </c>
      <c r="O1" s="562"/>
      <c r="P1" s="562"/>
      <c r="Q1" s="561"/>
      <c r="R1" s="813" t="s">
        <v>1524</v>
      </c>
      <c r="S1" s="813" t="s">
        <v>1525</v>
      </c>
      <c r="T1" s="813" t="s">
        <v>1526</v>
      </c>
      <c r="U1" s="813" t="s">
        <v>1527</v>
      </c>
      <c r="V1" s="813" t="s">
        <v>1528</v>
      </c>
      <c r="W1" s="814"/>
      <c r="X1" s="814"/>
      <c r="Y1" s="814"/>
      <c r="Z1" s="814"/>
      <c r="AA1" s="814"/>
      <c r="AB1" s="814"/>
      <c r="AC1" s="822"/>
      <c r="AD1" s="823"/>
      <c r="AE1" s="823"/>
      <c r="AF1" s="823"/>
      <c r="AG1" s="823"/>
      <c r="AH1" s="823"/>
      <c r="AI1" s="823"/>
      <c r="AJ1" s="834"/>
    </row>
    <row r="2" spans="1:36" ht="15.75">
      <c r="A2" s="144" t="s">
        <v>925</v>
      </c>
      <c r="B2" s="148" t="e">
        <f>C26</f>
        <v>#DIV/0!</v>
      </c>
      <c r="C2" s="570" t="s">
        <v>1011</v>
      </c>
      <c r="D2" s="571" t="s">
        <v>1529</v>
      </c>
      <c r="E2" s="572"/>
      <c r="F2" s="571" t="s">
        <v>1530</v>
      </c>
      <c r="G2" s="573">
        <f>IF(E2="商业",项目基本情况!B37,IF(E2="办公",项目基本情况!C37,IF(E2="住宅",项目基本情况!D37,项目基本情况!E37)))</f>
        <v>0</v>
      </c>
      <c r="H2" s="571" t="s">
        <v>1531</v>
      </c>
      <c r="I2" s="573">
        <f>IF(E2="商业",项目基本情况!B38,IF(E2="办公",项目基本情况!C38,IF(E2="住宅",项目基本情况!D38,项目基本情况!E38)))</f>
        <v>0</v>
      </c>
      <c r="J2" s="740"/>
      <c r="K2" s="561"/>
      <c r="L2" s="741" t="s">
        <v>1532</v>
      </c>
      <c r="M2" s="742">
        <f>SUMPRODUCT((区片价!B10:B28=I2)*(区片价!C3:F3=E2)*(区片价!C10:F28))</f>
        <v>0</v>
      </c>
      <c r="N2" s="739">
        <f>SUMPRODUCT((因素修正幅度!B10:B28=I2)*(因素修正幅度!C3:F3=E2)*(因素修正幅度!C10:F28))</f>
        <v>0</v>
      </c>
      <c r="O2" s="561"/>
      <c r="P2" s="561"/>
      <c r="Q2" s="561"/>
      <c r="R2" s="813">
        <v>1</v>
      </c>
      <c r="S2" s="813">
        <f>ROUND(IF(G3&gt;1,IF(R2&lt;7,SUMPRODUCT((B93:B98=R2)*(C92:N92=G2)*(C93:N98)),SUMIF(C92:N92,G2,C100:N100)),IF(R2&lt;7,SUMPRODUCT((B102:B107=R2)*(C92:N92=G2)*(C102:N107)),SUMIF(C92:N92,G2,C109:N109))),4)</f>
        <v>0</v>
      </c>
      <c r="T2" s="813" t="e">
        <f>ROUND($C$5*$C$18*$C$19*$C$20*S2*$C$24,0)</f>
        <v>#DIV/0!</v>
      </c>
      <c r="U2" s="815"/>
      <c r="V2" s="813" t="e">
        <f>ROUND(T2*U2/10000,0)</f>
        <v>#DIV/0!</v>
      </c>
      <c r="W2" s="814"/>
      <c r="X2" s="814"/>
      <c r="Y2" s="814"/>
      <c r="Z2" s="814"/>
      <c r="AA2" s="814"/>
      <c r="AB2" s="814"/>
      <c r="AC2" s="822"/>
      <c r="AD2" s="823"/>
      <c r="AE2" s="823"/>
      <c r="AF2" s="823"/>
      <c r="AG2" s="823"/>
      <c r="AH2" s="823"/>
      <c r="AI2" s="823"/>
      <c r="AJ2" s="834"/>
    </row>
    <row r="3" spans="1:36" ht="15.75">
      <c r="A3" s="147" t="s">
        <v>926</v>
      </c>
      <c r="B3" s="148" t="e">
        <f>ROUND(B2*10000/D1,0)</f>
        <v>#DIV/0!</v>
      </c>
      <c r="C3" s="570" t="s">
        <v>1012</v>
      </c>
      <c r="D3" s="571" t="s">
        <v>1533</v>
      </c>
      <c r="E3" s="574"/>
      <c r="F3" s="575" t="s">
        <v>1534</v>
      </c>
      <c r="G3" s="576">
        <f>IF(F3="宗地容积率",'数据-汇总表'!I4,IF(F3="估价对象容积率",'数据-汇总表'!I6,'数据-汇总表'!I7))</f>
        <v>0.68</v>
      </c>
      <c r="H3" s="577" t="s">
        <v>1535</v>
      </c>
      <c r="I3" s="743"/>
      <c r="J3" s="740" t="s">
        <v>1536</v>
      </c>
      <c r="K3" s="561"/>
      <c r="L3" s="741" t="s">
        <v>1537</v>
      </c>
      <c r="M3" s="742">
        <f>SUMPRODUCT((区片价!B29:B48=I2)*(区片价!C3:F3=E2)*(区片价!C29:F48))</f>
        <v>0</v>
      </c>
      <c r="N3" s="739">
        <f>SUMPRODUCT((因素修正幅度!B29:B48=I2)*(因素修正幅度!C3:F3=E2)*(因素修正幅度!C29:F48))</f>
        <v>0</v>
      </c>
      <c r="O3" s="561"/>
      <c r="P3" s="561"/>
      <c r="Q3" s="561"/>
      <c r="R3" s="813">
        <v>2</v>
      </c>
      <c r="S3" s="813">
        <f>ROUND(IF(G3&gt;1,IF(R3&lt;7,SUMPRODUCT((B93:B98=R3)*(C92:N92=G2)*(C93:N98)),SUMIF(C92:N92,G2,C100:N100)),IF(R3&lt;7,SUMPRODUCT((B102:B107=R3)*(C92:N92=G2)*(C102:N107)),SUMIF(C92:N92,G2,C109:N109))),4)</f>
        <v>0</v>
      </c>
      <c r="T3" s="813" t="e">
        <f t="shared" ref="T3:T16" si="0">ROUND($C$5*$C$18*$C$19*$C$20*S3*$C$24,0)</f>
        <v>#DIV/0!</v>
      </c>
      <c r="U3" s="815"/>
      <c r="V3" s="813" t="e">
        <f t="shared" ref="V3:V16" si="1">ROUND(T3*U3/10000,0)</f>
        <v>#DIV/0!</v>
      </c>
      <c r="W3" s="814"/>
      <c r="X3" s="814"/>
      <c r="Y3" s="814"/>
      <c r="Z3" s="814"/>
      <c r="AA3" s="814"/>
      <c r="AB3" s="814"/>
      <c r="AC3" s="822"/>
      <c r="AD3" s="823"/>
      <c r="AE3" s="823"/>
      <c r="AF3" s="823"/>
      <c r="AG3" s="823"/>
      <c r="AH3" s="823"/>
      <c r="AI3" s="823"/>
      <c r="AJ3" s="834"/>
    </row>
    <row r="4" spans="1:36" ht="15.75">
      <c r="A4" s="3267"/>
      <c r="B4" s="3268"/>
      <c r="C4" s="3268"/>
      <c r="D4" s="3269"/>
      <c r="E4" s="3269"/>
      <c r="F4" s="3269"/>
      <c r="G4" s="3269"/>
      <c r="H4" s="3269"/>
      <c r="I4" s="3269"/>
      <c r="J4" s="3270"/>
      <c r="K4" s="561"/>
      <c r="L4" s="741" t="s">
        <v>1538</v>
      </c>
      <c r="M4" s="742">
        <f>SUMPRODUCT((区片价!B49:B75=I2)*(区片价!C3:F3=E2)*(区片价!C49:F75))</f>
        <v>0</v>
      </c>
      <c r="N4" s="739">
        <f>SUMPRODUCT((因素修正幅度!B49:B75=I2)*(因素修正幅度!C3:F3=E2)*(因素修正幅度!C49:F75))</f>
        <v>0</v>
      </c>
      <c r="O4" s="561"/>
      <c r="P4" s="561"/>
      <c r="Q4" s="561"/>
      <c r="R4" s="813">
        <v>3</v>
      </c>
      <c r="S4" s="813">
        <f>ROUND(IF(G3&gt;1,IF(R4&lt;7,SUMPRODUCT((B93:B98=R4)*(C92:N92=G2)*(C93:N98)),SUMIF(C92:N92,G2,C100:N100)),IF(R4&lt;7,SUMPRODUCT((B102:B107=R4)*(C92:N92=G2)*(C102:N107)),SUMIF(C92:N92,G2,C109:N109))),4)</f>
        <v>0</v>
      </c>
      <c r="T4" s="813" t="e">
        <f t="shared" si="0"/>
        <v>#DIV/0!</v>
      </c>
      <c r="U4" s="815"/>
      <c r="V4" s="813" t="e">
        <f t="shared" si="1"/>
        <v>#DIV/0!</v>
      </c>
      <c r="W4" s="814"/>
      <c r="X4" s="814"/>
      <c r="Y4" s="814"/>
      <c r="Z4" s="814"/>
      <c r="AA4" s="814"/>
      <c r="AB4" s="814"/>
      <c r="AC4" s="822"/>
      <c r="AD4" s="823"/>
      <c r="AE4" s="823"/>
      <c r="AF4" s="823"/>
      <c r="AG4" s="823"/>
      <c r="AH4" s="823"/>
      <c r="AI4" s="823"/>
      <c r="AJ4" s="834"/>
    </row>
    <row r="5" spans="1:36" s="560" customFormat="1" ht="15">
      <c r="A5" s="578" t="s">
        <v>830</v>
      </c>
      <c r="B5" s="579" t="s">
        <v>1539</v>
      </c>
      <c r="C5" s="580" t="e">
        <f>ROUND(IF(E2="商业",IF(F16="增加",C6*C7+C16,C6*C7-C16),IF(E2="住宅",IF(F16="增加",C6*C12+C16,C6*C12-C16),IF(F16="增加",C6+C16,C6-C16))),0)</f>
        <v>#DIV/0!</v>
      </c>
      <c r="D5" s="581" t="e">
        <f>ROUND(IF(F16="增加",C6+C16,C6-C16),0)</f>
        <v>#DIV/0!</v>
      </c>
      <c r="E5" s="581"/>
      <c r="F5" s="582"/>
      <c r="G5" s="583"/>
      <c r="H5" s="583"/>
      <c r="I5" s="583"/>
      <c r="J5" s="744"/>
      <c r="K5" s="745"/>
      <c r="L5" s="741" t="s">
        <v>1540</v>
      </c>
      <c r="M5" s="742">
        <f>SUMPRODUCT((区片价!B76:B109=I2)*(区片价!C3:F3=E2)*(区片价!C76:F109))</f>
        <v>0</v>
      </c>
      <c r="N5" s="739">
        <f>SUMPRODUCT((因素修正幅度!B76:B109=I2)*(因素修正幅度!C3:F3=E2)*(因素修正幅度!C76:F109))</f>
        <v>0</v>
      </c>
      <c r="O5" s="561"/>
      <c r="P5" s="561"/>
      <c r="Q5" s="561"/>
      <c r="R5" s="813">
        <v>4</v>
      </c>
      <c r="S5" s="813">
        <f>ROUND(IF(G3&gt;1,IF(R5&lt;7,SUMPRODUCT((B93:B98=R5)*(C92:N92=G2)*(C93:N98)),SUMIF(C92:N92,G2,C100:N100)),IF(R5&lt;7,SUMPRODUCT((B102:B107=R5)*(C92:N92=G2)*(C102:N107)),SUMIF(C92:N92,G2,C109:N109))),4)</f>
        <v>0</v>
      </c>
      <c r="T5" s="813" t="e">
        <f t="shared" si="0"/>
        <v>#DIV/0!</v>
      </c>
      <c r="U5" s="815"/>
      <c r="V5" s="813" t="e">
        <f t="shared" si="1"/>
        <v>#DIV/0!</v>
      </c>
      <c r="W5" s="814"/>
      <c r="X5" s="814"/>
      <c r="Y5" s="814"/>
      <c r="Z5" s="814"/>
      <c r="AA5" s="814"/>
      <c r="AB5" s="814"/>
      <c r="AC5" s="824"/>
      <c r="AD5" s="825"/>
      <c r="AE5" s="825"/>
      <c r="AF5" s="825"/>
      <c r="AG5" s="825"/>
      <c r="AH5" s="825"/>
      <c r="AI5" s="825"/>
      <c r="AJ5" s="835"/>
    </row>
    <row r="6" spans="1:36" ht="15">
      <c r="A6" s="584" t="s">
        <v>1014</v>
      </c>
      <c r="B6" s="585" t="s">
        <v>1541</v>
      </c>
      <c r="C6" s="586">
        <f>SUMIF(L1:L12,G2,M1:M12)</f>
        <v>0</v>
      </c>
      <c r="D6" s="587" t="s">
        <v>1542</v>
      </c>
      <c r="E6" s="588"/>
      <c r="F6" s="588"/>
      <c r="G6" s="589"/>
      <c r="H6" s="589"/>
      <c r="I6" s="589"/>
      <c r="J6" s="746"/>
      <c r="K6" s="747"/>
      <c r="L6" s="741" t="s">
        <v>1543</v>
      </c>
      <c r="M6" s="742">
        <f>SUMPRODUCT((区片价!B110:B157=I2)*(区片价!C3:F3=E2)*(区片价!C110:F157))</f>
        <v>0</v>
      </c>
      <c r="N6" s="739">
        <f>SUMPRODUCT((因素修正幅度!B110:B157=I2)*(因素修正幅度!C3:F3=E2)*(因素修正幅度!C110:F157))</f>
        <v>0</v>
      </c>
      <c r="O6" s="561"/>
      <c r="P6" s="561"/>
      <c r="Q6" s="561"/>
      <c r="R6" s="813">
        <v>5</v>
      </c>
      <c r="S6" s="813">
        <f>ROUND(IF(G3&gt;1,IF(R6&lt;7,SUMPRODUCT((B93:B98=R6)*(C92:N92=G2)*(C93:N98)),SUMIF(C92:N92,G2,C100:N100)),IF(R6&lt;7,SUMPRODUCT((B102:B107=R6)*(C92:N92=G2)*(C102:N107)),SUMIF(C92:N92,G2,C109:N109))),4)</f>
        <v>0</v>
      </c>
      <c r="T6" s="813" t="e">
        <f t="shared" si="0"/>
        <v>#DIV/0!</v>
      </c>
      <c r="U6" s="815"/>
      <c r="V6" s="813" t="e">
        <f t="shared" si="1"/>
        <v>#DIV/0!</v>
      </c>
      <c r="W6" s="814"/>
      <c r="X6" s="814"/>
      <c r="Y6" s="814"/>
      <c r="Z6" s="814"/>
      <c r="AA6" s="814"/>
      <c r="AB6" s="814"/>
      <c r="AC6" s="824"/>
      <c r="AD6" s="825"/>
      <c r="AE6" s="825"/>
      <c r="AF6" s="825"/>
      <c r="AG6" s="825"/>
      <c r="AH6" s="825"/>
      <c r="AI6" s="825"/>
      <c r="AJ6" s="835"/>
    </row>
    <row r="7" spans="1:36" ht="24">
      <c r="A7" s="3275" t="str">
        <f>IF(E2="商业",IF(C8="不临58条商业街","",2),"")</f>
        <v/>
      </c>
      <c r="B7" s="590" t="s">
        <v>1544</v>
      </c>
      <c r="C7" s="591" t="e">
        <f>IF(C8="不临58条商业街",1,ROUND(1+(1.6*E8+1.2*E9+0.8*E10+0.4*E11)*C9,4))</f>
        <v>#DIV/0!</v>
      </c>
      <c r="D7" s="592" t="s">
        <v>1545</v>
      </c>
      <c r="E7" s="593"/>
      <c r="F7" s="594"/>
      <c r="G7" s="595"/>
      <c r="H7" s="595"/>
      <c r="I7" s="595"/>
      <c r="J7" s="748"/>
      <c r="K7" s="747"/>
      <c r="L7" s="741" t="s">
        <v>1546</v>
      </c>
      <c r="M7" s="742">
        <f>SUMPRODUCT((区片价!B158:B205=I2)*(区片价!C3:F3=E2)*(区片价!C158:F205))</f>
        <v>0</v>
      </c>
      <c r="N7" s="739">
        <f>SUMPRODUCT((因素修正幅度!B158:B205=I2)*(因素修正幅度!C3:F3=E2)*(因素修正幅度!C158:F205))</f>
        <v>0</v>
      </c>
      <c r="O7" s="561"/>
      <c r="P7" s="561"/>
      <c r="Q7" s="561"/>
      <c r="R7" s="813">
        <v>6</v>
      </c>
      <c r="S7" s="813">
        <f>ROUND(IF(G3&gt;1,IF(R7&lt;7,SUMPRODUCT((B93:B98=R7)*(C92:N92=G2)*(C93:N98)),SUMIF(C92:N92,G2,C100:N100)),IF(R7&lt;7,SUMPRODUCT((B102:B107=R7)*(C92:N92=G2)*(C102:N107)),SUMIF(C92:N92,G2,C109:N109))),4)</f>
        <v>0</v>
      </c>
      <c r="T7" s="813" t="e">
        <f t="shared" si="0"/>
        <v>#DIV/0!</v>
      </c>
      <c r="U7" s="815"/>
      <c r="V7" s="813" t="e">
        <f t="shared" si="1"/>
        <v>#DIV/0!</v>
      </c>
      <c r="W7" s="816" t="s">
        <v>1547</v>
      </c>
      <c r="X7" s="817">
        <f>G2</f>
        <v>0</v>
      </c>
      <c r="Y7" s="817" t="s">
        <v>1548</v>
      </c>
      <c r="Z7" s="826">
        <f>G3</f>
        <v>0.68</v>
      </c>
      <c r="AA7" s="814"/>
      <c r="AB7" s="814"/>
      <c r="AC7" s="822"/>
      <c r="AD7" s="823"/>
      <c r="AE7" s="823"/>
      <c r="AF7" s="823"/>
      <c r="AG7" s="823"/>
      <c r="AH7" s="823"/>
      <c r="AI7" s="823"/>
      <c r="AJ7" s="834"/>
    </row>
    <row r="8" spans="1:36" ht="15">
      <c r="A8" s="3276"/>
      <c r="B8" s="577" t="s">
        <v>1549</v>
      </c>
      <c r="C8" s="596"/>
      <c r="D8" s="597" t="s">
        <v>1550</v>
      </c>
      <c r="E8" s="598" t="e">
        <f>ROUND(C11/E7,4)</f>
        <v>#DIV/0!</v>
      </c>
      <c r="F8" s="599" t="s">
        <v>1551</v>
      </c>
      <c r="G8" s="600"/>
      <c r="H8" s="600"/>
      <c r="I8" s="600"/>
      <c r="J8" s="749"/>
      <c r="K8" s="561"/>
      <c r="L8" s="741" t="s">
        <v>1552</v>
      </c>
      <c r="M8" s="742">
        <f>SUMPRODUCT((区片价!B206:B244=I2)*(区片价!C3:F3=E2)*(区片价!C206:F244))</f>
        <v>0</v>
      </c>
      <c r="N8" s="739">
        <f>SUMPRODUCT((因素修正幅度!B206:B244=I2)*(因素修正幅度!C3:F3=E2)*(因素修正幅度!C206:F244))</f>
        <v>0</v>
      </c>
      <c r="O8" s="561"/>
      <c r="P8" s="561"/>
      <c r="Q8" s="561"/>
      <c r="R8" s="813">
        <v>7</v>
      </c>
      <c r="S8" s="815"/>
      <c r="T8" s="813" t="e">
        <f t="shared" si="0"/>
        <v>#DIV/0!</v>
      </c>
      <c r="U8" s="815"/>
      <c r="V8" s="813" t="e">
        <f t="shared" si="1"/>
        <v>#DIV/0!</v>
      </c>
      <c r="W8" s="3271" t="s">
        <v>1553</v>
      </c>
      <c r="X8" s="3272"/>
      <c r="Y8" s="827" t="s">
        <v>1554</v>
      </c>
      <c r="Z8" s="827" t="s">
        <v>1555</v>
      </c>
      <c r="AA8" s="827" t="s">
        <v>1556</v>
      </c>
      <c r="AB8" s="827" t="s">
        <v>1557</v>
      </c>
      <c r="AC8" s="827" t="s">
        <v>1558</v>
      </c>
      <c r="AD8" s="827" t="s">
        <v>1559</v>
      </c>
      <c r="AE8" s="827" t="s">
        <v>1560</v>
      </c>
      <c r="AF8" s="827" t="s">
        <v>1561</v>
      </c>
      <c r="AG8" s="827" t="s">
        <v>1562</v>
      </c>
      <c r="AH8" s="827" t="s">
        <v>1563</v>
      </c>
      <c r="AI8" s="827" t="s">
        <v>1564</v>
      </c>
      <c r="AJ8" s="827" t="s">
        <v>1565</v>
      </c>
    </row>
    <row r="9" spans="1:36" ht="15">
      <c r="A9" s="3276"/>
      <c r="B9" s="577" t="s">
        <v>1566</v>
      </c>
      <c r="C9" s="601">
        <f>SUMIF(修正!C59:C119,C8,修正!E59:E119)</f>
        <v>0</v>
      </c>
      <c r="D9" s="602" t="s">
        <v>1567</v>
      </c>
      <c r="E9" s="602" t="e">
        <f>ROUND(C11/E7,4)</f>
        <v>#DIV/0!</v>
      </c>
      <c r="F9" s="599" t="s">
        <v>1568</v>
      </c>
      <c r="G9" s="600"/>
      <c r="H9" s="600"/>
      <c r="I9" s="600"/>
      <c r="J9" s="749"/>
      <c r="K9" s="561"/>
      <c r="L9" s="741" t="s">
        <v>1569</v>
      </c>
      <c r="M9" s="742">
        <f>SUMPRODUCT((区片价!B245:B289=I2)*(区片价!C3:F3=E2)*(区片价!C245:F289))</f>
        <v>0</v>
      </c>
      <c r="N9" s="739">
        <f>SUMPRODUCT((因素修正幅度!B245:B289=I2)*(因素修正幅度!C3:F3=E2)*(因素修正幅度!C245:F289))</f>
        <v>0</v>
      </c>
      <c r="O9" s="561"/>
      <c r="P9" s="561"/>
      <c r="Q9" s="561"/>
      <c r="R9" s="813">
        <v>8</v>
      </c>
      <c r="S9" s="815"/>
      <c r="T9" s="813" t="e">
        <f t="shared" si="0"/>
        <v>#DIV/0!</v>
      </c>
      <c r="U9" s="815"/>
      <c r="V9" s="813" t="e">
        <f t="shared" si="1"/>
        <v>#DIV/0!</v>
      </c>
      <c r="W9" s="3286" t="s">
        <v>1570</v>
      </c>
      <c r="X9" s="818" t="s">
        <v>1571</v>
      </c>
      <c r="Y9" s="828"/>
      <c r="Z9" s="829">
        <f>$Y$9</f>
        <v>0</v>
      </c>
      <c r="AA9" s="829">
        <f t="shared" ref="AA9:AJ9" si="2">$Y$9</f>
        <v>0</v>
      </c>
      <c r="AB9" s="829">
        <f t="shared" si="2"/>
        <v>0</v>
      </c>
      <c r="AC9" s="829">
        <f t="shared" si="2"/>
        <v>0</v>
      </c>
      <c r="AD9" s="829">
        <f t="shared" si="2"/>
        <v>0</v>
      </c>
      <c r="AE9" s="829">
        <f t="shared" si="2"/>
        <v>0</v>
      </c>
      <c r="AF9" s="829">
        <f t="shared" si="2"/>
        <v>0</v>
      </c>
      <c r="AG9" s="829">
        <f t="shared" si="2"/>
        <v>0</v>
      </c>
      <c r="AH9" s="829">
        <f t="shared" si="2"/>
        <v>0</v>
      </c>
      <c r="AI9" s="829">
        <f t="shared" si="2"/>
        <v>0</v>
      </c>
      <c r="AJ9" s="829">
        <f t="shared" si="2"/>
        <v>0</v>
      </c>
    </row>
    <row r="10" spans="1:36" ht="15">
      <c r="A10" s="3276"/>
      <c r="B10" s="577" t="s">
        <v>1572</v>
      </c>
      <c r="C10" s="602">
        <f>SUMIF(修正!C59:C119,C8,修正!F59:F119)</f>
        <v>0</v>
      </c>
      <c r="D10" s="602" t="s">
        <v>1573</v>
      </c>
      <c r="E10" s="602" t="e">
        <f>ROUND(C11/E7,4)</f>
        <v>#DIV/0!</v>
      </c>
      <c r="F10" s="599" t="s">
        <v>1574</v>
      </c>
      <c r="G10" s="600"/>
      <c r="H10" s="600"/>
      <c r="I10" s="600"/>
      <c r="J10" s="749"/>
      <c r="K10" s="561"/>
      <c r="L10" s="741" t="s">
        <v>1575</v>
      </c>
      <c r="M10" s="742">
        <f>SUMPRODUCT((区片价!B290:B316=I2)*(区片价!C3:F3=E2)*(区片价!C290:F316))</f>
        <v>0</v>
      </c>
      <c r="N10" s="739">
        <f>SUMPRODUCT((因素修正幅度!B290:B316=I2)*(因素修正幅度!C3:F3=E2)*(因素修正幅度!C290:F316))</f>
        <v>0</v>
      </c>
      <c r="O10" s="561"/>
      <c r="P10" s="561"/>
      <c r="Q10" s="561"/>
      <c r="R10" s="813">
        <v>9</v>
      </c>
      <c r="S10" s="815"/>
      <c r="T10" s="813" t="e">
        <f t="shared" si="0"/>
        <v>#DIV/0!</v>
      </c>
      <c r="U10" s="815"/>
      <c r="V10" s="813" t="e">
        <f t="shared" si="1"/>
        <v>#DIV/0!</v>
      </c>
      <c r="W10" s="3286"/>
      <c r="X10" s="818">
        <v>7</v>
      </c>
      <c r="Y10" s="830">
        <f>(-0.163*(Y9^2)-0.59*Y9+7617)*(10^(-4))</f>
        <v>0.76170000000000004</v>
      </c>
      <c r="Z10" s="830">
        <f>(-0.163*(Z9^2)-0.59*Z9+7617)*(10^(-4))</f>
        <v>0.76170000000000004</v>
      </c>
      <c r="AA10" s="830">
        <f>(-0.161*(AA9^2)-7.509*AA9+6533)*(10^(-4))</f>
        <v>0.65329999999999999</v>
      </c>
      <c r="AB10" s="830">
        <f>(-0.161*(AB9^2)-7.509*AB9+6533)*(10^(-4))</f>
        <v>0.65329999999999999</v>
      </c>
      <c r="AC10" s="830">
        <f>(-0.161*(AC9^2)-7.509*AC9+6533)*(10^(-4))</f>
        <v>0.65329999999999999</v>
      </c>
      <c r="AD10" s="830">
        <f>(-0.161*(AD9^2)-7.509*AD9+6533)*(10^(-4))</f>
        <v>0.65329999999999999</v>
      </c>
      <c r="AE10" s="830">
        <f>(-0.161*(AE9^2)-7.509*AE9+6533)*(10^(-4))</f>
        <v>0.65329999999999999</v>
      </c>
      <c r="AF10" s="830">
        <f>(-0.214*(AF9^2)-21.991*AF9+4665)*(10^(-4))</f>
        <v>0.46650000000000003</v>
      </c>
      <c r="AG10" s="830">
        <f>(-0.214*(AG9^2)-21.991*AG9+4665)*(10^(-4))</f>
        <v>0.46650000000000003</v>
      </c>
      <c r="AH10" s="830">
        <f>(-0.214*(AH9^2)-21.991*AH9+4665)*(10^(-4))</f>
        <v>0.46650000000000003</v>
      </c>
      <c r="AI10" s="830">
        <f>(-0.214*(AI9^2)-21.991*AI9+4665)*(10^(-4))</f>
        <v>0.46650000000000003</v>
      </c>
      <c r="AJ10" s="830">
        <f>(-0.214*(AJ9^2)-21.991*AJ9+4665)*(10^(-4))</f>
        <v>0.46650000000000003</v>
      </c>
    </row>
    <row r="11" spans="1:36" ht="15">
      <c r="A11" s="3276"/>
      <c r="B11" s="603" t="s">
        <v>1576</v>
      </c>
      <c r="C11" s="604">
        <f>C10/4</f>
        <v>0</v>
      </c>
      <c r="D11" s="604" t="s">
        <v>1577</v>
      </c>
      <c r="E11" s="604" t="e">
        <f>ROUND(C11/E7,4)</f>
        <v>#DIV/0!</v>
      </c>
      <c r="F11" s="605" t="s">
        <v>1578</v>
      </c>
      <c r="G11" s="606"/>
      <c r="H11" s="606"/>
      <c r="I11" s="606"/>
      <c r="J11" s="750"/>
      <c r="K11" s="561"/>
      <c r="L11" s="741" t="s">
        <v>1579</v>
      </c>
      <c r="M11" s="742">
        <f>SUMPRODUCT((区片价!B317:B337=I2)*(区片价!C3:F3=E2)*(区片价!C317:F337))</f>
        <v>0</v>
      </c>
      <c r="N11" s="739">
        <f>SUMPRODUCT((因素修正幅度!B317:B337=I2)*(因素修正幅度!C3:F3=E2)*(因素修正幅度!C317:F337))</f>
        <v>0</v>
      </c>
      <c r="O11" s="561"/>
      <c r="P11" s="561"/>
      <c r="Q11" s="561"/>
      <c r="R11" s="813">
        <v>10</v>
      </c>
      <c r="S11" s="815"/>
      <c r="T11" s="813" t="e">
        <f t="shared" si="0"/>
        <v>#DIV/0!</v>
      </c>
      <c r="U11" s="815"/>
      <c r="V11" s="813" t="e">
        <f t="shared" si="1"/>
        <v>#DIV/0!</v>
      </c>
      <c r="W11" s="3286" t="s">
        <v>1580</v>
      </c>
      <c r="X11" s="819" t="s">
        <v>1548</v>
      </c>
      <c r="Y11" s="831">
        <f>$G$3</f>
        <v>0.68</v>
      </c>
      <c r="Z11" s="831">
        <f t="shared" ref="Z11:AJ11" si="3">$G$3</f>
        <v>0.68</v>
      </c>
      <c r="AA11" s="831">
        <f t="shared" si="3"/>
        <v>0.68</v>
      </c>
      <c r="AB11" s="831">
        <f t="shared" si="3"/>
        <v>0.68</v>
      </c>
      <c r="AC11" s="831">
        <f t="shared" si="3"/>
        <v>0.68</v>
      </c>
      <c r="AD11" s="831">
        <f t="shared" si="3"/>
        <v>0.68</v>
      </c>
      <c r="AE11" s="831">
        <f t="shared" si="3"/>
        <v>0.68</v>
      </c>
      <c r="AF11" s="831">
        <f t="shared" si="3"/>
        <v>0.68</v>
      </c>
      <c r="AG11" s="831">
        <f t="shared" si="3"/>
        <v>0.68</v>
      </c>
      <c r="AH11" s="831">
        <f t="shared" si="3"/>
        <v>0.68</v>
      </c>
      <c r="AI11" s="831">
        <f t="shared" si="3"/>
        <v>0.68</v>
      </c>
      <c r="AJ11" s="831">
        <f t="shared" si="3"/>
        <v>0.68</v>
      </c>
    </row>
    <row r="12" spans="1:36" ht="24.75">
      <c r="A12" s="3275" t="s">
        <v>1581</v>
      </c>
      <c r="B12" s="607" t="s">
        <v>1582</v>
      </c>
      <c r="C12" s="591">
        <f>ROUND(C15*D15*E15*F15*G15*H15*I15*J15,4)</f>
        <v>1</v>
      </c>
      <c r="D12" s="608" t="s">
        <v>1583</v>
      </c>
      <c r="E12" s="609"/>
      <c r="F12" s="609"/>
      <c r="G12" s="610"/>
      <c r="H12" s="610"/>
      <c r="I12" s="610"/>
      <c r="J12" s="751"/>
      <c r="K12" s="561"/>
      <c r="L12" s="752" t="s">
        <v>1584</v>
      </c>
      <c r="M12" s="753">
        <f>SUMPRODUCT((区片价!B338:B344=I2)*(区片价!C3:F3=E2)*(区片价!C338:F344))</f>
        <v>0</v>
      </c>
      <c r="N12" s="739">
        <f>SUMPRODUCT((因素修正幅度!B338:B344=I2)*(因素修正幅度!C3:F3=E2)*(因素修正幅度!C338:F344))</f>
        <v>0</v>
      </c>
      <c r="O12" s="561"/>
      <c r="P12" s="561"/>
      <c r="Q12" s="561"/>
      <c r="R12" s="813">
        <v>11</v>
      </c>
      <c r="S12" s="815"/>
      <c r="T12" s="813" t="e">
        <f t="shared" si="0"/>
        <v>#DIV/0!</v>
      </c>
      <c r="U12" s="815"/>
      <c r="V12" s="813" t="e">
        <f t="shared" si="1"/>
        <v>#DIV/0!</v>
      </c>
      <c r="W12" s="3286"/>
      <c r="X12" s="820" t="s">
        <v>1585</v>
      </c>
      <c r="Y12" s="829">
        <f t="shared" ref="Y12:AJ12" si="4">Y9</f>
        <v>0</v>
      </c>
      <c r="Z12" s="829">
        <f t="shared" si="4"/>
        <v>0</v>
      </c>
      <c r="AA12" s="829">
        <f t="shared" si="4"/>
        <v>0</v>
      </c>
      <c r="AB12" s="829">
        <f t="shared" si="4"/>
        <v>0</v>
      </c>
      <c r="AC12" s="829">
        <f t="shared" si="4"/>
        <v>0</v>
      </c>
      <c r="AD12" s="829">
        <f t="shared" si="4"/>
        <v>0</v>
      </c>
      <c r="AE12" s="829">
        <f t="shared" si="4"/>
        <v>0</v>
      </c>
      <c r="AF12" s="829">
        <f t="shared" si="4"/>
        <v>0</v>
      </c>
      <c r="AG12" s="829">
        <f t="shared" si="4"/>
        <v>0</v>
      </c>
      <c r="AH12" s="829">
        <f t="shared" si="4"/>
        <v>0</v>
      </c>
      <c r="AI12" s="829">
        <f t="shared" si="4"/>
        <v>0</v>
      </c>
      <c r="AJ12" s="829">
        <f t="shared" si="4"/>
        <v>0</v>
      </c>
    </row>
    <row r="13" spans="1:36" ht="24">
      <c r="A13" s="3277"/>
      <c r="B13" s="611" t="s">
        <v>1586</v>
      </c>
      <c r="C13" s="612" t="s">
        <v>1587</v>
      </c>
      <c r="D13" s="613" t="s">
        <v>1588</v>
      </c>
      <c r="E13" s="613" t="s">
        <v>1589</v>
      </c>
      <c r="F13" s="614" t="s">
        <v>1590</v>
      </c>
      <c r="G13" s="615" t="s">
        <v>1591</v>
      </c>
      <c r="H13" s="615" t="s">
        <v>1591</v>
      </c>
      <c r="I13" s="615" t="s">
        <v>1591</v>
      </c>
      <c r="J13" s="754" t="s">
        <v>1591</v>
      </c>
      <c r="K13" s="561"/>
      <c r="L13" s="561"/>
      <c r="M13" s="561"/>
      <c r="N13" s="561"/>
      <c r="O13" s="561"/>
      <c r="P13" s="561"/>
      <c r="Q13" s="561"/>
      <c r="R13" s="813">
        <v>12</v>
      </c>
      <c r="S13" s="815"/>
      <c r="T13" s="813" t="e">
        <f t="shared" si="0"/>
        <v>#DIV/0!</v>
      </c>
      <c r="U13" s="815"/>
      <c r="V13" s="813" t="e">
        <f t="shared" si="1"/>
        <v>#DIV/0!</v>
      </c>
      <c r="W13" s="3286"/>
      <c r="X13" s="820"/>
      <c r="Y13" s="830">
        <f>(-0.163*(Y12^2)-0.59*Y12+7617)*(10^(-4))/Y11</f>
        <v>1.1201470588235294</v>
      </c>
      <c r="Z13" s="830">
        <f t="shared" ref="Z13:AJ13" si="5">(-0.163*(Z12^2)-0.59*Z12+7617)*(10^(-4))/Z11</f>
        <v>1.1201470588235294</v>
      </c>
      <c r="AA13" s="830">
        <f t="shared" si="5"/>
        <v>1.1201470588235294</v>
      </c>
      <c r="AB13" s="830">
        <f t="shared" si="5"/>
        <v>1.1201470588235294</v>
      </c>
      <c r="AC13" s="830">
        <f t="shared" si="5"/>
        <v>1.1201470588235294</v>
      </c>
      <c r="AD13" s="830">
        <f t="shared" si="5"/>
        <v>1.1201470588235294</v>
      </c>
      <c r="AE13" s="830">
        <f t="shared" si="5"/>
        <v>1.1201470588235294</v>
      </c>
      <c r="AF13" s="830">
        <f t="shared" si="5"/>
        <v>1.1201470588235294</v>
      </c>
      <c r="AG13" s="830">
        <f t="shared" si="5"/>
        <v>1.1201470588235294</v>
      </c>
      <c r="AH13" s="830">
        <f t="shared" si="5"/>
        <v>1.1201470588235294</v>
      </c>
      <c r="AI13" s="830">
        <f t="shared" si="5"/>
        <v>1.1201470588235294</v>
      </c>
      <c r="AJ13" s="830">
        <f t="shared" si="5"/>
        <v>1.1201470588235294</v>
      </c>
    </row>
    <row r="14" spans="1:36" ht="15">
      <c r="A14" s="3277"/>
      <c r="B14" s="616"/>
      <c r="C14" s="617"/>
      <c r="D14" s="618"/>
      <c r="E14" s="618"/>
      <c r="F14" s="619"/>
      <c r="G14" s="620" t="s">
        <v>1592</v>
      </c>
      <c r="H14" s="621"/>
      <c r="I14" s="755"/>
      <c r="J14" s="756"/>
      <c r="K14" s="561"/>
      <c r="L14" s="561"/>
      <c r="M14" s="561"/>
      <c r="N14" s="561"/>
      <c r="O14" s="561"/>
      <c r="P14" s="561"/>
      <c r="Q14" s="561"/>
      <c r="R14" s="813">
        <v>13</v>
      </c>
      <c r="S14" s="815"/>
      <c r="T14" s="813" t="e">
        <f t="shared" si="0"/>
        <v>#DIV/0!</v>
      </c>
      <c r="U14" s="815"/>
      <c r="V14" s="813" t="e">
        <f t="shared" si="1"/>
        <v>#DIV/0!</v>
      </c>
      <c r="W14" s="814"/>
      <c r="X14" s="814"/>
      <c r="Y14" s="814"/>
      <c r="Z14" s="814"/>
      <c r="AA14" s="814"/>
      <c r="AB14" s="814"/>
      <c r="AC14" s="822"/>
      <c r="AD14" s="823"/>
      <c r="AE14" s="823"/>
      <c r="AF14" s="823"/>
      <c r="AG14" s="823"/>
      <c r="AH14" s="823"/>
      <c r="AI14" s="823"/>
      <c r="AJ14" s="834"/>
    </row>
    <row r="15" spans="1:36" ht="15">
      <c r="A15" s="3278"/>
      <c r="B15" s="622" t="s">
        <v>1593</v>
      </c>
      <c r="C15" s="623">
        <f>IF(C14="有",1.1,1)</f>
        <v>1</v>
      </c>
      <c r="D15" s="623">
        <f>IF(D14="有",1.1,1)</f>
        <v>1</v>
      </c>
      <c r="E15" s="623">
        <f>IF(E14="有",1.1,1)</f>
        <v>1</v>
      </c>
      <c r="F15" s="623">
        <f>IF(F14="500米范围内",1.2,IF(F14="500-1000米",1.1,1))</f>
        <v>1</v>
      </c>
      <c r="G15" s="624">
        <v>1</v>
      </c>
      <c r="H15" s="624">
        <v>1</v>
      </c>
      <c r="I15" s="624">
        <v>1</v>
      </c>
      <c r="J15" s="757">
        <v>1</v>
      </c>
      <c r="K15" s="561"/>
      <c r="L15" s="758" t="s">
        <v>1529</v>
      </c>
      <c r="M15" s="597" t="s">
        <v>1594</v>
      </c>
      <c r="N15" s="597" t="s">
        <v>1595</v>
      </c>
      <c r="O15" s="597" t="s">
        <v>1596</v>
      </c>
      <c r="P15" s="759" t="s">
        <v>1597</v>
      </c>
      <c r="Q15" s="561"/>
      <c r="R15" s="813">
        <v>14</v>
      </c>
      <c r="S15" s="815"/>
      <c r="T15" s="813" t="e">
        <f t="shared" si="0"/>
        <v>#DIV/0!</v>
      </c>
      <c r="U15" s="815"/>
      <c r="V15" s="813" t="e">
        <f t="shared" si="1"/>
        <v>#DIV/0!</v>
      </c>
      <c r="W15" s="814"/>
      <c r="X15" s="814"/>
      <c r="Y15" s="814"/>
      <c r="Z15" s="814"/>
      <c r="AA15" s="814"/>
      <c r="AB15" s="814"/>
      <c r="AC15" s="822"/>
      <c r="AD15" s="823"/>
      <c r="AE15" s="823"/>
      <c r="AF15" s="823"/>
      <c r="AG15" s="823"/>
      <c r="AH15" s="823"/>
      <c r="AI15" s="823"/>
      <c r="AJ15" s="834"/>
    </row>
    <row r="16" spans="1:36" ht="24">
      <c r="A16" s="3275" t="s">
        <v>1598</v>
      </c>
      <c r="B16" s="590" t="s">
        <v>1599</v>
      </c>
      <c r="C16" s="625" t="e">
        <f>ROUND(SUM(G17:J17)/C17,0)</f>
        <v>#DIV/0!</v>
      </c>
      <c r="D16" s="626" t="s">
        <v>1600</v>
      </c>
      <c r="E16" s="627"/>
      <c r="F16" s="628"/>
      <c r="G16" s="629"/>
      <c r="H16" s="629"/>
      <c r="I16" s="629"/>
      <c r="J16" s="760"/>
      <c r="K16" s="561"/>
      <c r="L16" s="761" t="s">
        <v>1601</v>
      </c>
      <c r="M16" s="601">
        <v>0.25</v>
      </c>
      <c r="N16" s="601">
        <v>0.2</v>
      </c>
      <c r="O16" s="601">
        <v>0.15</v>
      </c>
      <c r="P16" s="762">
        <v>0.1</v>
      </c>
      <c r="Q16" s="561"/>
      <c r="R16" s="813">
        <v>15</v>
      </c>
      <c r="S16" s="815"/>
      <c r="T16" s="813" t="e">
        <f t="shared" si="0"/>
        <v>#DIV/0!</v>
      </c>
      <c r="U16" s="815"/>
      <c r="V16" s="813" t="e">
        <f t="shared" si="1"/>
        <v>#DIV/0!</v>
      </c>
      <c r="W16" s="814"/>
      <c r="X16" s="814"/>
      <c r="Y16" s="814"/>
      <c r="Z16" s="814"/>
      <c r="AA16" s="814"/>
      <c r="AB16" s="814"/>
      <c r="AC16" s="822"/>
      <c r="AD16" s="823"/>
      <c r="AE16" s="823"/>
      <c r="AF16" s="823"/>
      <c r="AG16" s="823"/>
      <c r="AH16" s="823"/>
      <c r="AI16" s="823"/>
      <c r="AJ16" s="834"/>
    </row>
    <row r="17" spans="1:37">
      <c r="A17" s="3276"/>
      <c r="B17" s="630" t="s">
        <v>1602</v>
      </c>
      <c r="C17" s="631">
        <f>SUMPRODUCT((修正!A2:A5=E2)*(修正!B1:M1=G2)*(修正!B2:M5))</f>
        <v>0</v>
      </c>
      <c r="D17" s="632" t="s">
        <v>1603</v>
      </c>
      <c r="E17" s="604" t="str">
        <f>IF(OR(G2="八级",G2="九级",G2="十级",G2="十一级",G2="十二级"),"五通一平","七通一平")</f>
        <v>七通一平</v>
      </c>
      <c r="F17" s="631" t="s">
        <v>1604</v>
      </c>
      <c r="G17" s="631">
        <f>SUMPRODUCT((七通一平=G16)*(修正!B1:M1=G2)*(修正!B6:M14))</f>
        <v>0</v>
      </c>
      <c r="H17" s="631">
        <f>SUMPRODUCT((七通一平=H16)*(修正!B1:M1=G2)*(修正!B6:M14))</f>
        <v>0</v>
      </c>
      <c r="I17" s="631">
        <f>SUMPRODUCT((七通一平=I16)*(修正!B1:M1=G2)*(修正!B6:M14))</f>
        <v>0</v>
      </c>
      <c r="J17" s="763">
        <f>SUMPRODUCT((七通一平=J16)*(修正!B1:M1=G2)*(修正!B6:M14))</f>
        <v>0</v>
      </c>
      <c r="K17" s="561"/>
      <c r="L17" s="764" t="s">
        <v>1605</v>
      </c>
      <c r="M17" s="765">
        <f ca="1">ROUND($E$20*(1+M16),3)</f>
        <v>5.3999999999999999E-2</v>
      </c>
      <c r="N17" s="765">
        <f ca="1">ROUND($E$20*(1+N16),3)</f>
        <v>5.1999999999999998E-2</v>
      </c>
      <c r="O17" s="765">
        <f ca="1">ROUND($E$20*(1+O16),3)</f>
        <v>0.05</v>
      </c>
      <c r="P17" s="766">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841</v>
      </c>
      <c r="B18" s="634" t="s">
        <v>1606</v>
      </c>
      <c r="C18" s="635">
        <f>SUMIF(修正!C18:C39,E3,修正!E18:E39)</f>
        <v>0</v>
      </c>
      <c r="D18" s="636"/>
      <c r="E18" s="637"/>
      <c r="F18" s="638"/>
      <c r="G18" s="639"/>
      <c r="H18" s="639"/>
      <c r="I18" s="639"/>
      <c r="J18" s="767"/>
      <c r="K18" s="768"/>
      <c r="O18" s="769"/>
      <c r="P18" s="769"/>
      <c r="Q18" s="821"/>
      <c r="R18" s="821"/>
      <c r="S18" s="821"/>
      <c r="T18" s="703"/>
      <c r="U18" s="703"/>
      <c r="V18" s="703"/>
      <c r="W18" s="561"/>
      <c r="X18" s="561"/>
      <c r="Y18" s="561"/>
      <c r="Z18" s="768"/>
      <c r="AA18" s="832"/>
      <c r="AB18" s="832"/>
      <c r="AC18" s="832"/>
      <c r="AD18" s="832"/>
      <c r="AE18" s="567"/>
      <c r="AF18" s="567"/>
      <c r="AG18" s="563"/>
      <c r="AH18" s="563"/>
      <c r="AI18" s="563"/>
    </row>
    <row r="19" spans="1:37" s="560" customFormat="1" ht="27">
      <c r="A19" s="633" t="s">
        <v>846</v>
      </c>
      <c r="B19" s="634" t="s">
        <v>1607</v>
      </c>
      <c r="C19" s="640" t="e">
        <f>ROUND(IF(H19="按公示增长率计算",SUMPRODUCT((地价!A3:A24=YEAR(G19)&amp;"-"&amp;ROUNDUP(MONTH(G19)/3,0))*(地价!X2:AB2=E2)*(地价!X3:AB24)),IF(H19="地价指数",M20/M19,(1+I19)^O19)),4)</f>
        <v>#DIV/0!</v>
      </c>
      <c r="D19" s="641" t="s">
        <v>1608</v>
      </c>
      <c r="E19" s="642">
        <v>41640</v>
      </c>
      <c r="F19" s="641" t="s">
        <v>1609</v>
      </c>
      <c r="G19" s="643">
        <f>'数据-取费表'!B2</f>
        <v>44393</v>
      </c>
      <c r="H19" s="644" t="s">
        <v>1610</v>
      </c>
      <c r="I19" s="770" t="str">
        <f>IF(H19="季度增幅（自定义）",SUMIF(N21:N24,E2,O21:O24),"")</f>
        <v/>
      </c>
      <c r="J19" s="767"/>
      <c r="K19" s="768"/>
      <c r="L19" s="771" t="s">
        <v>1611</v>
      </c>
      <c r="M19" s="772">
        <f>ROUND(SUMIF(地价!B2:F2,E2,地价!B24:F24),0)</f>
        <v>0</v>
      </c>
      <c r="N19" s="773" t="s">
        <v>1612</v>
      </c>
      <c r="O19" s="774">
        <f>ROUNDDOWN(DATEDIF(E19,G19,"M")/3,0)</f>
        <v>30</v>
      </c>
      <c r="P19" s="775"/>
      <c r="Q19" s="821"/>
      <c r="R19" s="821"/>
      <c r="S19" s="821"/>
      <c r="T19" s="703"/>
      <c r="U19" s="703"/>
      <c r="V19" s="703"/>
      <c r="W19" s="561"/>
      <c r="X19" s="561"/>
      <c r="Y19" s="561"/>
      <c r="Z19" s="768"/>
      <c r="AA19" s="832"/>
      <c r="AB19" s="832"/>
      <c r="AC19" s="832"/>
      <c r="AD19" s="832"/>
      <c r="AE19" s="832"/>
      <c r="AF19" s="833"/>
      <c r="AG19" s="836"/>
      <c r="AH19" s="563"/>
      <c r="AI19" s="837"/>
      <c r="AJ19" s="837"/>
      <c r="AK19" s="837"/>
    </row>
    <row r="20" spans="1:37" s="560" customFormat="1" ht="27">
      <c r="A20" s="645" t="s">
        <v>849</v>
      </c>
      <c r="B20" s="646" t="s">
        <v>1613</v>
      </c>
      <c r="C20" s="647" t="e">
        <f>ROUND(POWER(1+G20,J20-I20)*(POWER(1+G20,I20)-1)/(POWER(1+G20,J20)-1),4)</f>
        <v>#DIV/0!</v>
      </c>
      <c r="D20" s="648" t="s">
        <v>1614</v>
      </c>
      <c r="E20" s="649">
        <f ca="1">存贷款利率!D4/100</f>
        <v>4.3499999999999997E-2</v>
      </c>
      <c r="F20" s="648" t="s">
        <v>1605</v>
      </c>
      <c r="G20" s="650">
        <f>SUMIF(M15:P15,E2,M17:P17)</f>
        <v>0</v>
      </c>
      <c r="H20" s="648" t="s">
        <v>1615</v>
      </c>
      <c r="I20" s="776" t="e">
        <f>SUMIF('数据-取费表'!C6:C15,E2,'数据-取费表'!F6:F15)/COUNTIF('数据-取费表'!C6:C15,E2)</f>
        <v>#DIV/0!</v>
      </c>
      <c r="J20" s="777">
        <f>IF(E2="住宅",70,IF(E2="商业",40,50))</f>
        <v>50</v>
      </c>
      <c r="K20" s="768"/>
      <c r="L20" s="778" t="s">
        <v>1616</v>
      </c>
      <c r="M20" s="779">
        <f>ROUND(SUMPRODUCT((地价!A4:A24=YEAR(G19)&amp;"-"&amp;ROUNDUP(MONTH(G19)/3,0))*(地价!B2:F2=E2)*(地价!B4:F24)),0)</f>
        <v>0</v>
      </c>
      <c r="N20" s="780" t="s">
        <v>1617</v>
      </c>
      <c r="O20" s="781" t="s">
        <v>1618</v>
      </c>
      <c r="P20" s="782" t="s">
        <v>1619</v>
      </c>
      <c r="R20" s="821"/>
      <c r="S20" s="821"/>
      <c r="T20" s="703"/>
      <c r="U20" s="703"/>
      <c r="V20" s="703"/>
      <c r="W20" s="561"/>
      <c r="X20" s="561"/>
      <c r="Y20" s="561"/>
      <c r="Z20" s="768"/>
      <c r="AA20" s="832"/>
      <c r="AB20" s="832"/>
      <c r="AC20" s="832"/>
      <c r="AD20" s="832"/>
      <c r="AE20" s="832"/>
      <c r="AF20" s="832"/>
    </row>
    <row r="21" spans="1:37" s="560" customFormat="1" ht="15">
      <c r="A21" s="651" t="s">
        <v>873</v>
      </c>
      <c r="B21" s="652" t="s">
        <v>1620</v>
      </c>
      <c r="C21" s="653">
        <f>IF(B21="容积率修正",IF(G3&lt;=10,D22,J22),C23)</f>
        <v>0</v>
      </c>
      <c r="D21" s="654"/>
      <c r="E21" s="654"/>
      <c r="F21" s="654"/>
      <c r="G21" s="654"/>
      <c r="H21" s="654"/>
      <c r="I21" s="654"/>
      <c r="J21" s="783"/>
      <c r="K21" s="768"/>
      <c r="N21" s="784" t="s">
        <v>1621</v>
      </c>
      <c r="O21" s="785"/>
      <c r="P21" s="786">
        <f>SUMPRODUCT((地价!A3:A24=YEAR(G19)&amp;"-"&amp;ROUNDUP(MONTH(G19)/3,0))*(地价!AD2:AH2=N21)*(地价!AD3:AH24))</f>
        <v>0</v>
      </c>
      <c r="R21" s="821"/>
      <c r="S21" s="821"/>
      <c r="T21" s="703"/>
      <c r="U21" s="703"/>
      <c r="V21" s="703"/>
      <c r="W21" s="561"/>
      <c r="X21" s="561"/>
      <c r="Y21" s="561"/>
      <c r="Z21" s="768"/>
      <c r="AA21" s="832"/>
      <c r="AB21" s="832"/>
      <c r="AC21" s="832"/>
      <c r="AD21" s="832"/>
      <c r="AE21" s="832"/>
      <c r="AF21" s="832"/>
    </row>
    <row r="22" spans="1:37" s="560" customFormat="1" ht="14.25">
      <c r="A22" s="655" t="s">
        <v>1622</v>
      </c>
      <c r="B22" s="656" t="s">
        <v>1623</v>
      </c>
      <c r="C22" s="657" t="s">
        <v>1624</v>
      </c>
      <c r="D22" s="657">
        <f>IF(E22=G22,F22,IF(G3&lt;=10,ROUND(F22+(H22-F22)*(G3-E22)/(G22-E22),4),"——"))</f>
        <v>0</v>
      </c>
      <c r="E22" s="576">
        <f>ROUNDDOWN(G3,1)</f>
        <v>0.6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1625</v>
      </c>
      <c r="J22" s="787" t="str">
        <f>IF(G3&gt;10,D113,"——")</f>
        <v>——</v>
      </c>
      <c r="K22" s="768"/>
      <c r="N22" s="784" t="s">
        <v>1626</v>
      </c>
      <c r="O22" s="785"/>
      <c r="P22" s="786">
        <f>SUMPRODUCT((地价!A3:A24=YEAR(G19)&amp;"-"&amp;ROUNDUP(MONTH(G19)/3,0))*(地价!AD2:AH2=N22)*(地价!AD3:AH24))</f>
        <v>0</v>
      </c>
      <c r="R22" s="821"/>
      <c r="S22" s="821"/>
      <c r="T22" s="703"/>
      <c r="U22" s="703"/>
      <c r="V22" s="703"/>
      <c r="W22" s="561"/>
      <c r="X22" s="561"/>
      <c r="Y22" s="561"/>
      <c r="Z22" s="768"/>
      <c r="AA22" s="832"/>
      <c r="AB22" s="832"/>
      <c r="AC22" s="832"/>
      <c r="AD22" s="832"/>
      <c r="AE22" s="832"/>
      <c r="AF22" s="832"/>
    </row>
    <row r="23" spans="1:37" ht="27">
      <c r="A23" s="655" t="s">
        <v>1627</v>
      </c>
      <c r="B23" s="658" t="s">
        <v>1628</v>
      </c>
      <c r="C23" s="659">
        <f>ROUND(IF(G3&gt;1,IF(I3&lt;7,SUMPRODUCT((B93:B98=I3)*(C92:N92=G2)*(C93:N98)),SUMIF(C92:N92,G2,C100:N100)),IF(I3&lt;7,SUMPRODUCT((B102:B107=I3)*(C92:N92=G2)*(C102:N107)),SUMIF(C92:N92,G2,C109:N109))),4)</f>
        <v>0</v>
      </c>
      <c r="D23" s="621"/>
      <c r="E23" s="621"/>
      <c r="F23" s="660"/>
      <c r="G23" s="661"/>
      <c r="H23" s="662"/>
      <c r="I23" s="788"/>
      <c r="J23" s="789"/>
      <c r="K23" s="561"/>
      <c r="N23" s="784" t="s">
        <v>1629</v>
      </c>
      <c r="O23" s="785"/>
      <c r="P23" s="786">
        <f>SUMPRODUCT((地价!A3:A24=YEAR(G19)&amp;"-"&amp;ROUNDUP(MONTH(G19)/3,0))*(地价!AD2:AH2=N23)*(地价!AD3:AH24))</f>
        <v>0</v>
      </c>
      <c r="R23" s="821"/>
      <c r="S23" s="821"/>
      <c r="T23" s="703"/>
      <c r="U23" s="703"/>
      <c r="V23" s="703"/>
      <c r="W23" s="561"/>
      <c r="X23" s="561"/>
      <c r="Y23" s="561"/>
      <c r="Z23" s="768"/>
      <c r="AA23" s="832"/>
      <c r="AB23" s="832"/>
      <c r="AC23" s="832"/>
      <c r="AD23" s="832"/>
      <c r="AK23" s="563"/>
    </row>
    <row r="24" spans="1:37" s="560" customFormat="1" ht="15">
      <c r="A24" s="645" t="s">
        <v>1630</v>
      </c>
      <c r="B24" s="634" t="s">
        <v>1631</v>
      </c>
      <c r="C24" s="640">
        <f>SUMIF(A45:A88,E2,B45:B88)</f>
        <v>0</v>
      </c>
      <c r="D24" s="638"/>
      <c r="E24" s="663"/>
      <c r="F24" s="663"/>
      <c r="G24" s="663"/>
      <c r="H24" s="663"/>
      <c r="I24" s="663"/>
      <c r="J24" s="790"/>
      <c r="K24" s="768"/>
      <c r="N24" s="791" t="s">
        <v>1632</v>
      </c>
      <c r="O24" s="792"/>
      <c r="P24" s="793">
        <f>SUMPRODUCT((地价!A3:A24=YEAR(G19)&amp;"-"&amp;ROUNDUP(MONTH(G19)/3,0))*(地价!AD2:AH2=N24)*(地价!AD3:AH24))</f>
        <v>0</v>
      </c>
      <c r="R24" s="821"/>
      <c r="S24" s="821"/>
      <c r="T24" s="703"/>
      <c r="U24" s="703"/>
      <c r="V24" s="703"/>
      <c r="W24" s="561"/>
      <c r="X24" s="561"/>
      <c r="Y24" s="561"/>
      <c r="Z24" s="768"/>
      <c r="AA24" s="832"/>
      <c r="AB24" s="832"/>
      <c r="AC24" s="832"/>
      <c r="AD24" s="832"/>
      <c r="AE24" s="832"/>
      <c r="AF24" s="832"/>
    </row>
    <row r="25" spans="1:37" ht="15">
      <c r="A25" s="645" t="s">
        <v>1633</v>
      </c>
      <c r="B25" s="664" t="s">
        <v>1634</v>
      </c>
      <c r="C25" s="665"/>
      <c r="D25" s="595"/>
      <c r="E25" s="595"/>
      <c r="F25" s="666"/>
      <c r="G25" s="595"/>
      <c r="H25" s="595"/>
      <c r="I25" s="595"/>
      <c r="J25" s="748"/>
      <c r="K25" s="561"/>
      <c r="N25" s="794" t="s">
        <v>1635</v>
      </c>
      <c r="O25" s="795"/>
      <c r="P25" s="793">
        <f>SUMPRODUCT((地价!A3:A24=YEAR(G19)&amp;"-"&amp;ROUNDUP(MONTH(G19)/3,0))*(地价!AD2:AH2=N25)*(地价!AD3:AH24))</f>
        <v>0</v>
      </c>
      <c r="R25" s="821"/>
      <c r="S25" s="821"/>
      <c r="T25" s="703"/>
      <c r="U25" s="703"/>
      <c r="V25" s="703"/>
      <c r="W25" s="561"/>
      <c r="X25" s="561"/>
      <c r="Y25" s="561"/>
      <c r="Z25" s="768"/>
      <c r="AA25" s="832"/>
      <c r="AB25" s="832"/>
      <c r="AC25" s="832"/>
      <c r="AD25" s="832"/>
    </row>
    <row r="26" spans="1:37" ht="15">
      <c r="A26" s="667"/>
      <c r="B26" s="656" t="s">
        <v>1636</v>
      </c>
      <c r="C26" s="668" t="e">
        <f>E29+SUM(E33:E39)</f>
        <v>#DIV/0!</v>
      </c>
      <c r="D26" s="669"/>
      <c r="E26" s="621"/>
      <c r="F26" s="670"/>
      <c r="G26" s="621"/>
      <c r="H26" s="621"/>
      <c r="I26" s="621"/>
      <c r="J26" s="796"/>
      <c r="K26" s="561"/>
      <c r="R26" s="821"/>
      <c r="S26" s="821"/>
      <c r="T26" s="703"/>
      <c r="U26" s="703"/>
      <c r="V26" s="703"/>
      <c r="W26" s="561"/>
      <c r="X26" s="561"/>
      <c r="Y26" s="561"/>
      <c r="Z26" s="768"/>
      <c r="AA26" s="832"/>
      <c r="AB26" s="832"/>
      <c r="AC26" s="832"/>
      <c r="AD26" s="832"/>
    </row>
    <row r="27" spans="1:37" ht="15">
      <c r="A27" s="667"/>
      <c r="B27" s="671" t="s">
        <v>1637</v>
      </c>
      <c r="C27" s="672" t="e">
        <f>E30+SUM(I33:I39)</f>
        <v>#DIV/0!</v>
      </c>
      <c r="D27" s="673"/>
      <c r="E27" s="674"/>
      <c r="F27" s="675"/>
      <c r="G27" s="674"/>
      <c r="H27" s="674"/>
      <c r="I27" s="674"/>
      <c r="J27" s="797"/>
      <c r="K27" s="561"/>
      <c r="L27" s="561"/>
      <c r="M27" s="561"/>
      <c r="N27" s="561"/>
      <c r="O27" s="769"/>
      <c r="P27" s="769"/>
      <c r="Q27" s="821"/>
      <c r="R27" s="821"/>
      <c r="S27" s="821"/>
      <c r="T27" s="703"/>
      <c r="U27" s="703"/>
      <c r="V27" s="703"/>
      <c r="W27" s="561"/>
      <c r="X27" s="561"/>
      <c r="Y27" s="561"/>
      <c r="Z27" s="768"/>
      <c r="AA27" s="832"/>
      <c r="AB27" s="832"/>
      <c r="AC27" s="832"/>
      <c r="AD27" s="832"/>
    </row>
    <row r="28" spans="1:37" ht="15">
      <c r="A28" s="676"/>
      <c r="B28" s="677" t="s">
        <v>1638</v>
      </c>
      <c r="C28" s="678" t="s">
        <v>1639</v>
      </c>
      <c r="D28" s="678" t="s">
        <v>499</v>
      </c>
      <c r="E28" s="679" t="s">
        <v>1640</v>
      </c>
      <c r="F28" s="680"/>
      <c r="G28" s="610"/>
      <c r="H28" s="610"/>
      <c r="I28" s="610"/>
      <c r="J28" s="751"/>
      <c r="K28" s="561"/>
      <c r="L28" s="561"/>
      <c r="M28" s="561"/>
      <c r="N28" s="561"/>
      <c r="O28" s="769"/>
      <c r="P28" s="769"/>
      <c r="Q28" s="821"/>
      <c r="R28" s="821"/>
      <c r="S28" s="821"/>
      <c r="T28" s="703"/>
      <c r="U28" s="703"/>
      <c r="V28" s="703"/>
      <c r="W28" s="561"/>
      <c r="X28" s="561"/>
      <c r="Y28" s="561"/>
      <c r="Z28" s="768"/>
      <c r="AA28" s="832"/>
      <c r="AB28" s="832"/>
      <c r="AC28" s="832"/>
      <c r="AD28" s="832"/>
    </row>
    <row r="29" spans="1:37" ht="22.5" customHeight="1">
      <c r="A29" s="681"/>
      <c r="B29" s="682" t="s">
        <v>1641</v>
      </c>
      <c r="C29" s="668" t="e">
        <f>ROUND(C5*C18*C19*C20*C21*C24,0)</f>
        <v>#DIV/0!</v>
      </c>
      <c r="D29" s="683"/>
      <c r="E29" s="684" t="e">
        <f>ROUND(C29*D29/10000,0)</f>
        <v>#DIV/0!</v>
      </c>
      <c r="F29" s="685" t="s">
        <v>1642</v>
      </c>
      <c r="G29" s="686"/>
      <c r="H29" s="686"/>
      <c r="I29" s="686"/>
      <c r="J29" s="798"/>
      <c r="K29" s="561"/>
      <c r="L29" s="561"/>
      <c r="M29" s="561"/>
      <c r="N29" s="561"/>
      <c r="O29" s="769"/>
      <c r="P29" s="769"/>
      <c r="Q29" s="821"/>
      <c r="R29" s="821"/>
      <c r="S29" s="821"/>
      <c r="T29" s="703"/>
      <c r="U29" s="703"/>
      <c r="V29" s="703"/>
      <c r="W29" s="561"/>
      <c r="X29" s="561"/>
      <c r="Y29" s="561"/>
      <c r="Z29" s="768"/>
      <c r="AA29" s="832"/>
      <c r="AB29" s="832"/>
      <c r="AC29" s="832"/>
      <c r="AD29" s="832"/>
      <c r="AE29" s="566"/>
      <c r="AF29" s="566"/>
      <c r="AG29" s="565"/>
      <c r="AH29" s="565"/>
      <c r="AI29" s="565"/>
      <c r="AJ29" s="565"/>
    </row>
    <row r="30" spans="1:37" ht="24.75">
      <c r="A30" s="687"/>
      <c r="B30" s="688" t="s">
        <v>1643</v>
      </c>
      <c r="C30" s="623" t="e">
        <f>ROUND(IF(E2="工业",C29*M39,C29*M38),0)</f>
        <v>#DIV/0!</v>
      </c>
      <c r="D30" s="689"/>
      <c r="E30" s="684" t="e">
        <f>ROUND(C30*D30/10000,0)</f>
        <v>#DIV/0!</v>
      </c>
      <c r="F30" s="690" t="s">
        <v>1644</v>
      </c>
      <c r="G30" s="691"/>
      <c r="H30" s="691"/>
      <c r="I30" s="691"/>
      <c r="J30" s="799"/>
      <c r="K30" s="561"/>
      <c r="L30" s="561"/>
      <c r="M30" s="561"/>
      <c r="N30" s="561"/>
      <c r="O30" s="769"/>
      <c r="P30" s="769"/>
      <c r="Q30" s="821"/>
      <c r="R30" s="821"/>
      <c r="S30" s="821"/>
      <c r="T30" s="703"/>
      <c r="U30" s="703"/>
      <c r="V30" s="703"/>
      <c r="W30" s="561"/>
      <c r="X30" s="561"/>
      <c r="Y30" s="561"/>
      <c r="Z30" s="768"/>
      <c r="AA30" s="832"/>
      <c r="AB30" s="832"/>
      <c r="AC30" s="832"/>
      <c r="AD30" s="832"/>
      <c r="AE30" s="566"/>
      <c r="AF30" s="566"/>
      <c r="AG30" s="565"/>
      <c r="AH30" s="565"/>
      <c r="AI30" s="565"/>
      <c r="AJ30" s="565"/>
    </row>
    <row r="31" spans="1:37" ht="14.25">
      <c r="A31" s="692"/>
      <c r="B31" s="693" t="s">
        <v>1645</v>
      </c>
      <c r="C31" s="694" t="s">
        <v>1646</v>
      </c>
      <c r="D31" s="610"/>
      <c r="E31" s="694"/>
      <c r="F31" s="694"/>
      <c r="G31" s="608" t="s">
        <v>1644</v>
      </c>
      <c r="H31" s="610"/>
      <c r="I31" s="800"/>
      <c r="J31" s="751"/>
      <c r="K31" s="561"/>
      <c r="L31" s="561"/>
      <c r="M31" s="561"/>
      <c r="N31" s="561"/>
      <c r="O31" s="769"/>
      <c r="P31" s="769"/>
      <c r="Q31" s="821"/>
      <c r="R31" s="821"/>
      <c r="S31" s="821"/>
      <c r="T31" s="703"/>
      <c r="U31" s="703"/>
      <c r="V31" s="703"/>
      <c r="W31" s="561"/>
      <c r="X31" s="561"/>
      <c r="Y31" s="561"/>
      <c r="Z31" s="768"/>
      <c r="AA31" s="832"/>
      <c r="AB31" s="832"/>
      <c r="AC31" s="832"/>
      <c r="AD31" s="832"/>
      <c r="AE31" s="566"/>
      <c r="AF31" s="566"/>
      <c r="AG31" s="565"/>
      <c r="AH31" s="565"/>
      <c r="AI31" s="565"/>
      <c r="AJ31" s="565"/>
    </row>
    <row r="32" spans="1:37" ht="24">
      <c r="A32" s="681"/>
      <c r="B32" s="695"/>
      <c r="C32" s="696" t="s">
        <v>1639</v>
      </c>
      <c r="D32" s="697" t="s">
        <v>499</v>
      </c>
      <c r="E32" s="697" t="s">
        <v>1640</v>
      </c>
      <c r="F32" s="568" t="s">
        <v>1647</v>
      </c>
      <c r="G32" s="698" t="s">
        <v>1639</v>
      </c>
      <c r="H32" s="698" t="s">
        <v>499</v>
      </c>
      <c r="I32" s="698" t="s">
        <v>1640</v>
      </c>
      <c r="J32" s="195"/>
      <c r="K32" s="561"/>
      <c r="L32" s="561"/>
      <c r="M32" s="561"/>
      <c r="N32" s="561"/>
      <c r="O32" s="769"/>
      <c r="P32" s="769"/>
      <c r="Q32" s="821"/>
      <c r="R32" s="821"/>
      <c r="S32" s="821"/>
      <c r="T32" s="703"/>
      <c r="U32" s="703"/>
      <c r="V32" s="703"/>
      <c r="W32" s="561"/>
      <c r="X32" s="561"/>
      <c r="Y32" s="561"/>
      <c r="Z32" s="768"/>
      <c r="AA32" s="832"/>
      <c r="AB32" s="832"/>
      <c r="AC32" s="832"/>
      <c r="AD32" s="832"/>
      <c r="AE32" s="566"/>
      <c r="AF32" s="566"/>
      <c r="AG32" s="565"/>
      <c r="AH32" s="565"/>
      <c r="AI32" s="565"/>
      <c r="AJ32" s="565"/>
    </row>
    <row r="33" spans="1:37" ht="36" customHeight="1">
      <c r="A33" s="3279" t="s">
        <v>1648</v>
      </c>
      <c r="B33" s="699" t="s">
        <v>1649</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801"/>
      <c r="K33" s="561"/>
      <c r="L33" s="561"/>
      <c r="M33" s="561"/>
      <c r="N33" s="561"/>
      <c r="O33" s="769"/>
      <c r="P33" s="769"/>
      <c r="Q33" s="821"/>
      <c r="R33" s="821"/>
      <c r="S33" s="821"/>
      <c r="T33" s="703"/>
      <c r="U33" s="703"/>
      <c r="V33" s="703"/>
      <c r="W33" s="561"/>
      <c r="X33" s="561"/>
      <c r="Y33" s="561"/>
      <c r="Z33" s="768"/>
      <c r="AA33" s="832"/>
      <c r="AB33" s="832"/>
      <c r="AC33" s="832"/>
      <c r="AD33" s="832"/>
    </row>
    <row r="34" spans="1:37" ht="14.25">
      <c r="A34" s="3280"/>
      <c r="B34" s="612" t="s">
        <v>1650</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1"/>
      <c r="K34" s="561"/>
      <c r="L34" s="561"/>
      <c r="M34" s="561"/>
      <c r="N34" s="561"/>
      <c r="O34" s="769"/>
      <c r="P34" s="769"/>
      <c r="Q34" s="821"/>
      <c r="R34" s="821"/>
      <c r="S34" s="821"/>
      <c r="T34" s="703"/>
      <c r="U34" s="703"/>
      <c r="V34" s="703"/>
      <c r="W34" s="561"/>
      <c r="X34" s="561"/>
      <c r="Y34" s="561"/>
      <c r="Z34" s="768"/>
      <c r="AA34" s="832"/>
      <c r="AB34" s="832"/>
      <c r="AC34" s="832"/>
      <c r="AD34" s="832"/>
    </row>
    <row r="35" spans="1:37">
      <c r="A35" s="3280"/>
      <c r="B35" s="612" t="s">
        <v>1651</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801"/>
      <c r="K35" s="561"/>
      <c r="L35" s="561"/>
      <c r="M35" s="561"/>
      <c r="N35" s="561"/>
      <c r="O35" s="561"/>
      <c r="P35" s="561"/>
      <c r="Q35" s="561"/>
      <c r="R35" s="561"/>
      <c r="S35" s="561"/>
      <c r="T35" s="561"/>
      <c r="U35" s="561"/>
      <c r="V35" s="561"/>
      <c r="W35" s="561"/>
      <c r="X35" s="561"/>
      <c r="Y35" s="561"/>
      <c r="Z35" s="703"/>
    </row>
    <row r="36" spans="1:37">
      <c r="A36" s="3281"/>
      <c r="B36" s="612" t="s">
        <v>1652</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801"/>
      <c r="K36" s="561"/>
      <c r="L36" s="562"/>
      <c r="M36" s="562"/>
      <c r="N36" s="561"/>
      <c r="O36" s="561"/>
      <c r="P36" s="561"/>
      <c r="Q36" s="561"/>
      <c r="R36" s="561"/>
      <c r="S36" s="561"/>
      <c r="T36" s="561"/>
      <c r="U36" s="561"/>
      <c r="V36" s="561"/>
      <c r="W36" s="561"/>
      <c r="X36" s="561"/>
      <c r="Y36" s="561"/>
      <c r="Z36" s="703"/>
    </row>
    <row r="37" spans="1:37">
      <c r="A37" s="700"/>
      <c r="B37" s="612" t="s">
        <v>1653</v>
      </c>
      <c r="C37" s="602" t="e">
        <f>ROUND(D5*C19*C20*C24*F37,0)</f>
        <v>#DIV/0!</v>
      </c>
      <c r="D37" s="683"/>
      <c r="E37" s="602" t="e">
        <f t="shared" si="7"/>
        <v>#DIV/0!</v>
      </c>
      <c r="F37" s="668">
        <f>SUMIF(修正!A45:A56,G2,修正!F45:F56)</f>
        <v>0</v>
      </c>
      <c r="G37" s="602" t="e">
        <f>ROUND(IF(E2="工业",C37*$M$39,C37*$M$38),0)</f>
        <v>#DIV/0!</v>
      </c>
      <c r="H37" s="602">
        <f t="shared" si="8"/>
        <v>0</v>
      </c>
      <c r="I37" s="602" t="e">
        <f t="shared" si="9"/>
        <v>#DIV/0!</v>
      </c>
      <c r="J37" s="801"/>
      <c r="K37" s="561"/>
      <c r="L37" s="802" t="s">
        <v>1654</v>
      </c>
      <c r="M37" s="803"/>
      <c r="N37" s="561"/>
      <c r="O37" s="561"/>
      <c r="P37" s="561"/>
      <c r="Q37" s="561"/>
      <c r="R37" s="561"/>
      <c r="S37" s="561"/>
      <c r="T37" s="561"/>
      <c r="U37" s="561"/>
      <c r="V37" s="561"/>
      <c r="W37" s="561"/>
      <c r="X37" s="561"/>
      <c r="Y37" s="561"/>
      <c r="Z37" s="703"/>
    </row>
    <row r="38" spans="1:37">
      <c r="A38" s="700"/>
      <c r="B38" s="612" t="s">
        <v>1655</v>
      </c>
      <c r="C38" s="602" t="e">
        <f>ROUND(D5*C19*C41*C24*F38,0)</f>
        <v>#DIV/0!</v>
      </c>
      <c r="D38" s="683"/>
      <c r="E38" s="602" t="e">
        <f t="shared" si="7"/>
        <v>#DIV/0!</v>
      </c>
      <c r="F38" s="668">
        <f>SUMIF(修正!A45:A56,G2,修正!G45:G56)</f>
        <v>0</v>
      </c>
      <c r="G38" s="602" t="e">
        <f>ROUND(IF(E2="工业",C38*$M$39,C38*$M$38),0)</f>
        <v>#DIV/0!</v>
      </c>
      <c r="H38" s="602">
        <f t="shared" si="8"/>
        <v>0</v>
      </c>
      <c r="I38" s="602" t="e">
        <f t="shared" si="9"/>
        <v>#DIV/0!</v>
      </c>
      <c r="J38" s="801"/>
      <c r="K38" s="561"/>
      <c r="L38" s="804" t="s">
        <v>1656</v>
      </c>
      <c r="M38" s="805">
        <v>0.25</v>
      </c>
      <c r="N38" s="561"/>
      <c r="O38" s="561"/>
      <c r="P38" s="561"/>
      <c r="Q38" s="561"/>
      <c r="R38" s="561"/>
      <c r="S38" s="561"/>
      <c r="T38" s="561"/>
      <c r="U38" s="561"/>
      <c r="V38" s="561"/>
      <c r="W38" s="561"/>
      <c r="X38" s="561"/>
      <c r="Y38" s="561"/>
      <c r="Z38" s="703"/>
    </row>
    <row r="39" spans="1:37">
      <c r="A39" s="687"/>
      <c r="B39" s="701" t="s">
        <v>1657</v>
      </c>
      <c r="C39" s="623" t="e">
        <f>ROUND(D5*C19*C41*C24*F39,0)</f>
        <v>#DIV/0!</v>
      </c>
      <c r="D39" s="689"/>
      <c r="E39" s="623" t="e">
        <f t="shared" si="7"/>
        <v>#DIV/0!</v>
      </c>
      <c r="F39" s="702">
        <f>SUMIF(修正!A45:A56,G2,修正!H45:H56)</f>
        <v>0</v>
      </c>
      <c r="G39" s="623" t="e">
        <f>ROUND(IF(E2="工业",C39*$M$39,C39*$M$38),0)</f>
        <v>#DIV/0!</v>
      </c>
      <c r="H39" s="623">
        <f t="shared" si="8"/>
        <v>0</v>
      </c>
      <c r="I39" s="623" t="e">
        <f t="shared" si="9"/>
        <v>#DIV/0!</v>
      </c>
      <c r="J39" s="806"/>
      <c r="K39" s="561"/>
      <c r="L39" s="807" t="s">
        <v>1597</v>
      </c>
      <c r="M39" s="808">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t="s">
        <v>1658</v>
      </c>
      <c r="C41" s="568" t="e">
        <f>ROUND(POWER(1+E41,H41-G41)*(POWER(1+E41,G41)-1)/(POWER(1+E41,H41)-1),4)</f>
        <v>#DIV/0!</v>
      </c>
      <c r="D41" s="602" t="s">
        <v>1605</v>
      </c>
      <c r="E41" s="705">
        <f>G20</f>
        <v>0</v>
      </c>
      <c r="F41" s="602" t="s">
        <v>1615</v>
      </c>
      <c r="G41" s="706"/>
      <c r="H41" s="602">
        <v>50</v>
      </c>
      <c r="Z41" s="703"/>
      <c r="AA41" s="703"/>
      <c r="AB41" s="703"/>
      <c r="AC41" s="703"/>
      <c r="AD41" s="703"/>
      <c r="AE41" s="703"/>
      <c r="AF41" s="703"/>
      <c r="AG41" s="703"/>
      <c r="AH41" s="703"/>
      <c r="AI41" s="703"/>
      <c r="AJ41" s="703"/>
    </row>
    <row r="42" spans="1:37" s="561" customFormat="1">
      <c r="A42" s="703"/>
      <c r="B42" s="707"/>
      <c r="Z42" s="703"/>
      <c r="AA42" s="703"/>
      <c r="AB42" s="703"/>
      <c r="AC42" s="703"/>
      <c r="AD42" s="703"/>
      <c r="AE42" s="703"/>
      <c r="AF42" s="703"/>
      <c r="AG42" s="703"/>
      <c r="AH42" s="703"/>
      <c r="AI42" s="703"/>
      <c r="AJ42" s="703"/>
    </row>
    <row r="43" spans="1:37" s="561" customFormat="1">
      <c r="A43" s="703"/>
      <c r="B43" s="707"/>
      <c r="Z43" s="703"/>
      <c r="AA43" s="703"/>
      <c r="AB43" s="703"/>
      <c r="AC43" s="703"/>
      <c r="AD43" s="703"/>
      <c r="AE43" s="703"/>
      <c r="AF43" s="703"/>
      <c r="AG43" s="703"/>
      <c r="AH43" s="703"/>
      <c r="AI43" s="703"/>
      <c r="AJ43" s="703"/>
    </row>
    <row r="44" spans="1:37" s="561" customFormat="1">
      <c r="A44" s="703"/>
      <c r="B44" s="707"/>
      <c r="Z44" s="703"/>
      <c r="AA44" s="703"/>
      <c r="AB44" s="703"/>
      <c r="AC44" s="703"/>
      <c r="AD44" s="703"/>
      <c r="AE44" s="703"/>
      <c r="AF44" s="703"/>
      <c r="AG44" s="703"/>
      <c r="AH44" s="703"/>
      <c r="AI44" s="703"/>
      <c r="AJ44" s="703"/>
    </row>
    <row r="45" spans="1:37" s="561" customFormat="1" ht="15">
      <c r="A45" s="708" t="s">
        <v>1659</v>
      </c>
      <c r="B45" s="709"/>
      <c r="C45" s="710"/>
      <c r="D45" s="710"/>
      <c r="E45" s="710"/>
      <c r="F45" s="711"/>
      <c r="G45" s="711"/>
      <c r="H45" s="711"/>
      <c r="I45" s="710"/>
      <c r="J45" s="710"/>
      <c r="K45" s="710"/>
      <c r="L45" s="710"/>
      <c r="M45" s="710"/>
      <c r="N45" s="566"/>
      <c r="Z45" s="703"/>
      <c r="AA45" s="703"/>
      <c r="AB45" s="703"/>
      <c r="AC45" s="703"/>
      <c r="AD45" s="703"/>
      <c r="AE45" s="703"/>
      <c r="AF45" s="703"/>
      <c r="AG45" s="703"/>
      <c r="AH45" s="703"/>
      <c r="AI45" s="703"/>
      <c r="AJ45" s="703"/>
    </row>
    <row r="46" spans="1:37" s="561" customFormat="1" ht="15">
      <c r="A46" s="712" t="s">
        <v>1660</v>
      </c>
      <c r="B46" s="713">
        <f>1+E48</f>
        <v>1</v>
      </c>
      <c r="C46" s="714"/>
      <c r="D46" s="715"/>
      <c r="E46" s="716"/>
      <c r="F46" s="717"/>
      <c r="G46" s="711"/>
      <c r="H46" s="710"/>
      <c r="I46" s="710"/>
      <c r="J46" s="710"/>
      <c r="K46" s="710"/>
      <c r="L46" s="710"/>
      <c r="M46" s="710"/>
      <c r="N46" s="566"/>
      <c r="Z46" s="703"/>
      <c r="AA46" s="703"/>
      <c r="AB46" s="703"/>
      <c r="AC46" s="703"/>
      <c r="AD46" s="703"/>
      <c r="AE46" s="703"/>
      <c r="AF46" s="703"/>
      <c r="AG46" s="703"/>
      <c r="AH46" s="703"/>
      <c r="AI46" s="703"/>
      <c r="AJ46" s="703"/>
    </row>
    <row r="47" spans="1:37" s="561" customFormat="1" ht="24.75">
      <c r="A47" s="718" t="s">
        <v>1661</v>
      </c>
      <c r="B47" s="719" t="s">
        <v>1662</v>
      </c>
      <c r="C47" s="719" t="s">
        <v>1663</v>
      </c>
      <c r="D47" s="719" t="s">
        <v>1664</v>
      </c>
      <c r="E47" s="720" t="s">
        <v>1665</v>
      </c>
      <c r="F47" s="721" t="s">
        <v>1666</v>
      </c>
      <c r="G47" s="719" t="s">
        <v>1593</v>
      </c>
      <c r="H47" s="722" t="s">
        <v>1667</v>
      </c>
      <c r="I47" s="719" t="s">
        <v>1668</v>
      </c>
      <c r="J47" s="809" t="s">
        <v>994</v>
      </c>
      <c r="K47" s="809" t="s">
        <v>995</v>
      </c>
      <c r="L47" s="809" t="s">
        <v>996</v>
      </c>
      <c r="M47" s="809" t="s">
        <v>997</v>
      </c>
      <c r="N47" s="809" t="s">
        <v>998</v>
      </c>
      <c r="AA47" s="703"/>
      <c r="AB47" s="703"/>
      <c r="AC47" s="703"/>
      <c r="AD47" s="703"/>
      <c r="AE47" s="703"/>
      <c r="AF47" s="703"/>
      <c r="AG47" s="703"/>
      <c r="AH47" s="703"/>
      <c r="AI47" s="703"/>
      <c r="AJ47" s="703"/>
      <c r="AK47" s="703"/>
    </row>
    <row r="48" spans="1:37" s="561" customFormat="1" ht="38.25">
      <c r="A48" s="718" t="s">
        <v>1669</v>
      </c>
      <c r="B48" s="723" t="str">
        <f>估价对象房地状况!C4</f>
        <v>估价对象位于XX商圈，周边商业氛围成熟，人流量大，商业繁华度好</v>
      </c>
      <c r="C48" s="618"/>
      <c r="D48" s="724">
        <f t="shared" ref="D48:D56" si="10">SUMIF($J$47:$N$47,C48,J48:N48)</f>
        <v>0</v>
      </c>
      <c r="E48" s="725">
        <f>ROUND(SUM(D48:D56),4)</f>
        <v>0</v>
      </c>
      <c r="F48" s="726" t="str">
        <f>IF(E2="商业",SUMIF(L1:L12,G2,N1:N12),"——")</f>
        <v>——</v>
      </c>
      <c r="G48" s="727"/>
      <c r="H48" s="728" t="str">
        <f t="shared" ref="H48:H56" si="11">IFERROR(ROUNDDOWN($F$48*I48/2,4),"——")</f>
        <v>——</v>
      </c>
      <c r="I48" s="810">
        <v>0.33</v>
      </c>
      <c r="J48" s="811">
        <f t="shared" ref="J48:J56" si="12">K48+$G48</f>
        <v>0</v>
      </c>
      <c r="K48" s="811">
        <f t="shared" ref="K48:K56" si="13">$L48+$G48</f>
        <v>0</v>
      </c>
      <c r="L48" s="811">
        <v>0</v>
      </c>
      <c r="M48" s="811">
        <f t="shared" ref="M48:N56" si="14">L48-$G48</f>
        <v>0</v>
      </c>
      <c r="N48" s="811">
        <f t="shared" si="14"/>
        <v>0</v>
      </c>
      <c r="AA48" s="703"/>
      <c r="AB48" s="703"/>
      <c r="AC48" s="703"/>
      <c r="AD48" s="703"/>
      <c r="AE48" s="703"/>
      <c r="AF48" s="703"/>
      <c r="AG48" s="703"/>
      <c r="AH48" s="703"/>
      <c r="AI48" s="703"/>
      <c r="AJ48" s="703"/>
      <c r="AK48" s="703"/>
    </row>
    <row r="49" spans="1:37" s="561" customFormat="1" ht="51">
      <c r="A49" s="718" t="s">
        <v>1670</v>
      </c>
      <c r="B49" s="729" t="str">
        <f>估价对象房地状况!C18</f>
        <v>估价对象周边道路状况、公共交通通达情况、停车便捷程度，综合评价交通便捷度较好</v>
      </c>
      <c r="C49" s="618"/>
      <c r="D49" s="724">
        <f t="shared" si="10"/>
        <v>0</v>
      </c>
      <c r="E49" s="730"/>
      <c r="F49" s="726"/>
      <c r="G49" s="727"/>
      <c r="H49" s="728" t="str">
        <f t="shared" si="11"/>
        <v>——</v>
      </c>
      <c r="I49" s="810">
        <v>0.25</v>
      </c>
      <c r="J49" s="811">
        <f t="shared" si="12"/>
        <v>0</v>
      </c>
      <c r="K49" s="811">
        <f t="shared" si="13"/>
        <v>0</v>
      </c>
      <c r="L49" s="811">
        <v>0</v>
      </c>
      <c r="M49" s="811">
        <f t="shared" si="14"/>
        <v>0</v>
      </c>
      <c r="N49" s="811">
        <f t="shared" si="14"/>
        <v>0</v>
      </c>
      <c r="AA49" s="703"/>
      <c r="AB49" s="703"/>
      <c r="AC49" s="703"/>
      <c r="AD49" s="703"/>
      <c r="AE49" s="703"/>
      <c r="AF49" s="703"/>
      <c r="AG49" s="703"/>
      <c r="AH49" s="703"/>
      <c r="AI49" s="703"/>
      <c r="AJ49" s="703"/>
      <c r="AK49" s="703"/>
    </row>
    <row r="50" spans="1:37" s="561" customFormat="1" ht="24">
      <c r="A50" s="718" t="s">
        <v>1671</v>
      </c>
      <c r="B50" s="729">
        <f>估价对象房地状况!C19</f>
        <v>0</v>
      </c>
      <c r="C50" s="618"/>
      <c r="D50" s="724">
        <f t="shared" si="10"/>
        <v>0</v>
      </c>
      <c r="E50" s="730"/>
      <c r="F50" s="726"/>
      <c r="G50" s="727"/>
      <c r="H50" s="728" t="str">
        <f t="shared" si="11"/>
        <v>——</v>
      </c>
      <c r="I50" s="810">
        <v>0.05</v>
      </c>
      <c r="J50" s="811">
        <f t="shared" si="12"/>
        <v>0</v>
      </c>
      <c r="K50" s="811">
        <f t="shared" si="13"/>
        <v>0</v>
      </c>
      <c r="L50" s="811">
        <v>0</v>
      </c>
      <c r="M50" s="811">
        <f t="shared" si="14"/>
        <v>0</v>
      </c>
      <c r="N50" s="811">
        <f t="shared" si="14"/>
        <v>0</v>
      </c>
      <c r="AA50" s="703"/>
      <c r="AB50" s="703"/>
      <c r="AC50" s="703"/>
      <c r="AD50" s="703"/>
      <c r="AE50" s="703"/>
      <c r="AF50" s="703"/>
      <c r="AG50" s="703"/>
      <c r="AH50" s="703"/>
      <c r="AI50" s="703"/>
      <c r="AJ50" s="703"/>
      <c r="AK50" s="703"/>
    </row>
    <row r="51" spans="1:37" s="561" customFormat="1" ht="36.75">
      <c r="A51" s="718" t="s">
        <v>1672</v>
      </c>
      <c r="B51" s="731" t="s">
        <v>1673</v>
      </c>
      <c r="C51" s="618"/>
      <c r="D51" s="724">
        <f t="shared" si="10"/>
        <v>0</v>
      </c>
      <c r="E51" s="730"/>
      <c r="F51" s="726"/>
      <c r="G51" s="727"/>
      <c r="H51" s="728" t="str">
        <f t="shared" si="11"/>
        <v>——</v>
      </c>
      <c r="I51" s="810">
        <v>0.05</v>
      </c>
      <c r="J51" s="811">
        <f t="shared" si="12"/>
        <v>0</v>
      </c>
      <c r="K51" s="811">
        <f t="shared" si="13"/>
        <v>0</v>
      </c>
      <c r="L51" s="811">
        <v>0</v>
      </c>
      <c r="M51" s="811">
        <f t="shared" si="14"/>
        <v>0</v>
      </c>
      <c r="N51" s="811">
        <f t="shared" si="14"/>
        <v>0</v>
      </c>
      <c r="AA51" s="703"/>
      <c r="AB51" s="703"/>
      <c r="AC51" s="703"/>
      <c r="AD51" s="703"/>
      <c r="AE51" s="703"/>
      <c r="AF51" s="703"/>
      <c r="AG51" s="703"/>
      <c r="AH51" s="703"/>
      <c r="AI51" s="703"/>
      <c r="AJ51" s="703"/>
      <c r="AK51" s="703"/>
    </row>
    <row r="52" spans="1:37" s="561" customFormat="1" ht="24">
      <c r="A52" s="718" t="s">
        <v>1674</v>
      </c>
      <c r="B52" s="729">
        <f>估价对象房地状况!C24</f>
        <v>0</v>
      </c>
      <c r="C52" s="618"/>
      <c r="D52" s="724">
        <f t="shared" si="10"/>
        <v>0</v>
      </c>
      <c r="E52" s="730"/>
      <c r="F52" s="726"/>
      <c r="G52" s="727"/>
      <c r="H52" s="728" t="str">
        <f t="shared" si="11"/>
        <v>——</v>
      </c>
      <c r="I52" s="810">
        <v>0.08</v>
      </c>
      <c r="J52" s="811">
        <f t="shared" si="12"/>
        <v>0</v>
      </c>
      <c r="K52" s="811">
        <f t="shared" si="13"/>
        <v>0</v>
      </c>
      <c r="L52" s="811">
        <v>0</v>
      </c>
      <c r="M52" s="811">
        <f t="shared" si="14"/>
        <v>0</v>
      </c>
      <c r="N52" s="811">
        <f t="shared" si="14"/>
        <v>0</v>
      </c>
      <c r="AA52" s="703"/>
      <c r="AB52" s="703"/>
      <c r="AC52" s="703"/>
      <c r="AD52" s="703"/>
      <c r="AE52" s="703"/>
      <c r="AF52" s="703"/>
      <c r="AG52" s="703"/>
      <c r="AH52" s="703"/>
      <c r="AI52" s="703"/>
      <c r="AJ52" s="703"/>
      <c r="AK52" s="703"/>
    </row>
    <row r="53" spans="1:37" s="561" customFormat="1" ht="24">
      <c r="A53" s="718" t="s">
        <v>1675</v>
      </c>
      <c r="B53" s="732" t="s">
        <v>1676</v>
      </c>
      <c r="C53" s="618"/>
      <c r="D53" s="724">
        <f t="shared" si="10"/>
        <v>0</v>
      </c>
      <c r="E53" s="730"/>
      <c r="F53" s="726"/>
      <c r="G53" s="727"/>
      <c r="H53" s="728" t="str">
        <f t="shared" si="11"/>
        <v>——</v>
      </c>
      <c r="I53" s="810">
        <v>0.03</v>
      </c>
      <c r="J53" s="811">
        <f t="shared" si="12"/>
        <v>0</v>
      </c>
      <c r="K53" s="811">
        <f t="shared" si="13"/>
        <v>0</v>
      </c>
      <c r="L53" s="811">
        <v>0</v>
      </c>
      <c r="M53" s="811">
        <f t="shared" si="14"/>
        <v>0</v>
      </c>
      <c r="N53" s="811">
        <f t="shared" si="14"/>
        <v>0</v>
      </c>
      <c r="AA53" s="703"/>
      <c r="AB53" s="703"/>
      <c r="AC53" s="703"/>
      <c r="AD53" s="703"/>
      <c r="AE53" s="703"/>
      <c r="AF53" s="703"/>
      <c r="AG53" s="703"/>
      <c r="AH53" s="703"/>
      <c r="AI53" s="703"/>
      <c r="AJ53" s="703"/>
      <c r="AK53" s="703"/>
    </row>
    <row r="54" spans="1:37" s="561" customFormat="1" ht="25.5">
      <c r="A54" s="733" t="s">
        <v>1677</v>
      </c>
      <c r="B54" s="265" t="str">
        <f>估价对象房地状况!C21</f>
        <v>估价对象所在区域公共配套设施齐备情况</v>
      </c>
      <c r="C54" s="618"/>
      <c r="D54" s="724">
        <f t="shared" si="10"/>
        <v>0</v>
      </c>
      <c r="E54" s="730"/>
      <c r="F54" s="726"/>
      <c r="G54" s="727"/>
      <c r="H54" s="728" t="str">
        <f t="shared" si="11"/>
        <v>——</v>
      </c>
      <c r="I54" s="810">
        <v>0.05</v>
      </c>
      <c r="J54" s="811">
        <f t="shared" si="12"/>
        <v>0</v>
      </c>
      <c r="K54" s="811">
        <f t="shared" si="13"/>
        <v>0</v>
      </c>
      <c r="L54" s="811">
        <v>0</v>
      </c>
      <c r="M54" s="811">
        <f t="shared" si="14"/>
        <v>0</v>
      </c>
      <c r="N54" s="811">
        <f t="shared" si="14"/>
        <v>0</v>
      </c>
      <c r="AA54" s="703"/>
      <c r="AB54" s="703"/>
      <c r="AC54" s="703"/>
      <c r="AD54" s="703"/>
      <c r="AE54" s="703"/>
      <c r="AF54" s="703"/>
      <c r="AG54" s="703"/>
      <c r="AH54" s="703"/>
      <c r="AI54" s="703"/>
      <c r="AJ54" s="703"/>
      <c r="AK54" s="703"/>
    </row>
    <row r="55" spans="1:37" s="561" customFormat="1" ht="25.5">
      <c r="A55" s="733" t="s">
        <v>1678</v>
      </c>
      <c r="B55" s="729" t="str">
        <f>估价对象房地状况!C22</f>
        <v>估价对象所在区域基础设施水平</v>
      </c>
      <c r="C55" s="618"/>
      <c r="D55" s="724">
        <f t="shared" si="10"/>
        <v>0</v>
      </c>
      <c r="E55" s="730"/>
      <c r="F55" s="726"/>
      <c r="G55" s="727"/>
      <c r="H55" s="728" t="str">
        <f t="shared" si="11"/>
        <v>——</v>
      </c>
      <c r="I55" s="810">
        <v>0.1</v>
      </c>
      <c r="J55" s="811">
        <f t="shared" si="12"/>
        <v>0</v>
      </c>
      <c r="K55" s="811">
        <f t="shared" si="13"/>
        <v>0</v>
      </c>
      <c r="L55" s="811">
        <v>0</v>
      </c>
      <c r="M55" s="811">
        <f t="shared" si="14"/>
        <v>0</v>
      </c>
      <c r="N55" s="811">
        <f t="shared" si="14"/>
        <v>0</v>
      </c>
      <c r="AA55" s="703"/>
      <c r="AB55" s="703"/>
      <c r="AC55" s="703"/>
      <c r="AD55" s="703"/>
      <c r="AE55" s="703"/>
      <c r="AF55" s="703"/>
      <c r="AG55" s="703"/>
      <c r="AH55" s="703"/>
      <c r="AI55" s="703"/>
      <c r="AJ55" s="703"/>
      <c r="AK55" s="703"/>
    </row>
    <row r="56" spans="1:37" s="561" customFormat="1" ht="38.25">
      <c r="A56" s="734" t="s">
        <v>1679</v>
      </c>
      <c r="B56" s="735" t="str">
        <f>估价对象房地状况!C20</f>
        <v>区域自然环境：；人文环境；综合评价环境状况一般</v>
      </c>
      <c r="C56" s="618"/>
      <c r="D56" s="724">
        <f t="shared" si="10"/>
        <v>0</v>
      </c>
      <c r="E56" s="736"/>
      <c r="F56" s="726"/>
      <c r="G56" s="727"/>
      <c r="H56" s="728" t="str">
        <f t="shared" si="11"/>
        <v>——</v>
      </c>
      <c r="I56" s="812">
        <v>0.06</v>
      </c>
      <c r="J56" s="811">
        <f t="shared" si="12"/>
        <v>0</v>
      </c>
      <c r="K56" s="811">
        <f t="shared" si="13"/>
        <v>0</v>
      </c>
      <c r="L56" s="811">
        <v>0</v>
      </c>
      <c r="M56" s="811">
        <f t="shared" si="14"/>
        <v>0</v>
      </c>
      <c r="N56" s="811">
        <f t="shared" si="14"/>
        <v>0</v>
      </c>
      <c r="AA56" s="703"/>
      <c r="AB56" s="703"/>
      <c r="AC56" s="703"/>
      <c r="AD56" s="703"/>
      <c r="AE56" s="703"/>
      <c r="AF56" s="703"/>
      <c r="AG56" s="703"/>
      <c r="AH56" s="703"/>
      <c r="AI56" s="703"/>
      <c r="AJ56" s="703"/>
      <c r="AK56" s="703"/>
    </row>
    <row r="57" spans="1:37" s="561" customFormat="1" ht="15">
      <c r="A57" s="712" t="s">
        <v>1680</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1" customFormat="1" ht="24.75">
      <c r="A58" s="718" t="s">
        <v>1661</v>
      </c>
      <c r="B58" s="719"/>
      <c r="C58" s="719" t="s">
        <v>1663</v>
      </c>
      <c r="D58" s="719" t="s">
        <v>1664</v>
      </c>
      <c r="E58" s="720" t="s">
        <v>1665</v>
      </c>
      <c r="F58" s="721" t="s">
        <v>1681</v>
      </c>
      <c r="G58" s="719" t="s">
        <v>1593</v>
      </c>
      <c r="H58" s="722" t="s">
        <v>1667</v>
      </c>
      <c r="I58" s="719" t="s">
        <v>1668</v>
      </c>
      <c r="J58" s="809" t="s">
        <v>994</v>
      </c>
      <c r="K58" s="809" t="s">
        <v>995</v>
      </c>
      <c r="L58" s="809" t="s">
        <v>996</v>
      </c>
      <c r="M58" s="809" t="s">
        <v>997</v>
      </c>
      <c r="N58" s="809" t="s">
        <v>998</v>
      </c>
      <c r="AA58" s="703"/>
      <c r="AB58" s="703"/>
      <c r="AC58" s="703"/>
      <c r="AD58" s="703"/>
      <c r="AE58" s="703"/>
      <c r="AF58" s="703"/>
      <c r="AG58" s="703"/>
      <c r="AH58" s="703"/>
      <c r="AI58" s="703"/>
      <c r="AJ58" s="703"/>
      <c r="AK58" s="703"/>
    </row>
    <row r="59" spans="1:37" s="561" customFormat="1" ht="38.25">
      <c r="A59" s="718" t="s">
        <v>1682</v>
      </c>
      <c r="B59" s="723" t="str">
        <f>估价对象房地状况!C17</f>
        <v>估价对象位于XX商圈，周边办公楼项目较多，入驻率高，办公集聚程度较好</v>
      </c>
      <c r="C59" s="618"/>
      <c r="D59" s="724">
        <f t="shared" ref="D59:D67" si="15">SUMIF($J$58:$N$58,C59,J59:N59)</f>
        <v>0</v>
      </c>
      <c r="E59" s="725">
        <f>ROUND(SUM(D59:D67),4)</f>
        <v>0</v>
      </c>
      <c r="F59" s="726" t="str">
        <f>IF(E2="办公",SUMIF(L1:L12,G2,N1:N12),"——")</f>
        <v>——</v>
      </c>
      <c r="G59" s="727"/>
      <c r="H59" s="728" t="str">
        <f t="shared" ref="H59:H67" si="16">IFERROR(ROUNDDOWN($F$59*I59/2,4),"——")</f>
        <v>——</v>
      </c>
      <c r="I59" s="810">
        <v>0.24</v>
      </c>
      <c r="J59" s="811">
        <f t="shared" ref="J59:J67" si="17">K59+$G59</f>
        <v>0</v>
      </c>
      <c r="K59" s="811">
        <f t="shared" ref="K59:K67" si="18">$L59+$G59</f>
        <v>0</v>
      </c>
      <c r="L59" s="811">
        <v>0</v>
      </c>
      <c r="M59" s="811">
        <f t="shared" ref="M59:N67" si="19">L59-$G59</f>
        <v>0</v>
      </c>
      <c r="N59" s="811">
        <f t="shared" si="19"/>
        <v>0</v>
      </c>
      <c r="AA59" s="703"/>
      <c r="AB59" s="703"/>
      <c r="AC59" s="703"/>
      <c r="AD59" s="703"/>
      <c r="AE59" s="703"/>
      <c r="AF59" s="703"/>
      <c r="AG59" s="703"/>
      <c r="AH59" s="703"/>
      <c r="AI59" s="703"/>
      <c r="AJ59" s="703"/>
      <c r="AK59" s="703"/>
    </row>
    <row r="60" spans="1:37" s="561" customFormat="1" ht="51">
      <c r="A60" s="718" t="s">
        <v>1670</v>
      </c>
      <c r="B60" s="729" t="str">
        <f>估价对象房地状况!C18</f>
        <v>估价对象周边道路状况、公共交通通达情况、停车便捷程度，综合评价交通便捷度较好</v>
      </c>
      <c r="C60" s="618"/>
      <c r="D60" s="724">
        <f t="shared" si="15"/>
        <v>0</v>
      </c>
      <c r="E60" s="730"/>
      <c r="F60" s="726"/>
      <c r="G60" s="727"/>
      <c r="H60" s="728" t="str">
        <f t="shared" si="16"/>
        <v>——</v>
      </c>
      <c r="I60" s="810">
        <v>0.3</v>
      </c>
      <c r="J60" s="811">
        <f t="shared" si="17"/>
        <v>0</v>
      </c>
      <c r="K60" s="811">
        <f t="shared" si="18"/>
        <v>0</v>
      </c>
      <c r="L60" s="811">
        <v>0</v>
      </c>
      <c r="M60" s="811">
        <f t="shared" si="19"/>
        <v>0</v>
      </c>
      <c r="N60" s="811">
        <f t="shared" si="19"/>
        <v>0</v>
      </c>
      <c r="AA60" s="703"/>
      <c r="AB60" s="703"/>
      <c r="AC60" s="703"/>
      <c r="AD60" s="703"/>
      <c r="AE60" s="703"/>
      <c r="AF60" s="703"/>
      <c r="AG60" s="703"/>
      <c r="AH60" s="703"/>
      <c r="AI60" s="703"/>
      <c r="AJ60" s="703"/>
      <c r="AK60" s="703"/>
    </row>
    <row r="61" spans="1:37" s="561" customFormat="1" ht="24">
      <c r="A61" s="718" t="s">
        <v>1671</v>
      </c>
      <c r="B61" s="729">
        <f>估价对象房地状况!C19</f>
        <v>0</v>
      </c>
      <c r="C61" s="618"/>
      <c r="D61" s="724">
        <f t="shared" si="15"/>
        <v>0</v>
      </c>
      <c r="E61" s="730"/>
      <c r="F61" s="726"/>
      <c r="G61" s="727"/>
      <c r="H61" s="728" t="str">
        <f t="shared" si="16"/>
        <v>——</v>
      </c>
      <c r="I61" s="810">
        <v>0.08</v>
      </c>
      <c r="J61" s="811">
        <f t="shared" si="17"/>
        <v>0</v>
      </c>
      <c r="K61" s="811">
        <f t="shared" si="18"/>
        <v>0</v>
      </c>
      <c r="L61" s="811">
        <v>0</v>
      </c>
      <c r="M61" s="811">
        <f t="shared" si="19"/>
        <v>0</v>
      </c>
      <c r="N61" s="811">
        <f t="shared" si="19"/>
        <v>0</v>
      </c>
      <c r="AA61" s="703"/>
      <c r="AB61" s="703"/>
      <c r="AC61" s="703"/>
      <c r="AD61" s="703"/>
      <c r="AE61" s="703"/>
      <c r="AF61" s="703"/>
      <c r="AG61" s="703"/>
      <c r="AH61" s="703"/>
      <c r="AI61" s="703"/>
      <c r="AJ61" s="703"/>
      <c r="AK61" s="703"/>
    </row>
    <row r="62" spans="1:37" s="561" customFormat="1" ht="36.75">
      <c r="A62" s="718" t="s">
        <v>1672</v>
      </c>
      <c r="B62" s="731" t="s">
        <v>1673</v>
      </c>
      <c r="C62" s="618"/>
      <c r="D62" s="724">
        <f t="shared" si="15"/>
        <v>0</v>
      </c>
      <c r="E62" s="730"/>
      <c r="F62" s="726"/>
      <c r="G62" s="727"/>
      <c r="H62" s="728" t="str">
        <f t="shared" si="16"/>
        <v>——</v>
      </c>
      <c r="I62" s="810">
        <v>0.04</v>
      </c>
      <c r="J62" s="811">
        <f t="shared" si="17"/>
        <v>0</v>
      </c>
      <c r="K62" s="811">
        <f t="shared" si="18"/>
        <v>0</v>
      </c>
      <c r="L62" s="811">
        <v>0</v>
      </c>
      <c r="M62" s="811">
        <f t="shared" si="19"/>
        <v>0</v>
      </c>
      <c r="N62" s="811">
        <f t="shared" si="19"/>
        <v>0</v>
      </c>
      <c r="AA62" s="703"/>
      <c r="AB62" s="703"/>
      <c r="AC62" s="703"/>
      <c r="AD62" s="703"/>
      <c r="AE62" s="703"/>
      <c r="AF62" s="703"/>
      <c r="AG62" s="703"/>
      <c r="AH62" s="703"/>
      <c r="AI62" s="703"/>
      <c r="AJ62" s="703"/>
      <c r="AK62" s="703"/>
    </row>
    <row r="63" spans="1:37" s="561" customFormat="1" ht="24">
      <c r="A63" s="718" t="s">
        <v>1674</v>
      </c>
      <c r="B63" s="729">
        <f>估价对象房地状况!C24</f>
        <v>0</v>
      </c>
      <c r="C63" s="618"/>
      <c r="D63" s="724">
        <f t="shared" si="15"/>
        <v>0</v>
      </c>
      <c r="E63" s="730"/>
      <c r="F63" s="726"/>
      <c r="G63" s="727"/>
      <c r="H63" s="728" t="str">
        <f t="shared" si="16"/>
        <v>——</v>
      </c>
      <c r="I63" s="810">
        <v>0.05</v>
      </c>
      <c r="J63" s="811">
        <f t="shared" si="17"/>
        <v>0</v>
      </c>
      <c r="K63" s="811">
        <f t="shared" si="18"/>
        <v>0</v>
      </c>
      <c r="L63" s="811">
        <v>0</v>
      </c>
      <c r="M63" s="811">
        <f t="shared" si="19"/>
        <v>0</v>
      </c>
      <c r="N63" s="811">
        <f t="shared" si="19"/>
        <v>0</v>
      </c>
      <c r="AA63" s="703"/>
      <c r="AB63" s="703"/>
      <c r="AC63" s="703"/>
      <c r="AD63" s="703"/>
      <c r="AE63" s="703"/>
      <c r="AF63" s="703"/>
      <c r="AG63" s="703"/>
      <c r="AH63" s="703"/>
      <c r="AI63" s="703"/>
      <c r="AJ63" s="703"/>
      <c r="AK63" s="703"/>
    </row>
    <row r="64" spans="1:37" s="561" customFormat="1" ht="24">
      <c r="A64" s="718" t="s">
        <v>1675</v>
      </c>
      <c r="B64" s="732" t="s">
        <v>1676</v>
      </c>
      <c r="C64" s="618"/>
      <c r="D64" s="724">
        <f t="shared" si="15"/>
        <v>0</v>
      </c>
      <c r="E64" s="730"/>
      <c r="F64" s="726"/>
      <c r="G64" s="727"/>
      <c r="H64" s="728" t="str">
        <f t="shared" si="16"/>
        <v>——</v>
      </c>
      <c r="I64" s="810">
        <v>0.05</v>
      </c>
      <c r="J64" s="811">
        <f t="shared" si="17"/>
        <v>0</v>
      </c>
      <c r="K64" s="811">
        <f t="shared" si="18"/>
        <v>0</v>
      </c>
      <c r="L64" s="811">
        <v>0</v>
      </c>
      <c r="M64" s="811">
        <f t="shared" si="19"/>
        <v>0</v>
      </c>
      <c r="N64" s="811">
        <f t="shared" si="19"/>
        <v>0</v>
      </c>
      <c r="AA64" s="703"/>
      <c r="AB64" s="703"/>
      <c r="AC64" s="703"/>
      <c r="AD64" s="703"/>
      <c r="AE64" s="703"/>
      <c r="AF64" s="703"/>
      <c r="AG64" s="703"/>
      <c r="AH64" s="703"/>
      <c r="AI64" s="703"/>
      <c r="AJ64" s="703"/>
      <c r="AK64" s="703"/>
    </row>
    <row r="65" spans="1:37" s="561" customFormat="1" ht="25.5">
      <c r="A65" s="718" t="s">
        <v>1677</v>
      </c>
      <c r="B65" s="265" t="str">
        <f>估价对象房地状况!C21</f>
        <v>估价对象所在区域公共配套设施齐备情况</v>
      </c>
      <c r="C65" s="618"/>
      <c r="D65" s="724">
        <f t="shared" si="15"/>
        <v>0</v>
      </c>
      <c r="E65" s="730"/>
      <c r="F65" s="726"/>
      <c r="G65" s="727"/>
      <c r="H65" s="728" t="str">
        <f t="shared" si="16"/>
        <v>——</v>
      </c>
      <c r="I65" s="810">
        <v>0.06</v>
      </c>
      <c r="J65" s="811">
        <f t="shared" si="17"/>
        <v>0</v>
      </c>
      <c r="K65" s="811">
        <f t="shared" si="18"/>
        <v>0</v>
      </c>
      <c r="L65" s="811">
        <v>0</v>
      </c>
      <c r="M65" s="811">
        <f t="shared" si="19"/>
        <v>0</v>
      </c>
      <c r="N65" s="811">
        <f t="shared" si="19"/>
        <v>0</v>
      </c>
      <c r="AA65" s="703"/>
      <c r="AB65" s="703"/>
      <c r="AC65" s="703"/>
      <c r="AD65" s="703"/>
      <c r="AE65" s="703"/>
      <c r="AF65" s="703"/>
      <c r="AG65" s="703"/>
      <c r="AH65" s="703"/>
      <c r="AI65" s="703"/>
      <c r="AJ65" s="703"/>
      <c r="AK65" s="703"/>
    </row>
    <row r="66" spans="1:37" s="561" customFormat="1" ht="25.5">
      <c r="A66" s="718" t="s">
        <v>1678</v>
      </c>
      <c r="B66" s="265" t="str">
        <f>估价对象房地状况!C22</f>
        <v>估价对象所在区域基础设施水平</v>
      </c>
      <c r="C66" s="618"/>
      <c r="D66" s="724">
        <f t="shared" si="15"/>
        <v>0</v>
      </c>
      <c r="E66" s="730"/>
      <c r="F66" s="726"/>
      <c r="G66" s="727"/>
      <c r="H66" s="728" t="str">
        <f t="shared" si="16"/>
        <v>——</v>
      </c>
      <c r="I66" s="810">
        <v>0.12</v>
      </c>
      <c r="J66" s="811">
        <f t="shared" si="17"/>
        <v>0</v>
      </c>
      <c r="K66" s="811">
        <f t="shared" si="18"/>
        <v>0</v>
      </c>
      <c r="L66" s="811">
        <v>0</v>
      </c>
      <c r="M66" s="811">
        <f t="shared" si="19"/>
        <v>0</v>
      </c>
      <c r="N66" s="811">
        <f t="shared" si="19"/>
        <v>0</v>
      </c>
      <c r="AA66" s="703"/>
      <c r="AB66" s="703"/>
      <c r="AC66" s="703"/>
      <c r="AD66" s="703"/>
      <c r="AE66" s="703"/>
      <c r="AF66" s="703"/>
      <c r="AG66" s="703"/>
      <c r="AH66" s="703"/>
      <c r="AI66" s="703"/>
      <c r="AJ66" s="703"/>
      <c r="AK66" s="703"/>
    </row>
    <row r="67" spans="1:37" s="561" customFormat="1" ht="38.25">
      <c r="A67" s="734" t="s">
        <v>1679</v>
      </c>
      <c r="B67" s="838" t="str">
        <f>估价对象房地状况!C20</f>
        <v>区域自然环境：；人文环境；综合评价环境状况一般</v>
      </c>
      <c r="C67" s="618"/>
      <c r="D67" s="724">
        <f t="shared" si="15"/>
        <v>0</v>
      </c>
      <c r="E67" s="736"/>
      <c r="F67" s="726"/>
      <c r="G67" s="727"/>
      <c r="H67" s="728" t="str">
        <f t="shared" si="16"/>
        <v>——</v>
      </c>
      <c r="I67" s="812">
        <v>0.06</v>
      </c>
      <c r="J67" s="811">
        <f t="shared" si="17"/>
        <v>0</v>
      </c>
      <c r="K67" s="811">
        <f t="shared" si="18"/>
        <v>0</v>
      </c>
      <c r="L67" s="811">
        <v>0</v>
      </c>
      <c r="M67" s="811">
        <f t="shared" si="19"/>
        <v>0</v>
      </c>
      <c r="N67" s="811">
        <f t="shared" si="19"/>
        <v>0</v>
      </c>
      <c r="AA67" s="703"/>
      <c r="AB67" s="703"/>
      <c r="AC67" s="703"/>
      <c r="AD67" s="703"/>
      <c r="AE67" s="703"/>
      <c r="AF67" s="703"/>
      <c r="AG67" s="703"/>
      <c r="AH67" s="703"/>
      <c r="AI67" s="703"/>
      <c r="AJ67" s="703"/>
      <c r="AK67" s="703"/>
    </row>
    <row r="68" spans="1:37" s="561" customFormat="1" ht="15">
      <c r="A68" s="712" t="s">
        <v>1683</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1" customFormat="1" ht="24.75">
      <c r="A69" s="718" t="s">
        <v>1661</v>
      </c>
      <c r="B69" s="719"/>
      <c r="C69" s="719" t="s">
        <v>1663</v>
      </c>
      <c r="D69" s="719" t="s">
        <v>1664</v>
      </c>
      <c r="E69" s="720" t="s">
        <v>1665</v>
      </c>
      <c r="F69" s="721" t="s">
        <v>1681</v>
      </c>
      <c r="G69" s="719" t="s">
        <v>1593</v>
      </c>
      <c r="H69" s="722" t="s">
        <v>1667</v>
      </c>
      <c r="I69" s="719" t="s">
        <v>1668</v>
      </c>
      <c r="J69" s="809" t="s">
        <v>994</v>
      </c>
      <c r="K69" s="809" t="s">
        <v>995</v>
      </c>
      <c r="L69" s="809" t="s">
        <v>996</v>
      </c>
      <c r="M69" s="809" t="s">
        <v>997</v>
      </c>
      <c r="N69" s="809" t="s">
        <v>998</v>
      </c>
      <c r="AA69" s="703"/>
      <c r="AB69" s="703"/>
      <c r="AC69" s="703"/>
      <c r="AD69" s="703"/>
      <c r="AE69" s="703"/>
      <c r="AF69" s="703"/>
      <c r="AG69" s="703"/>
      <c r="AH69" s="703"/>
      <c r="AI69" s="703"/>
      <c r="AJ69" s="703"/>
      <c r="AK69" s="703"/>
    </row>
    <row r="70" spans="1:37" s="561" customFormat="1" ht="51">
      <c r="A70" s="718" t="s">
        <v>1684</v>
      </c>
      <c r="B70" s="723" t="str">
        <f>估价对象房地状况!C15</f>
        <v>估价对象周边居住用地比例、居住小区规模和社区发展完善程度，综合评价居住社区成熟度一般</v>
      </c>
      <c r="C70" s="618"/>
      <c r="D70" s="724">
        <f t="shared" ref="D70:D78" si="20">SUMIF($J$69:$N$69,C70,J70:N70)</f>
        <v>0</v>
      </c>
      <c r="E70" s="725">
        <f>ROUND(SUM(D70:D78),4)</f>
        <v>0</v>
      </c>
      <c r="F70" s="726" t="str">
        <f>IF(E2="住宅",SUMIF(L1:L12,G2,N1:N12),"——")</f>
        <v>——</v>
      </c>
      <c r="G70" s="727"/>
      <c r="H70" s="728" t="str">
        <f t="shared" ref="H70:H78" si="21">IFERROR(ROUNDDOWN($F$70*I70/2,4),"——")</f>
        <v>——</v>
      </c>
      <c r="I70" s="810">
        <v>0.14000000000000001</v>
      </c>
      <c r="J70" s="811">
        <f t="shared" ref="J70:J78" si="22">K70+$G70</f>
        <v>0</v>
      </c>
      <c r="K70" s="811">
        <f t="shared" ref="K70:K78" si="23">$L70+$G70</f>
        <v>0</v>
      </c>
      <c r="L70" s="811">
        <v>0</v>
      </c>
      <c r="M70" s="811">
        <f t="shared" ref="M70:N78" si="24">L70-$G70</f>
        <v>0</v>
      </c>
      <c r="N70" s="811">
        <f t="shared" si="24"/>
        <v>0</v>
      </c>
      <c r="AA70" s="703"/>
      <c r="AB70" s="703"/>
      <c r="AC70" s="703"/>
      <c r="AD70" s="703"/>
      <c r="AE70" s="703"/>
      <c r="AF70" s="703"/>
      <c r="AG70" s="703"/>
      <c r="AH70" s="703"/>
      <c r="AI70" s="703"/>
      <c r="AJ70" s="703"/>
      <c r="AK70" s="703"/>
    </row>
    <row r="71" spans="1:37" s="561" customFormat="1" ht="51">
      <c r="A71" s="718" t="s">
        <v>1670</v>
      </c>
      <c r="B71" s="729" t="str">
        <f>估价对象房地状况!C18</f>
        <v>估价对象周边道路状况、公共交通通达情况、停车便捷程度，综合评价交通便捷度较好</v>
      </c>
      <c r="C71" s="618"/>
      <c r="D71" s="724">
        <f t="shared" si="20"/>
        <v>0</v>
      </c>
      <c r="E71" s="839"/>
      <c r="F71" s="726"/>
      <c r="G71" s="727"/>
      <c r="H71" s="728" t="str">
        <f t="shared" si="21"/>
        <v>——</v>
      </c>
      <c r="I71" s="810">
        <v>0.3</v>
      </c>
      <c r="J71" s="811">
        <f t="shared" si="22"/>
        <v>0</v>
      </c>
      <c r="K71" s="811">
        <f t="shared" si="23"/>
        <v>0</v>
      </c>
      <c r="L71" s="811">
        <v>0</v>
      </c>
      <c r="M71" s="811">
        <f t="shared" si="24"/>
        <v>0</v>
      </c>
      <c r="N71" s="811">
        <f t="shared" si="24"/>
        <v>0</v>
      </c>
      <c r="AA71" s="703"/>
      <c r="AB71" s="703"/>
      <c r="AC71" s="703"/>
      <c r="AD71" s="703"/>
      <c r="AE71" s="703"/>
      <c r="AF71" s="703"/>
      <c r="AG71" s="703"/>
      <c r="AH71" s="703"/>
      <c r="AI71" s="703"/>
      <c r="AJ71" s="703"/>
      <c r="AK71" s="703"/>
    </row>
    <row r="72" spans="1:37" s="561" customFormat="1" ht="24">
      <c r="A72" s="718" t="s">
        <v>1671</v>
      </c>
      <c r="B72" s="729">
        <f>估价对象房地状况!C19</f>
        <v>0</v>
      </c>
      <c r="C72" s="618"/>
      <c r="D72" s="724">
        <f t="shared" si="20"/>
        <v>0</v>
      </c>
      <c r="E72" s="839"/>
      <c r="F72" s="726"/>
      <c r="G72" s="727"/>
      <c r="H72" s="728" t="str">
        <f t="shared" si="21"/>
        <v>——</v>
      </c>
      <c r="I72" s="810">
        <v>0.08</v>
      </c>
      <c r="J72" s="811">
        <f t="shared" si="22"/>
        <v>0</v>
      </c>
      <c r="K72" s="811">
        <f t="shared" si="23"/>
        <v>0</v>
      </c>
      <c r="L72" s="811">
        <v>0</v>
      </c>
      <c r="M72" s="811">
        <f t="shared" si="24"/>
        <v>0</v>
      </c>
      <c r="N72" s="811">
        <f t="shared" si="24"/>
        <v>0</v>
      </c>
      <c r="AA72" s="703"/>
      <c r="AB72" s="703"/>
      <c r="AC72" s="703"/>
      <c r="AD72" s="703"/>
      <c r="AE72" s="703"/>
      <c r="AF72" s="703"/>
      <c r="AG72" s="703"/>
      <c r="AH72" s="703"/>
      <c r="AI72" s="703"/>
      <c r="AJ72" s="703"/>
      <c r="AK72" s="703"/>
    </row>
    <row r="73" spans="1:37" s="561" customFormat="1" ht="14.25">
      <c r="A73" s="718" t="s">
        <v>1685</v>
      </c>
      <c r="B73" s="729">
        <f>估价对象房地状况!C24</f>
        <v>0</v>
      </c>
      <c r="C73" s="618"/>
      <c r="D73" s="724">
        <f t="shared" si="20"/>
        <v>0</v>
      </c>
      <c r="E73" s="839"/>
      <c r="F73" s="726"/>
      <c r="G73" s="727"/>
      <c r="H73" s="728" t="str">
        <f t="shared" si="21"/>
        <v>——</v>
      </c>
      <c r="I73" s="810">
        <v>0.04</v>
      </c>
      <c r="J73" s="811">
        <f t="shared" si="22"/>
        <v>0</v>
      </c>
      <c r="K73" s="811">
        <f t="shared" si="23"/>
        <v>0</v>
      </c>
      <c r="L73" s="811">
        <v>0</v>
      </c>
      <c r="M73" s="811">
        <f t="shared" si="24"/>
        <v>0</v>
      </c>
      <c r="N73" s="811">
        <f t="shared" si="24"/>
        <v>0</v>
      </c>
      <c r="AA73" s="703"/>
      <c r="AB73" s="703"/>
      <c r="AC73" s="703"/>
      <c r="AD73" s="703"/>
      <c r="AE73" s="703"/>
      <c r="AF73" s="703"/>
      <c r="AG73" s="703"/>
      <c r="AH73" s="703"/>
      <c r="AI73" s="703"/>
      <c r="AJ73" s="703"/>
      <c r="AK73" s="703"/>
    </row>
    <row r="74" spans="1:37" s="561" customFormat="1" ht="25.5">
      <c r="A74" s="718" t="s">
        <v>1677</v>
      </c>
      <c r="B74" s="265" t="str">
        <f>估价对象房地状况!C21</f>
        <v>估价对象所在区域公共配套设施齐备情况</v>
      </c>
      <c r="C74" s="618"/>
      <c r="D74" s="724">
        <f t="shared" si="20"/>
        <v>0</v>
      </c>
      <c r="E74" s="839"/>
      <c r="F74" s="726"/>
      <c r="G74" s="727"/>
      <c r="H74" s="728" t="str">
        <f t="shared" si="21"/>
        <v>——</v>
      </c>
      <c r="I74" s="810">
        <v>0.08</v>
      </c>
      <c r="J74" s="811">
        <f t="shared" si="22"/>
        <v>0</v>
      </c>
      <c r="K74" s="811">
        <f t="shared" si="23"/>
        <v>0</v>
      </c>
      <c r="L74" s="811">
        <v>0</v>
      </c>
      <c r="M74" s="811">
        <f t="shared" si="24"/>
        <v>0</v>
      </c>
      <c r="N74" s="811">
        <f t="shared" si="24"/>
        <v>0</v>
      </c>
      <c r="AA74" s="703"/>
      <c r="AB74" s="703"/>
      <c r="AC74" s="703"/>
      <c r="AD74" s="703"/>
      <c r="AE74" s="703"/>
      <c r="AF74" s="703"/>
      <c r="AG74" s="703"/>
      <c r="AH74" s="703"/>
      <c r="AI74" s="703"/>
      <c r="AJ74" s="703"/>
      <c r="AK74" s="703"/>
    </row>
    <row r="75" spans="1:37" s="561" customFormat="1" ht="25.5">
      <c r="A75" s="718" t="s">
        <v>1678</v>
      </c>
      <c r="B75" s="265" t="str">
        <f>估价对象房地状况!C22</f>
        <v>估价对象所在区域基础设施水平</v>
      </c>
      <c r="C75" s="618"/>
      <c r="D75" s="724">
        <f t="shared" si="20"/>
        <v>0</v>
      </c>
      <c r="E75" s="839"/>
      <c r="F75" s="726"/>
      <c r="G75" s="727"/>
      <c r="H75" s="728" t="str">
        <f t="shared" si="21"/>
        <v>——</v>
      </c>
      <c r="I75" s="810">
        <v>0.12</v>
      </c>
      <c r="J75" s="811">
        <f t="shared" si="22"/>
        <v>0</v>
      </c>
      <c r="K75" s="811">
        <f t="shared" si="23"/>
        <v>0</v>
      </c>
      <c r="L75" s="811">
        <v>0</v>
      </c>
      <c r="M75" s="811">
        <f t="shared" si="24"/>
        <v>0</v>
      </c>
      <c r="N75" s="811">
        <f t="shared" si="24"/>
        <v>0</v>
      </c>
      <c r="AA75" s="703"/>
      <c r="AB75" s="703"/>
      <c r="AC75" s="703"/>
      <c r="AD75" s="703"/>
      <c r="AE75" s="703"/>
      <c r="AF75" s="703"/>
      <c r="AG75" s="703"/>
      <c r="AH75" s="703"/>
      <c r="AI75" s="703"/>
      <c r="AJ75" s="703"/>
      <c r="AK75" s="703"/>
    </row>
    <row r="76" spans="1:37" s="562" customFormat="1" ht="24">
      <c r="A76" s="718" t="s">
        <v>1675</v>
      </c>
      <c r="B76" s="732" t="s">
        <v>1676</v>
      </c>
      <c r="C76" s="618"/>
      <c r="D76" s="724">
        <f t="shared" si="20"/>
        <v>0</v>
      </c>
      <c r="E76" s="839"/>
      <c r="F76" s="726"/>
      <c r="G76" s="727"/>
      <c r="H76" s="728" t="str">
        <f t="shared" si="21"/>
        <v>——</v>
      </c>
      <c r="I76" s="810">
        <v>0.05</v>
      </c>
      <c r="J76" s="811">
        <f t="shared" si="22"/>
        <v>0</v>
      </c>
      <c r="K76" s="811">
        <f t="shared" si="23"/>
        <v>0</v>
      </c>
      <c r="L76" s="811">
        <v>0</v>
      </c>
      <c r="M76" s="811">
        <f t="shared" si="24"/>
        <v>0</v>
      </c>
      <c r="N76" s="811">
        <f t="shared" si="24"/>
        <v>0</v>
      </c>
      <c r="AA76" s="872"/>
      <c r="AB76" s="703"/>
      <c r="AC76" s="703"/>
      <c r="AD76" s="703"/>
      <c r="AE76" s="703"/>
      <c r="AF76" s="703"/>
      <c r="AG76" s="703"/>
      <c r="AH76" s="872"/>
      <c r="AI76" s="872"/>
      <c r="AJ76" s="872"/>
      <c r="AK76" s="872"/>
    </row>
    <row r="77" spans="1:37" ht="38.25">
      <c r="A77" s="718" t="s">
        <v>1679</v>
      </c>
      <c r="B77" s="723" t="str">
        <f>估价对象房地状况!C20</f>
        <v>区域自然环境：；人文环境；综合评价环境状况一般</v>
      </c>
      <c r="C77" s="618"/>
      <c r="D77" s="724">
        <f t="shared" si="20"/>
        <v>0</v>
      </c>
      <c r="E77" s="839"/>
      <c r="F77" s="726"/>
      <c r="G77" s="727"/>
      <c r="H77" s="728" t="str">
        <f t="shared" si="21"/>
        <v>——</v>
      </c>
      <c r="I77" s="810">
        <v>0.15</v>
      </c>
      <c r="J77" s="811">
        <f t="shared" si="22"/>
        <v>0</v>
      </c>
      <c r="K77" s="811">
        <f t="shared" si="23"/>
        <v>0</v>
      </c>
      <c r="L77" s="811">
        <v>0</v>
      </c>
      <c r="M77" s="811">
        <f t="shared" si="24"/>
        <v>0</v>
      </c>
      <c r="N77" s="811">
        <f t="shared" si="24"/>
        <v>0</v>
      </c>
      <c r="Z77" s="565"/>
      <c r="AA77" s="563"/>
      <c r="AG77" s="567"/>
      <c r="AK77" s="563"/>
    </row>
    <row r="78" spans="1:37" ht="24">
      <c r="A78" s="734" t="s">
        <v>1686</v>
      </c>
      <c r="B78" s="840"/>
      <c r="C78" s="618"/>
      <c r="D78" s="724">
        <f t="shared" si="20"/>
        <v>0</v>
      </c>
      <c r="E78" s="841"/>
      <c r="F78" s="726"/>
      <c r="G78" s="727"/>
      <c r="H78" s="728" t="str">
        <f t="shared" si="21"/>
        <v>——</v>
      </c>
      <c r="I78" s="812">
        <v>0.04</v>
      </c>
      <c r="J78" s="811">
        <f t="shared" si="22"/>
        <v>0</v>
      </c>
      <c r="K78" s="811">
        <f t="shared" si="23"/>
        <v>0</v>
      </c>
      <c r="L78" s="811">
        <v>0</v>
      </c>
      <c r="M78" s="811">
        <f t="shared" si="24"/>
        <v>0</v>
      </c>
      <c r="N78" s="811">
        <f t="shared" si="24"/>
        <v>0</v>
      </c>
      <c r="Z78" s="565"/>
      <c r="AA78" s="563"/>
      <c r="AG78" s="567"/>
      <c r="AK78" s="563"/>
    </row>
    <row r="79" spans="1:37" ht="15">
      <c r="A79" s="712" t="s">
        <v>1687</v>
      </c>
      <c r="B79" s="713">
        <f>1+E81</f>
        <v>1</v>
      </c>
      <c r="C79" s="715"/>
      <c r="D79" s="715"/>
      <c r="E79" s="716"/>
      <c r="F79" s="717"/>
      <c r="G79" s="711"/>
      <c r="H79" s="711"/>
      <c r="I79" s="711"/>
      <c r="J79" s="710"/>
      <c r="K79" s="710"/>
      <c r="L79" s="710"/>
      <c r="M79" s="710"/>
      <c r="N79" s="710"/>
      <c r="Z79" s="565"/>
      <c r="AA79" s="563"/>
      <c r="AG79" s="567"/>
      <c r="AK79" s="563"/>
    </row>
    <row r="80" spans="1:37" ht="24.75">
      <c r="A80" s="718" t="s">
        <v>1661</v>
      </c>
      <c r="B80" s="719"/>
      <c r="C80" s="719" t="s">
        <v>1663</v>
      </c>
      <c r="D80" s="719" t="s">
        <v>1664</v>
      </c>
      <c r="E80" s="720" t="s">
        <v>1665</v>
      </c>
      <c r="F80" s="721" t="s">
        <v>1681</v>
      </c>
      <c r="G80" s="719" t="s">
        <v>1593</v>
      </c>
      <c r="H80" s="722" t="s">
        <v>1667</v>
      </c>
      <c r="I80" s="719" t="s">
        <v>1668</v>
      </c>
      <c r="J80" s="809" t="s">
        <v>994</v>
      </c>
      <c r="K80" s="809" t="s">
        <v>995</v>
      </c>
      <c r="L80" s="809" t="s">
        <v>996</v>
      </c>
      <c r="M80" s="809" t="s">
        <v>997</v>
      </c>
      <c r="N80" s="809" t="s">
        <v>998</v>
      </c>
      <c r="Z80" s="565"/>
      <c r="AA80" s="563"/>
      <c r="AG80" s="567"/>
      <c r="AK80" s="563"/>
    </row>
    <row r="81" spans="1:37" ht="24">
      <c r="A81" s="718" t="s">
        <v>1688</v>
      </c>
      <c r="B81" s="729" t="str">
        <f>估价对象房地状况!G15</f>
        <v>较好</v>
      </c>
      <c r="C81" s="618"/>
      <c r="D81" s="724">
        <f t="shared" ref="D81:D88" si="25">SUMIF($J$80:$N$80,C81,J81:N81)</f>
        <v>0</v>
      </c>
      <c r="E81" s="725">
        <f>ROUND(SUM(D81:D88),4)</f>
        <v>0</v>
      </c>
      <c r="F81" s="726" t="str">
        <f>IF(E2="工业",SUMIF(L1:L12,G2,N1:N12),"——")</f>
        <v>——</v>
      </c>
      <c r="G81" s="727"/>
      <c r="H81" s="728" t="str">
        <f t="shared" ref="H81:H88" si="26">IFERROR(ROUNDDOWN($F$81*I81/2,4),"——")</f>
        <v>——</v>
      </c>
      <c r="I81" s="810">
        <v>0.26</v>
      </c>
      <c r="J81" s="811">
        <f t="shared" ref="J81:J88" si="27">K81+$G81</f>
        <v>0</v>
      </c>
      <c r="K81" s="811">
        <f t="shared" ref="K81:K88" si="28">$L81+$G81</f>
        <v>0</v>
      </c>
      <c r="L81" s="811">
        <v>0</v>
      </c>
      <c r="M81" s="811">
        <f t="shared" ref="M81:N88" si="29">L81-$G81</f>
        <v>0</v>
      </c>
      <c r="N81" s="811">
        <f t="shared" si="29"/>
        <v>0</v>
      </c>
      <c r="Z81" s="565"/>
      <c r="AA81" s="563"/>
      <c r="AG81" s="567"/>
      <c r="AK81" s="563"/>
    </row>
    <row r="82" spans="1:37" ht="14.25">
      <c r="A82" s="718" t="s">
        <v>1670</v>
      </c>
      <c r="B82" s="729" t="str">
        <f>估价对象房地状况!G16</f>
        <v>一般</v>
      </c>
      <c r="C82" s="618"/>
      <c r="D82" s="724">
        <f t="shared" si="25"/>
        <v>0</v>
      </c>
      <c r="E82" s="839"/>
      <c r="F82" s="726"/>
      <c r="G82" s="727"/>
      <c r="H82" s="728" t="str">
        <f t="shared" si="26"/>
        <v>——</v>
      </c>
      <c r="I82" s="810">
        <v>0.33</v>
      </c>
      <c r="J82" s="811">
        <f t="shared" si="27"/>
        <v>0</v>
      </c>
      <c r="K82" s="811">
        <f t="shared" si="28"/>
        <v>0</v>
      </c>
      <c r="L82" s="811">
        <v>0</v>
      </c>
      <c r="M82" s="811">
        <f t="shared" si="29"/>
        <v>0</v>
      </c>
      <c r="N82" s="811">
        <f t="shared" si="29"/>
        <v>0</v>
      </c>
      <c r="Z82" s="565"/>
      <c r="AA82" s="563"/>
      <c r="AG82" s="567"/>
      <c r="AK82" s="563"/>
    </row>
    <row r="83" spans="1:37" ht="24">
      <c r="A83" s="718" t="s">
        <v>1671</v>
      </c>
      <c r="B83" s="729" t="str">
        <f>估价对象房地状况!G17</f>
        <v>较好</v>
      </c>
      <c r="C83" s="618"/>
      <c r="D83" s="724">
        <f t="shared" si="25"/>
        <v>0</v>
      </c>
      <c r="E83" s="839"/>
      <c r="F83" s="726"/>
      <c r="G83" s="727"/>
      <c r="H83" s="728" t="str">
        <f t="shared" si="26"/>
        <v>——</v>
      </c>
      <c r="I83" s="810">
        <v>0.05</v>
      </c>
      <c r="J83" s="811">
        <f t="shared" si="27"/>
        <v>0</v>
      </c>
      <c r="K83" s="811">
        <f t="shared" si="28"/>
        <v>0</v>
      </c>
      <c r="L83" s="811">
        <v>0</v>
      </c>
      <c r="M83" s="811">
        <f t="shared" si="29"/>
        <v>0</v>
      </c>
      <c r="N83" s="811">
        <f t="shared" si="29"/>
        <v>0</v>
      </c>
      <c r="Z83" s="565"/>
      <c r="AA83" s="563"/>
      <c r="AG83" s="567"/>
      <c r="AK83" s="563"/>
    </row>
    <row r="84" spans="1:37" ht="14.25">
      <c r="A84" s="718" t="s">
        <v>1685</v>
      </c>
      <c r="B84" s="729">
        <f>估价对象房地状况!G22</f>
        <v>0</v>
      </c>
      <c r="C84" s="618"/>
      <c r="D84" s="724">
        <f t="shared" si="25"/>
        <v>0</v>
      </c>
      <c r="E84" s="839"/>
      <c r="F84" s="726"/>
      <c r="G84" s="727"/>
      <c r="H84" s="728" t="str">
        <f t="shared" si="26"/>
        <v>——</v>
      </c>
      <c r="I84" s="810">
        <v>0.04</v>
      </c>
      <c r="J84" s="811">
        <f t="shared" si="27"/>
        <v>0</v>
      </c>
      <c r="K84" s="811">
        <f t="shared" si="28"/>
        <v>0</v>
      </c>
      <c r="L84" s="811">
        <v>0</v>
      </c>
      <c r="M84" s="811">
        <f t="shared" si="29"/>
        <v>0</v>
      </c>
      <c r="N84" s="811">
        <f t="shared" si="29"/>
        <v>0</v>
      </c>
      <c r="Z84" s="565"/>
      <c r="AA84" s="563"/>
      <c r="AG84" s="567"/>
      <c r="AK84" s="563"/>
    </row>
    <row r="85" spans="1:37" ht="24">
      <c r="A85" s="718" t="s">
        <v>1677</v>
      </c>
      <c r="B85" s="265" t="str">
        <f>估价对象房地状况!G19</f>
        <v>一般</v>
      </c>
      <c r="C85" s="618"/>
      <c r="D85" s="724">
        <f t="shared" si="25"/>
        <v>0</v>
      </c>
      <c r="E85" s="839"/>
      <c r="F85" s="726"/>
      <c r="G85" s="727"/>
      <c r="H85" s="728" t="str">
        <f t="shared" si="26"/>
        <v>——</v>
      </c>
      <c r="I85" s="810">
        <v>0.06</v>
      </c>
      <c r="J85" s="811">
        <f t="shared" si="27"/>
        <v>0</v>
      </c>
      <c r="K85" s="811">
        <f t="shared" si="28"/>
        <v>0</v>
      </c>
      <c r="L85" s="811">
        <v>0</v>
      </c>
      <c r="M85" s="811">
        <f t="shared" si="29"/>
        <v>0</v>
      </c>
      <c r="N85" s="811">
        <f t="shared" si="29"/>
        <v>0</v>
      </c>
      <c r="Z85" s="565"/>
      <c r="AA85" s="563"/>
      <c r="AG85" s="567"/>
      <c r="AK85" s="563"/>
    </row>
    <row r="86" spans="1:37" ht="24">
      <c r="A86" s="718" t="s">
        <v>1678</v>
      </c>
      <c r="B86" s="265" t="str">
        <f>估价对象房地状况!G20</f>
        <v>七通</v>
      </c>
      <c r="C86" s="618"/>
      <c r="D86" s="724">
        <f t="shared" si="25"/>
        <v>0</v>
      </c>
      <c r="E86" s="839"/>
      <c r="F86" s="726"/>
      <c r="G86" s="727"/>
      <c r="H86" s="728" t="str">
        <f t="shared" si="26"/>
        <v>——</v>
      </c>
      <c r="I86" s="810">
        <v>0.15</v>
      </c>
      <c r="J86" s="811">
        <f t="shared" si="27"/>
        <v>0</v>
      </c>
      <c r="K86" s="811">
        <f t="shared" si="28"/>
        <v>0</v>
      </c>
      <c r="L86" s="811">
        <v>0</v>
      </c>
      <c r="M86" s="811">
        <f t="shared" si="29"/>
        <v>0</v>
      </c>
      <c r="N86" s="811">
        <f t="shared" si="29"/>
        <v>0</v>
      </c>
      <c r="Z86" s="565"/>
      <c r="AA86" s="563"/>
      <c r="AG86" s="567"/>
      <c r="AK86" s="563"/>
    </row>
    <row r="87" spans="1:37" ht="24">
      <c r="A87" s="718" t="s">
        <v>1675</v>
      </c>
      <c r="B87" s="732" t="s">
        <v>1689</v>
      </c>
      <c r="C87" s="618"/>
      <c r="D87" s="724">
        <f t="shared" si="25"/>
        <v>0</v>
      </c>
      <c r="E87" s="839"/>
      <c r="F87" s="726"/>
      <c r="G87" s="727"/>
      <c r="H87" s="728" t="str">
        <f t="shared" si="26"/>
        <v>——</v>
      </c>
      <c r="I87" s="810">
        <v>0.05</v>
      </c>
      <c r="J87" s="811">
        <f t="shared" si="27"/>
        <v>0</v>
      </c>
      <c r="K87" s="811">
        <f t="shared" si="28"/>
        <v>0</v>
      </c>
      <c r="L87" s="811">
        <v>0</v>
      </c>
      <c r="M87" s="811">
        <f t="shared" si="29"/>
        <v>0</v>
      </c>
      <c r="N87" s="811">
        <f t="shared" si="29"/>
        <v>0</v>
      </c>
      <c r="Z87" s="565"/>
      <c r="AA87" s="563"/>
      <c r="AG87" s="567"/>
      <c r="AK87" s="563"/>
    </row>
    <row r="88" spans="1:37" ht="14.25">
      <c r="A88" s="734" t="s">
        <v>1690</v>
      </c>
      <c r="B88" s="842" t="str">
        <f>估价对象房地状况!G18</f>
        <v>一般</v>
      </c>
      <c r="C88" s="618"/>
      <c r="D88" s="724">
        <f t="shared" si="25"/>
        <v>0</v>
      </c>
      <c r="E88" s="841"/>
      <c r="F88" s="726"/>
      <c r="G88" s="727"/>
      <c r="H88" s="728" t="str">
        <f t="shared" si="26"/>
        <v>——</v>
      </c>
      <c r="I88" s="812">
        <v>0.06</v>
      </c>
      <c r="J88" s="811">
        <f t="shared" si="27"/>
        <v>0</v>
      </c>
      <c r="K88" s="811">
        <f t="shared" si="28"/>
        <v>0</v>
      </c>
      <c r="L88" s="811">
        <v>0</v>
      </c>
      <c r="M88" s="811">
        <f t="shared" si="29"/>
        <v>0</v>
      </c>
      <c r="N88" s="811">
        <f t="shared" si="29"/>
        <v>0</v>
      </c>
      <c r="Z88" s="565"/>
      <c r="AA88" s="563"/>
      <c r="AG88" s="567"/>
      <c r="AK88" s="563"/>
    </row>
    <row r="90" spans="1:37">
      <c r="A90" s="3273" t="s">
        <v>1691</v>
      </c>
      <c r="B90" s="3273"/>
      <c r="C90" s="3273"/>
      <c r="D90" s="3273"/>
      <c r="E90" s="3273"/>
      <c r="F90" s="3273"/>
      <c r="G90" s="3273"/>
      <c r="H90" s="3273"/>
      <c r="I90" s="3273"/>
      <c r="J90" s="3273"/>
      <c r="K90" s="843"/>
      <c r="L90" s="843"/>
      <c r="M90" s="843"/>
      <c r="N90" s="843"/>
    </row>
    <row r="91" spans="1:37">
      <c r="A91" s="3282" t="s">
        <v>1692</v>
      </c>
      <c r="B91" s="3282" t="s">
        <v>1693</v>
      </c>
      <c r="C91" s="685" t="s">
        <v>1694</v>
      </c>
      <c r="D91" s="686"/>
      <c r="E91" s="686"/>
      <c r="F91" s="686"/>
      <c r="G91" s="686"/>
      <c r="H91" s="686"/>
      <c r="I91" s="686"/>
      <c r="J91" s="865"/>
      <c r="K91" s="866"/>
      <c r="L91" s="866"/>
      <c r="M91" s="866"/>
      <c r="N91" s="866"/>
    </row>
    <row r="92" spans="1:37">
      <c r="A92" s="3282"/>
      <c r="B92" s="3282"/>
      <c r="C92" s="684" t="s">
        <v>1554</v>
      </c>
      <c r="D92" s="684" t="s">
        <v>1555</v>
      </c>
      <c r="E92" s="684" t="s">
        <v>1556</v>
      </c>
      <c r="F92" s="684" t="s">
        <v>1557</v>
      </c>
      <c r="G92" s="684" t="s">
        <v>1558</v>
      </c>
      <c r="H92" s="684" t="s">
        <v>1559</v>
      </c>
      <c r="I92" s="684" t="s">
        <v>1560</v>
      </c>
      <c r="J92" s="684" t="s">
        <v>1561</v>
      </c>
      <c r="K92" s="684" t="s">
        <v>1562</v>
      </c>
      <c r="L92" s="684" t="s">
        <v>1563</v>
      </c>
      <c r="M92" s="684" t="s">
        <v>1564</v>
      </c>
      <c r="N92" s="684" t="s">
        <v>1565</v>
      </c>
    </row>
    <row r="93" spans="1:37">
      <c r="A93" s="3283" t="s">
        <v>1695</v>
      </c>
      <c r="B93" s="844">
        <v>1</v>
      </c>
      <c r="C93" s="845">
        <v>1.9361999999999999</v>
      </c>
      <c r="D93" s="845">
        <v>1.9361999999999999</v>
      </c>
      <c r="E93" s="845">
        <v>1.8629</v>
      </c>
      <c r="F93" s="845">
        <v>1.8629</v>
      </c>
      <c r="G93" s="845">
        <v>1.8629</v>
      </c>
      <c r="H93" s="845">
        <v>1.8629</v>
      </c>
      <c r="I93" s="845">
        <v>1.8629</v>
      </c>
      <c r="J93" s="845">
        <v>1.9419999999999999</v>
      </c>
      <c r="K93" s="845">
        <v>1.9419999999999999</v>
      </c>
      <c r="L93" s="845">
        <v>1.9419999999999999</v>
      </c>
      <c r="M93" s="845">
        <v>1.9419999999999999</v>
      </c>
      <c r="N93" s="845">
        <v>1.9419999999999999</v>
      </c>
    </row>
    <row r="94" spans="1:37">
      <c r="A94" s="3284"/>
      <c r="B94" s="844">
        <v>2</v>
      </c>
      <c r="C94" s="845">
        <v>1.4198</v>
      </c>
      <c r="D94" s="845">
        <v>1.4198</v>
      </c>
      <c r="E94" s="845">
        <v>1.3371999999999999</v>
      </c>
      <c r="F94" s="845">
        <v>1.3371999999999999</v>
      </c>
      <c r="G94" s="845">
        <v>1.3371999999999999</v>
      </c>
      <c r="H94" s="845">
        <v>1.3371999999999999</v>
      </c>
      <c r="I94" s="845">
        <v>1.3371999999999999</v>
      </c>
      <c r="J94" s="845">
        <v>1.2799</v>
      </c>
      <c r="K94" s="845">
        <v>1.2799</v>
      </c>
      <c r="L94" s="845">
        <v>1.2799</v>
      </c>
      <c r="M94" s="845">
        <v>1.2799</v>
      </c>
      <c r="N94" s="845">
        <v>1.2799</v>
      </c>
    </row>
    <row r="95" spans="1:37">
      <c r="A95" s="3284"/>
      <c r="B95" s="844">
        <v>3</v>
      </c>
      <c r="C95" s="845">
        <v>1.1594</v>
      </c>
      <c r="D95" s="845">
        <v>1.1594</v>
      </c>
      <c r="E95" s="845">
        <v>1.0788</v>
      </c>
      <c r="F95" s="845">
        <v>1.0788</v>
      </c>
      <c r="G95" s="845">
        <v>1.0788</v>
      </c>
      <c r="H95" s="845">
        <v>1.0788</v>
      </c>
      <c r="I95" s="845">
        <v>1.0788</v>
      </c>
      <c r="J95" s="845">
        <v>1.0072000000000001</v>
      </c>
      <c r="K95" s="845">
        <v>1.0072000000000001</v>
      </c>
      <c r="L95" s="845">
        <v>1.0072000000000001</v>
      </c>
      <c r="M95" s="845">
        <v>1.0072000000000001</v>
      </c>
      <c r="N95" s="845">
        <v>1.0072000000000001</v>
      </c>
    </row>
    <row r="96" spans="1:37">
      <c r="A96" s="3284"/>
      <c r="B96" s="844">
        <v>4</v>
      </c>
      <c r="C96" s="845">
        <v>0.96220000000000006</v>
      </c>
      <c r="D96" s="845">
        <v>0.96220000000000006</v>
      </c>
      <c r="E96" s="845">
        <v>0.86560000000000004</v>
      </c>
      <c r="F96" s="845">
        <v>0.86560000000000004</v>
      </c>
      <c r="G96" s="845">
        <v>0.86560000000000004</v>
      </c>
      <c r="H96" s="845">
        <v>0.86560000000000004</v>
      </c>
      <c r="I96" s="845">
        <v>0.86560000000000004</v>
      </c>
      <c r="J96" s="845">
        <v>0.75249999999999995</v>
      </c>
      <c r="K96" s="845">
        <v>0.75249999999999995</v>
      </c>
      <c r="L96" s="845">
        <v>0.75249999999999995</v>
      </c>
      <c r="M96" s="845">
        <v>0.75249999999999995</v>
      </c>
      <c r="N96" s="845">
        <v>0.75249999999999995</v>
      </c>
    </row>
    <row r="97" spans="1:14">
      <c r="A97" s="3284"/>
      <c r="B97" s="844">
        <v>5</v>
      </c>
      <c r="C97" s="845">
        <v>0.8417</v>
      </c>
      <c r="D97" s="845">
        <v>0.8417</v>
      </c>
      <c r="E97" s="845">
        <v>0.73709999999999998</v>
      </c>
      <c r="F97" s="845">
        <v>0.73709999999999998</v>
      </c>
      <c r="G97" s="845">
        <v>0.73709999999999998</v>
      </c>
      <c r="H97" s="845">
        <v>0.73709999999999998</v>
      </c>
      <c r="I97" s="845">
        <v>0.73709999999999998</v>
      </c>
      <c r="J97" s="845">
        <v>0.56589999999999996</v>
      </c>
      <c r="K97" s="845">
        <v>0.56589999999999996</v>
      </c>
      <c r="L97" s="845">
        <v>0.56589999999999996</v>
      </c>
      <c r="M97" s="845">
        <v>0.56589999999999996</v>
      </c>
      <c r="N97" s="845">
        <v>0.56589999999999996</v>
      </c>
    </row>
    <row r="98" spans="1:14">
      <c r="A98" s="3284"/>
      <c r="B98" s="844">
        <v>6</v>
      </c>
      <c r="C98" s="845">
        <v>0.76080000000000003</v>
      </c>
      <c r="D98" s="845">
        <v>0.76080000000000003</v>
      </c>
      <c r="E98" s="845">
        <v>0.6482</v>
      </c>
      <c r="F98" s="845">
        <v>0.6482</v>
      </c>
      <c r="G98" s="845">
        <v>0.6482</v>
      </c>
      <c r="H98" s="845">
        <v>0.6482</v>
      </c>
      <c r="I98" s="845">
        <v>0.6482</v>
      </c>
      <c r="J98" s="845">
        <v>0.45250000000000001</v>
      </c>
      <c r="K98" s="845">
        <v>0.45250000000000001</v>
      </c>
      <c r="L98" s="845">
        <v>0.45250000000000001</v>
      </c>
      <c r="M98" s="845">
        <v>0.45250000000000001</v>
      </c>
      <c r="N98" s="845">
        <v>0.45250000000000001</v>
      </c>
    </row>
    <row r="99" spans="1:14">
      <c r="A99" s="3284"/>
      <c r="B99" s="844" t="s">
        <v>1571</v>
      </c>
      <c r="C99" s="846">
        <f>$I$3</f>
        <v>0</v>
      </c>
      <c r="D99" s="846">
        <f t="shared" ref="D99:N99" si="30">$I$3</f>
        <v>0</v>
      </c>
      <c r="E99" s="846">
        <f t="shared" si="30"/>
        <v>0</v>
      </c>
      <c r="F99" s="846">
        <f t="shared" si="30"/>
        <v>0</v>
      </c>
      <c r="G99" s="846">
        <f t="shared" si="30"/>
        <v>0</v>
      </c>
      <c r="H99" s="846">
        <f t="shared" si="30"/>
        <v>0</v>
      </c>
      <c r="I99" s="846">
        <f t="shared" si="30"/>
        <v>0</v>
      </c>
      <c r="J99" s="846">
        <f t="shared" si="30"/>
        <v>0</v>
      </c>
      <c r="K99" s="846">
        <f t="shared" si="30"/>
        <v>0</v>
      </c>
      <c r="L99" s="846">
        <f t="shared" si="30"/>
        <v>0</v>
      </c>
      <c r="M99" s="846">
        <f t="shared" si="30"/>
        <v>0</v>
      </c>
      <c r="N99" s="846">
        <f t="shared" si="30"/>
        <v>0</v>
      </c>
    </row>
    <row r="100" spans="1:14">
      <c r="A100" s="3285"/>
      <c r="B100" s="844">
        <v>7</v>
      </c>
      <c r="C100" s="847">
        <f>(-0.163*(C99^2)-0.59*C99+7617)*(10^(-4))</f>
        <v>0.76170000000000004</v>
      </c>
      <c r="D100" s="847">
        <f>(-0.163*(D99^2)-0.59*D99+7617)*(10^(-4))</f>
        <v>0.76170000000000004</v>
      </c>
      <c r="E100" s="847">
        <f>(-0.161*(E99^2)-7.509*E99+6533)*(10^(-4))</f>
        <v>0.65329999999999999</v>
      </c>
      <c r="F100" s="847">
        <f>(-0.161*(F99^2)-7.509*F99+6533)*(10^(-4))</f>
        <v>0.65329999999999999</v>
      </c>
      <c r="G100" s="847">
        <f>(-0.161*(G99^2)-7.509*G99+6533)*(10^(-4))</f>
        <v>0.65329999999999999</v>
      </c>
      <c r="H100" s="847">
        <f>(-0.161*(H99^2)-7.509*H99+6533)*(10^(-4))</f>
        <v>0.65329999999999999</v>
      </c>
      <c r="I100" s="847">
        <f>(-0.161*(I99^2)-7.509*I99+6533)*(10^(-4))</f>
        <v>0.65329999999999999</v>
      </c>
      <c r="J100" s="847">
        <f>(-0.214*(J99^2)-21.991*J99+4665)*(10^(-4))</f>
        <v>0.46650000000000003</v>
      </c>
      <c r="K100" s="847">
        <f>(-0.214*(K99^2)-21.991*K99+4665)*(10^(-4))</f>
        <v>0.46650000000000003</v>
      </c>
      <c r="L100" s="847">
        <f>(-0.214*(L99^2)-21.991*L99+4665)*(10^(-4))</f>
        <v>0.46650000000000003</v>
      </c>
      <c r="M100" s="847">
        <f>(-0.214*(M99^2)-21.991*M99+4665)*(10^(-4))</f>
        <v>0.46650000000000003</v>
      </c>
      <c r="N100" s="847">
        <f>(-0.214*(N99^2)-21.991*N99+4665)*(10^(-4))</f>
        <v>0.46650000000000003</v>
      </c>
    </row>
    <row r="101" spans="1:14">
      <c r="A101" s="3283" t="s">
        <v>1696</v>
      </c>
      <c r="B101" s="848" t="s">
        <v>1697</v>
      </c>
      <c r="C101" s="849">
        <f>$G$3</f>
        <v>0.68</v>
      </c>
      <c r="D101" s="849">
        <f t="shared" ref="D101:N101" si="31">$G$3</f>
        <v>0.68</v>
      </c>
      <c r="E101" s="849">
        <f t="shared" si="31"/>
        <v>0.68</v>
      </c>
      <c r="F101" s="849">
        <f t="shared" si="31"/>
        <v>0.68</v>
      </c>
      <c r="G101" s="849">
        <f t="shared" si="31"/>
        <v>0.68</v>
      </c>
      <c r="H101" s="849">
        <f t="shared" si="31"/>
        <v>0.68</v>
      </c>
      <c r="I101" s="849">
        <f t="shared" si="31"/>
        <v>0.68</v>
      </c>
      <c r="J101" s="849">
        <f t="shared" si="31"/>
        <v>0.68</v>
      </c>
      <c r="K101" s="849">
        <f t="shared" si="31"/>
        <v>0.68</v>
      </c>
      <c r="L101" s="849">
        <f t="shared" si="31"/>
        <v>0.68</v>
      </c>
      <c r="M101" s="849">
        <f t="shared" si="31"/>
        <v>0.68</v>
      </c>
      <c r="N101" s="849">
        <f t="shared" si="31"/>
        <v>0.68</v>
      </c>
    </row>
    <row r="102" spans="1:14">
      <c r="A102" s="3284"/>
      <c r="B102" s="844">
        <v>1</v>
      </c>
      <c r="C102" s="845">
        <f>1.9362/C101</f>
        <v>2.8473529411764704</v>
      </c>
      <c r="D102" s="845">
        <f>1.9362/D101</f>
        <v>2.8473529411764704</v>
      </c>
      <c r="E102" s="845">
        <f>1.8629/E101</f>
        <v>2.7395588235294115</v>
      </c>
      <c r="F102" s="845">
        <f>1.8629/F101</f>
        <v>2.7395588235294115</v>
      </c>
      <c r="G102" s="845">
        <f>1.8629/G101</f>
        <v>2.7395588235294115</v>
      </c>
      <c r="H102" s="845">
        <f>1.8629/H101</f>
        <v>2.7395588235294115</v>
      </c>
      <c r="I102" s="845">
        <f>1.8629/I101</f>
        <v>2.7395588235294115</v>
      </c>
      <c r="J102" s="845">
        <f>1.942/J101</f>
        <v>2.8558823529411761</v>
      </c>
      <c r="K102" s="845">
        <f>1.942/K101</f>
        <v>2.8558823529411761</v>
      </c>
      <c r="L102" s="845">
        <f>1.942/L101</f>
        <v>2.8558823529411761</v>
      </c>
      <c r="M102" s="845">
        <f>1.942/M101</f>
        <v>2.8558823529411761</v>
      </c>
      <c r="N102" s="845">
        <f>1.942/N101</f>
        <v>2.8558823529411761</v>
      </c>
    </row>
    <row r="103" spans="1:14">
      <c r="A103" s="3284"/>
      <c r="B103" s="844">
        <v>2</v>
      </c>
      <c r="C103" s="845">
        <f>1.4198/C101</f>
        <v>2.0879411764705882</v>
      </c>
      <c r="D103" s="845">
        <f>1.4198/D101</f>
        <v>2.0879411764705882</v>
      </c>
      <c r="E103" s="845">
        <f>1.3372/E101</f>
        <v>1.966470588235294</v>
      </c>
      <c r="F103" s="845">
        <f>1.3372/F101</f>
        <v>1.966470588235294</v>
      </c>
      <c r="G103" s="845">
        <f>1.3372/G101</f>
        <v>1.966470588235294</v>
      </c>
      <c r="H103" s="845">
        <f>1.3372/H101</f>
        <v>1.966470588235294</v>
      </c>
      <c r="I103" s="845">
        <f>1.3372/I101</f>
        <v>1.966470588235294</v>
      </c>
      <c r="J103" s="845">
        <f>1.2799/J101</f>
        <v>1.8822058823529411</v>
      </c>
      <c r="K103" s="845">
        <f>1.2799/K101</f>
        <v>1.8822058823529411</v>
      </c>
      <c r="L103" s="845">
        <f>1.2799/L101</f>
        <v>1.8822058823529411</v>
      </c>
      <c r="M103" s="845">
        <f>1.2799/M101</f>
        <v>1.8822058823529411</v>
      </c>
      <c r="N103" s="845">
        <f>1.2799/N101</f>
        <v>1.8822058823529411</v>
      </c>
    </row>
    <row r="104" spans="1:14">
      <c r="A104" s="3284"/>
      <c r="B104" s="844">
        <v>3</v>
      </c>
      <c r="C104" s="845">
        <f>1.1594/C101</f>
        <v>1.7049999999999998</v>
      </c>
      <c r="D104" s="845">
        <f>1.1594/D101</f>
        <v>1.7049999999999998</v>
      </c>
      <c r="E104" s="845">
        <f>1.0788/E101</f>
        <v>1.5864705882352941</v>
      </c>
      <c r="F104" s="845">
        <f>1.0788/F101</f>
        <v>1.5864705882352941</v>
      </c>
      <c r="G104" s="845">
        <f>1.0788/G101</f>
        <v>1.5864705882352941</v>
      </c>
      <c r="H104" s="845">
        <f>1.0788/H101</f>
        <v>1.5864705882352941</v>
      </c>
      <c r="I104" s="845">
        <f>1.0788/I101</f>
        <v>1.5864705882352941</v>
      </c>
      <c r="J104" s="845">
        <f>1.0072/J101</f>
        <v>1.4811764705882353</v>
      </c>
      <c r="K104" s="845">
        <f>1.0072/K101</f>
        <v>1.4811764705882353</v>
      </c>
      <c r="L104" s="845">
        <f>1.0072/L101</f>
        <v>1.4811764705882353</v>
      </c>
      <c r="M104" s="845">
        <f>1.0072/M101</f>
        <v>1.4811764705882353</v>
      </c>
      <c r="N104" s="845">
        <f>1.0072/N101</f>
        <v>1.4811764705882353</v>
      </c>
    </row>
    <row r="105" spans="1:14">
      <c r="A105" s="3284"/>
      <c r="B105" s="844">
        <v>4</v>
      </c>
      <c r="C105" s="845">
        <f>0.9622/C101</f>
        <v>1.415</v>
      </c>
      <c r="D105" s="845">
        <f>0.9622/D101</f>
        <v>1.415</v>
      </c>
      <c r="E105" s="845">
        <f>0.8656/E101</f>
        <v>1.2729411764705882</v>
      </c>
      <c r="F105" s="845">
        <f>0.8656/F101</f>
        <v>1.2729411764705882</v>
      </c>
      <c r="G105" s="845">
        <f>0.8656/G101</f>
        <v>1.2729411764705882</v>
      </c>
      <c r="H105" s="845">
        <f>0.8656/H101</f>
        <v>1.2729411764705882</v>
      </c>
      <c r="I105" s="845">
        <f>0.8656/I101</f>
        <v>1.2729411764705882</v>
      </c>
      <c r="J105" s="845">
        <f>0.7525/J101</f>
        <v>1.1066176470588234</v>
      </c>
      <c r="K105" s="845">
        <f>0.7525/K101</f>
        <v>1.1066176470588234</v>
      </c>
      <c r="L105" s="845">
        <f>0.7525/L101</f>
        <v>1.1066176470588234</v>
      </c>
      <c r="M105" s="845">
        <f>0.7525/M101</f>
        <v>1.1066176470588234</v>
      </c>
      <c r="N105" s="845">
        <f>0.7525/N101</f>
        <v>1.1066176470588234</v>
      </c>
    </row>
    <row r="106" spans="1:14">
      <c r="A106" s="3284"/>
      <c r="B106" s="844">
        <v>5</v>
      </c>
      <c r="C106" s="845">
        <f>0.8417/C101</f>
        <v>1.2377941176470588</v>
      </c>
      <c r="D106" s="845">
        <f>0.8417/D101</f>
        <v>1.2377941176470588</v>
      </c>
      <c r="E106" s="845">
        <f>0.7371/E101</f>
        <v>1.0839705882352939</v>
      </c>
      <c r="F106" s="845">
        <f>0.7371/F101</f>
        <v>1.0839705882352939</v>
      </c>
      <c r="G106" s="845">
        <f>0.7371/G101</f>
        <v>1.0839705882352939</v>
      </c>
      <c r="H106" s="845">
        <f>0.7371/H101</f>
        <v>1.0839705882352939</v>
      </c>
      <c r="I106" s="845">
        <f>0.7371/I101</f>
        <v>1.0839705882352939</v>
      </c>
      <c r="J106" s="845">
        <f>0.5659/J101</f>
        <v>0.83220588235294102</v>
      </c>
      <c r="K106" s="845">
        <f>0.5659/K101</f>
        <v>0.83220588235294102</v>
      </c>
      <c r="L106" s="845">
        <f>0.5659/L101</f>
        <v>0.83220588235294102</v>
      </c>
      <c r="M106" s="845">
        <f>0.5659/M101</f>
        <v>0.83220588235294102</v>
      </c>
      <c r="N106" s="845">
        <f>0.5659/N101</f>
        <v>0.83220588235294102</v>
      </c>
    </row>
    <row r="107" spans="1:14">
      <c r="A107" s="3284"/>
      <c r="B107" s="844">
        <v>6</v>
      </c>
      <c r="C107" s="845">
        <f>0.7608/C101</f>
        <v>1.1188235294117648</v>
      </c>
      <c r="D107" s="845">
        <f>0.7608/D101</f>
        <v>1.1188235294117648</v>
      </c>
      <c r="E107" s="845">
        <f>0.6482/E101</f>
        <v>0.95323529411764696</v>
      </c>
      <c r="F107" s="845">
        <f>0.6482/F101</f>
        <v>0.95323529411764696</v>
      </c>
      <c r="G107" s="845">
        <f>0.6482/G101</f>
        <v>0.95323529411764696</v>
      </c>
      <c r="H107" s="845">
        <f>0.6482/H101</f>
        <v>0.95323529411764696</v>
      </c>
      <c r="I107" s="845">
        <f>0.6482/I101</f>
        <v>0.95323529411764696</v>
      </c>
      <c r="J107" s="845">
        <f>0.4525/J101</f>
        <v>0.6654411764705882</v>
      </c>
      <c r="K107" s="845">
        <f>0.4525/K101</f>
        <v>0.6654411764705882</v>
      </c>
      <c r="L107" s="845">
        <f>0.4525/L101</f>
        <v>0.6654411764705882</v>
      </c>
      <c r="M107" s="845">
        <f>0.4525/M101</f>
        <v>0.6654411764705882</v>
      </c>
      <c r="N107" s="845">
        <f>0.4525/N101</f>
        <v>0.6654411764705882</v>
      </c>
    </row>
    <row r="108" spans="1:14">
      <c r="A108" s="3284"/>
      <c r="B108" s="3117" t="s">
        <v>1585</v>
      </c>
      <c r="C108" s="846">
        <f>C99</f>
        <v>0</v>
      </c>
      <c r="D108" s="846">
        <f t="shared" ref="D108:N108" si="32">D99</f>
        <v>0</v>
      </c>
      <c r="E108" s="846">
        <f t="shared" si="32"/>
        <v>0</v>
      </c>
      <c r="F108" s="846">
        <f t="shared" si="32"/>
        <v>0</v>
      </c>
      <c r="G108" s="846">
        <f t="shared" si="32"/>
        <v>0</v>
      </c>
      <c r="H108" s="846">
        <f t="shared" si="32"/>
        <v>0</v>
      </c>
      <c r="I108" s="846">
        <f t="shared" si="32"/>
        <v>0</v>
      </c>
      <c r="J108" s="846">
        <f t="shared" si="32"/>
        <v>0</v>
      </c>
      <c r="K108" s="846">
        <f t="shared" si="32"/>
        <v>0</v>
      </c>
      <c r="L108" s="846">
        <f t="shared" si="32"/>
        <v>0</v>
      </c>
      <c r="M108" s="846">
        <f t="shared" si="32"/>
        <v>0</v>
      </c>
      <c r="N108" s="846">
        <f t="shared" si="32"/>
        <v>0</v>
      </c>
    </row>
    <row r="109" spans="1:14">
      <c r="A109" s="3285"/>
      <c r="B109" s="3118"/>
      <c r="C109" s="847">
        <f>(-0.163*(C108^2)-0.59*C108+7617)*(10^(-4))/C101</f>
        <v>1.1201470588235294</v>
      </c>
      <c r="D109" s="847">
        <f>(-0.163*(D108^2)-0.59*D108+7617)*(10^(-4))/D101</f>
        <v>1.1201470588235294</v>
      </c>
      <c r="E109" s="847">
        <f>(-0.161*(E108^2)-7.509*E108+6533)*(10^(-4))/E101</f>
        <v>0.96073529411764702</v>
      </c>
      <c r="F109" s="847">
        <f>(-0.161*(F108^2)-7.509*F108+6533)*(10^(-4))/F101</f>
        <v>0.96073529411764702</v>
      </c>
      <c r="G109" s="847">
        <f>(-0.161*(G108^2)-7.509*G108+6533)*(10^(-4))/G101</f>
        <v>0.96073529411764702</v>
      </c>
      <c r="H109" s="847">
        <f>(-0.161*(H108^2)-7.509*H108+6533)*(10^(-4))/H101</f>
        <v>0.96073529411764702</v>
      </c>
      <c r="I109" s="847">
        <f>(-0.161*(I108^2)-7.509*I108+6533)*(10^(-4))/I101</f>
        <v>0.96073529411764702</v>
      </c>
      <c r="J109" s="847">
        <f>(-0.214*(J108^2)-21.991*J108+4665)*(10^(-4))/J101</f>
        <v>0.68602941176470589</v>
      </c>
      <c r="K109" s="847">
        <f>(-0.214*(K108^2)-21.991*K108+4665)*(10^(-4))/K101</f>
        <v>0.68602941176470589</v>
      </c>
      <c r="L109" s="847">
        <f>(-0.214*(L108^2)-21.991*L108+4665)*(10^(-4))/L101</f>
        <v>0.68602941176470589</v>
      </c>
      <c r="M109" s="847">
        <f>(-0.214*(M108^2)-21.991*M108+4665)*(10^(-4))/M101</f>
        <v>0.68602941176470589</v>
      </c>
      <c r="N109" s="847">
        <f>(-0.214*(N108^2)-21.991*N108+4665)*(10^(-4))/N101</f>
        <v>0.68602941176470589</v>
      </c>
    </row>
    <row r="110" spans="1:14">
      <c r="A110" s="3274" t="s">
        <v>1698</v>
      </c>
      <c r="B110" s="3274"/>
      <c r="C110" s="3274"/>
      <c r="D110" s="3274"/>
      <c r="E110" s="3274"/>
      <c r="F110" s="3274"/>
      <c r="G110" s="3274"/>
      <c r="H110" s="3274"/>
      <c r="I110" s="3274"/>
      <c r="J110" s="3274"/>
      <c r="K110" s="851"/>
      <c r="L110" s="851"/>
      <c r="M110" s="851"/>
      <c r="N110" s="851"/>
    </row>
    <row r="113" spans="1:13" ht="24.75">
      <c r="A113" s="852" t="s">
        <v>1699</v>
      </c>
      <c r="B113" s="853">
        <f>G3</f>
        <v>0.68</v>
      </c>
      <c r="C113" s="854" t="s">
        <v>1700</v>
      </c>
      <c r="D113" s="855">
        <f>SUMPRODUCT((A115:A118=F113)*(B114:M114=H113)*B115:M118)</f>
        <v>0</v>
      </c>
      <c r="E113" s="573" t="s">
        <v>1529</v>
      </c>
      <c r="F113" s="856">
        <f>E2</f>
        <v>0</v>
      </c>
      <c r="G113" s="573" t="s">
        <v>1530</v>
      </c>
      <c r="H113" s="856">
        <f>G2</f>
        <v>0</v>
      </c>
      <c r="I113" s="573"/>
      <c r="J113" s="867"/>
      <c r="K113" s="867"/>
      <c r="L113" s="867"/>
      <c r="M113" s="867"/>
    </row>
    <row r="114" spans="1:13">
      <c r="A114" s="857"/>
      <c r="B114" s="858" t="s">
        <v>1701</v>
      </c>
      <c r="C114" s="858" t="s">
        <v>1702</v>
      </c>
      <c r="D114" s="858" t="s">
        <v>1703</v>
      </c>
      <c r="E114" s="859" t="s">
        <v>1704</v>
      </c>
      <c r="F114" s="859" t="s">
        <v>1705</v>
      </c>
      <c r="G114" s="859" t="s">
        <v>1706</v>
      </c>
      <c r="H114" s="860" t="s">
        <v>1707</v>
      </c>
      <c r="I114" s="860" t="s">
        <v>1708</v>
      </c>
      <c r="J114" s="868" t="s">
        <v>1709</v>
      </c>
      <c r="K114" s="868" t="s">
        <v>1710</v>
      </c>
      <c r="L114" s="868" t="s">
        <v>1711</v>
      </c>
      <c r="M114" s="869" t="s">
        <v>1712</v>
      </c>
    </row>
    <row r="115" spans="1:13">
      <c r="A115" s="861" t="s">
        <v>1594</v>
      </c>
      <c r="B115" s="862">
        <f>ROUND(0.9335-0.0094*B113,4)</f>
        <v>0.92710000000000004</v>
      </c>
      <c r="C115" s="862">
        <f>B115</f>
        <v>0.92710000000000004</v>
      </c>
      <c r="D115" s="862">
        <f>ROUND(0.8331-0.0109*B113,4)</f>
        <v>0.82569999999999999</v>
      </c>
      <c r="E115" s="862">
        <f>D115</f>
        <v>0.82569999999999999</v>
      </c>
      <c r="F115" s="862">
        <f>E115</f>
        <v>0.82569999999999999</v>
      </c>
      <c r="G115" s="862">
        <f>F115</f>
        <v>0.82569999999999999</v>
      </c>
      <c r="H115" s="862">
        <f>G115</f>
        <v>0.82569999999999999</v>
      </c>
      <c r="I115" s="862">
        <f>ROUND(0.689-0.0155*B113,4)</f>
        <v>0.67849999999999999</v>
      </c>
      <c r="J115" s="862">
        <f t="shared" ref="J115:M118" si="33">I115</f>
        <v>0.67849999999999999</v>
      </c>
      <c r="K115" s="862">
        <f t="shared" si="33"/>
        <v>0.67849999999999999</v>
      </c>
      <c r="L115" s="862">
        <f t="shared" si="33"/>
        <v>0.67849999999999999</v>
      </c>
      <c r="M115" s="870">
        <f t="shared" si="33"/>
        <v>0.67849999999999999</v>
      </c>
    </row>
    <row r="116" spans="1:13">
      <c r="A116" s="861" t="s">
        <v>1595</v>
      </c>
      <c r="B116" s="862">
        <f>ROUND(0.949-0.012*B113,4)</f>
        <v>0.94079999999999997</v>
      </c>
      <c r="C116" s="862">
        <f>B116</f>
        <v>0.94079999999999997</v>
      </c>
      <c r="D116" s="862">
        <f>ROUND(0.8567-0.013*B113,4)</f>
        <v>0.84789999999999999</v>
      </c>
      <c r="E116" s="862">
        <f t="shared" ref="E116:H117" si="34">D116</f>
        <v>0.84789999999999999</v>
      </c>
      <c r="F116" s="862">
        <f t="shared" si="34"/>
        <v>0.84789999999999999</v>
      </c>
      <c r="G116" s="862">
        <f t="shared" si="34"/>
        <v>0.84789999999999999</v>
      </c>
      <c r="H116" s="862">
        <f t="shared" si="34"/>
        <v>0.84789999999999999</v>
      </c>
      <c r="I116" s="862">
        <f>ROUND(0.7694-0.014*B113,4)</f>
        <v>0.75990000000000002</v>
      </c>
      <c r="J116" s="862">
        <f t="shared" si="33"/>
        <v>0.75990000000000002</v>
      </c>
      <c r="K116" s="862">
        <f t="shared" si="33"/>
        <v>0.75990000000000002</v>
      </c>
      <c r="L116" s="862">
        <f t="shared" si="33"/>
        <v>0.75990000000000002</v>
      </c>
      <c r="M116" s="870">
        <f t="shared" si="33"/>
        <v>0.75990000000000002</v>
      </c>
    </row>
    <row r="117" spans="1:13">
      <c r="A117" s="861" t="s">
        <v>1596</v>
      </c>
      <c r="B117" s="862">
        <f>ROUND(0.8808-0.006*B113,4)</f>
        <v>0.87670000000000003</v>
      </c>
      <c r="C117" s="862">
        <f>B117</f>
        <v>0.87670000000000003</v>
      </c>
      <c r="D117" s="862">
        <f>ROUND(0.8748-0.008*B113,4)</f>
        <v>0.86939999999999995</v>
      </c>
      <c r="E117" s="862">
        <f t="shared" si="34"/>
        <v>0.86939999999999995</v>
      </c>
      <c r="F117" s="862">
        <f t="shared" si="34"/>
        <v>0.86939999999999995</v>
      </c>
      <c r="G117" s="862">
        <f t="shared" si="34"/>
        <v>0.86939999999999995</v>
      </c>
      <c r="H117" s="862">
        <f t="shared" si="34"/>
        <v>0.86939999999999995</v>
      </c>
      <c r="I117" s="862">
        <f>ROUND(0.7412-0.0095*B113,4)</f>
        <v>0.73470000000000002</v>
      </c>
      <c r="J117" s="862">
        <f t="shared" si="33"/>
        <v>0.73470000000000002</v>
      </c>
      <c r="K117" s="862">
        <f t="shared" si="33"/>
        <v>0.73470000000000002</v>
      </c>
      <c r="L117" s="862">
        <f t="shared" si="33"/>
        <v>0.73470000000000002</v>
      </c>
      <c r="M117" s="870">
        <f t="shared" si="33"/>
        <v>0.73470000000000002</v>
      </c>
    </row>
    <row r="118" spans="1:13">
      <c r="A118" s="863" t="s">
        <v>1597</v>
      </c>
      <c r="B118" s="864">
        <f>ROUND(0.7275-0.01*B113,4)</f>
        <v>0.72070000000000001</v>
      </c>
      <c r="C118" s="864">
        <f>B118</f>
        <v>0.72070000000000001</v>
      </c>
      <c r="D118" s="864">
        <f>ROUND(0.7043-0.012*B113,4)</f>
        <v>0.69610000000000005</v>
      </c>
      <c r="E118" s="864">
        <f>D118</f>
        <v>0.69610000000000005</v>
      </c>
      <c r="F118" s="864">
        <f>E118</f>
        <v>0.69610000000000005</v>
      </c>
      <c r="G118" s="864">
        <f>ROUND(0.6299-0.0122*B113,4)</f>
        <v>0.62160000000000004</v>
      </c>
      <c r="H118" s="864">
        <f>G118</f>
        <v>0.62160000000000004</v>
      </c>
      <c r="I118" s="864">
        <f>ROUND(0.5667-0.0136*B113,4)</f>
        <v>0.5575</v>
      </c>
      <c r="J118" s="864">
        <f t="shared" si="33"/>
        <v>0.5575</v>
      </c>
      <c r="K118" s="864">
        <f t="shared" si="33"/>
        <v>0.5575</v>
      </c>
      <c r="L118" s="864">
        <f t="shared" si="33"/>
        <v>0.5575</v>
      </c>
      <c r="M118" s="871">
        <f t="shared" si="33"/>
        <v>0.5575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0" t="s">
        <v>1713</v>
      </c>
      <c r="B2" s="521">
        <v>3.5</v>
      </c>
      <c r="C2" s="521">
        <v>3.5</v>
      </c>
      <c r="D2" s="522">
        <v>2.5</v>
      </c>
      <c r="E2" s="522">
        <v>2.5</v>
      </c>
      <c r="F2" s="522">
        <v>2.5</v>
      </c>
      <c r="G2" s="522">
        <v>2.5</v>
      </c>
      <c r="H2" s="522">
        <v>2.5</v>
      </c>
      <c r="I2" s="521">
        <v>2</v>
      </c>
      <c r="J2" s="521">
        <v>2</v>
      </c>
      <c r="K2" s="521">
        <v>2</v>
      </c>
      <c r="L2" s="521">
        <v>2</v>
      </c>
      <c r="M2" s="554">
        <v>2</v>
      </c>
    </row>
    <row r="3" spans="1:13" ht="19.5" customHeight="1">
      <c r="A3" s="523" t="s">
        <v>1714</v>
      </c>
      <c r="B3" s="524">
        <v>3.5</v>
      </c>
      <c r="C3" s="524">
        <v>3.5</v>
      </c>
      <c r="D3" s="525">
        <v>2.5</v>
      </c>
      <c r="E3" s="525">
        <v>2.5</v>
      </c>
      <c r="F3" s="525">
        <v>2.5</v>
      </c>
      <c r="G3" s="525">
        <v>2.5</v>
      </c>
      <c r="H3" s="525">
        <v>2.5</v>
      </c>
      <c r="I3" s="524">
        <v>2</v>
      </c>
      <c r="J3" s="524">
        <v>2</v>
      </c>
      <c r="K3" s="524">
        <v>2</v>
      </c>
      <c r="L3" s="524">
        <v>2</v>
      </c>
      <c r="M3" s="555">
        <v>2</v>
      </c>
    </row>
    <row r="4" spans="1:13" ht="19.5" customHeight="1">
      <c r="A4" s="523" t="s">
        <v>1715</v>
      </c>
      <c r="B4" s="525">
        <v>2.5</v>
      </c>
      <c r="C4" s="525">
        <v>2.5</v>
      </c>
      <c r="D4" s="525">
        <v>2.5</v>
      </c>
      <c r="E4" s="525">
        <v>2.5</v>
      </c>
      <c r="F4" s="525">
        <v>2.5</v>
      </c>
      <c r="G4" s="525">
        <v>2.5</v>
      </c>
      <c r="H4" s="525">
        <v>2.5</v>
      </c>
      <c r="I4" s="524">
        <v>1.5</v>
      </c>
      <c r="J4" s="524">
        <v>1.5</v>
      </c>
      <c r="K4" s="524">
        <v>1.5</v>
      </c>
      <c r="L4" s="524">
        <v>1.5</v>
      </c>
      <c r="M4" s="555">
        <v>1.5</v>
      </c>
    </row>
    <row r="5" spans="1:13" ht="19.5" customHeight="1">
      <c r="A5" s="526" t="s">
        <v>464</v>
      </c>
      <c r="B5" s="527">
        <v>1.5</v>
      </c>
      <c r="C5" s="527">
        <v>1.5</v>
      </c>
      <c r="D5" s="527">
        <v>1.5</v>
      </c>
      <c r="E5" s="527">
        <v>1.5</v>
      </c>
      <c r="F5" s="527">
        <v>1.5</v>
      </c>
      <c r="G5" s="528">
        <v>1.2</v>
      </c>
      <c r="H5" s="528">
        <v>1.2</v>
      </c>
      <c r="I5" s="528">
        <v>1</v>
      </c>
      <c r="J5" s="528">
        <v>1</v>
      </c>
      <c r="K5" s="528">
        <v>1</v>
      </c>
      <c r="L5" s="528">
        <v>1</v>
      </c>
      <c r="M5" s="556">
        <v>1</v>
      </c>
    </row>
    <row r="6" spans="1:13" ht="19.5" customHeight="1">
      <c r="A6" s="529" t="s">
        <v>392</v>
      </c>
      <c r="B6" s="530">
        <v>80</v>
      </c>
      <c r="C6" s="530">
        <v>80</v>
      </c>
      <c r="D6" s="530">
        <v>65</v>
      </c>
      <c r="E6" s="530">
        <v>65</v>
      </c>
      <c r="F6" s="530">
        <v>65</v>
      </c>
      <c r="G6" s="530">
        <v>65</v>
      </c>
      <c r="H6" s="530">
        <v>65</v>
      </c>
      <c r="I6" s="530">
        <v>50</v>
      </c>
      <c r="J6" s="530">
        <v>50</v>
      </c>
      <c r="K6" s="530">
        <v>50</v>
      </c>
      <c r="L6" s="530">
        <v>50</v>
      </c>
      <c r="M6" s="557">
        <v>50</v>
      </c>
    </row>
    <row r="7" spans="1:13" ht="19.5" customHeight="1">
      <c r="A7" s="531" t="s">
        <v>393</v>
      </c>
      <c r="B7" s="532">
        <v>70</v>
      </c>
      <c r="C7" s="532">
        <v>70</v>
      </c>
      <c r="D7" s="532">
        <v>55</v>
      </c>
      <c r="E7" s="532">
        <v>55</v>
      </c>
      <c r="F7" s="532">
        <v>55</v>
      </c>
      <c r="G7" s="532">
        <v>55</v>
      </c>
      <c r="H7" s="532">
        <v>55</v>
      </c>
      <c r="I7" s="532">
        <v>40</v>
      </c>
      <c r="J7" s="532">
        <v>40</v>
      </c>
      <c r="K7" s="532">
        <v>40</v>
      </c>
      <c r="L7" s="532">
        <v>40</v>
      </c>
      <c r="M7" s="558">
        <v>40</v>
      </c>
    </row>
    <row r="8" spans="1:13" ht="19.5" customHeight="1">
      <c r="A8" s="531" t="s">
        <v>394</v>
      </c>
      <c r="B8" s="532">
        <v>20</v>
      </c>
      <c r="C8" s="532">
        <v>20</v>
      </c>
      <c r="D8" s="532">
        <v>15</v>
      </c>
      <c r="E8" s="532">
        <v>15</v>
      </c>
      <c r="F8" s="532">
        <v>15</v>
      </c>
      <c r="G8" s="532">
        <v>15</v>
      </c>
      <c r="H8" s="532">
        <v>15</v>
      </c>
      <c r="I8" s="532">
        <v>10</v>
      </c>
      <c r="J8" s="532">
        <v>10</v>
      </c>
      <c r="K8" s="532">
        <v>10</v>
      </c>
      <c r="L8" s="532">
        <v>10</v>
      </c>
      <c r="M8" s="558">
        <v>10</v>
      </c>
    </row>
    <row r="9" spans="1:13" ht="19.5" customHeight="1">
      <c r="A9" s="531" t="s">
        <v>395</v>
      </c>
      <c r="B9" s="532">
        <v>30</v>
      </c>
      <c r="C9" s="532">
        <v>30</v>
      </c>
      <c r="D9" s="532">
        <v>25</v>
      </c>
      <c r="E9" s="532">
        <v>25</v>
      </c>
      <c r="F9" s="532">
        <v>25</v>
      </c>
      <c r="G9" s="532">
        <v>25</v>
      </c>
      <c r="H9" s="532">
        <v>25</v>
      </c>
      <c r="I9" s="532">
        <v>20</v>
      </c>
      <c r="J9" s="532">
        <v>20</v>
      </c>
      <c r="K9" s="532">
        <v>20</v>
      </c>
      <c r="L9" s="532">
        <v>20</v>
      </c>
      <c r="M9" s="558">
        <v>20</v>
      </c>
    </row>
    <row r="10" spans="1:13" ht="19.5" customHeight="1">
      <c r="A10" s="531" t="s">
        <v>396</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1716</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397</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1717</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1718</v>
      </c>
      <c r="B16" s="536"/>
      <c r="C16" s="537"/>
      <c r="D16" s="537"/>
      <c r="E16" s="536"/>
      <c r="F16" s="537"/>
      <c r="G16" s="537"/>
    </row>
    <row r="17" spans="1:9" ht="19.5" customHeight="1">
      <c r="A17" s="532" t="s">
        <v>1719</v>
      </c>
      <c r="B17" s="538" t="s">
        <v>1720</v>
      </c>
      <c r="C17" s="538" t="s">
        <v>1721</v>
      </c>
      <c r="D17" s="539"/>
      <c r="E17" s="532" t="s">
        <v>1722</v>
      </c>
      <c r="F17" s="540"/>
      <c r="G17" s="540"/>
    </row>
    <row r="18" spans="1:9" s="516" customFormat="1" ht="19.5" customHeight="1">
      <c r="A18" s="3287" t="s">
        <v>1713</v>
      </c>
      <c r="B18" s="541" t="s">
        <v>1723</v>
      </c>
      <c r="C18" s="542" t="s">
        <v>1724</v>
      </c>
      <c r="D18" s="543"/>
      <c r="E18" s="541">
        <v>1</v>
      </c>
      <c r="F18" s="544" t="s">
        <v>1725</v>
      </c>
      <c r="G18" s="545"/>
      <c r="H18" s="517"/>
      <c r="I18" s="517"/>
    </row>
    <row r="19" spans="1:9" s="516" customFormat="1" ht="19.5" customHeight="1">
      <c r="A19" s="3287"/>
      <c r="B19" s="3287" t="s">
        <v>1726</v>
      </c>
      <c r="C19" s="542" t="s">
        <v>1727</v>
      </c>
      <c r="D19" s="543"/>
      <c r="E19" s="541">
        <v>0.9</v>
      </c>
      <c r="F19" s="544" t="s">
        <v>1728</v>
      </c>
      <c r="G19" s="545"/>
      <c r="H19" s="517"/>
      <c r="I19" s="517"/>
    </row>
    <row r="20" spans="1:9" s="516" customFormat="1" ht="19.5" customHeight="1">
      <c r="A20" s="3287"/>
      <c r="B20" s="3287"/>
      <c r="C20" s="542" t="s">
        <v>1729</v>
      </c>
      <c r="D20" s="543"/>
      <c r="E20" s="541">
        <v>1.1000000000000001</v>
      </c>
      <c r="F20" s="544" t="s">
        <v>1730</v>
      </c>
      <c r="G20" s="545"/>
      <c r="H20" s="517"/>
      <c r="I20" s="517"/>
    </row>
    <row r="21" spans="1:9" s="516" customFormat="1" ht="19.5" customHeight="1">
      <c r="A21" s="3287"/>
      <c r="B21" s="3287"/>
      <c r="C21" s="542" t="s">
        <v>1731</v>
      </c>
      <c r="D21" s="543"/>
      <c r="E21" s="541">
        <v>0.8</v>
      </c>
      <c r="F21" s="544" t="s">
        <v>1732</v>
      </c>
      <c r="G21" s="545"/>
      <c r="H21" s="517"/>
      <c r="I21" s="517"/>
    </row>
    <row r="22" spans="1:9" s="516" customFormat="1" ht="19.5" customHeight="1">
      <c r="A22" s="3287"/>
      <c r="B22" s="3287"/>
      <c r="C22" s="542" t="s">
        <v>1733</v>
      </c>
      <c r="D22" s="543"/>
      <c r="E22" s="541">
        <v>0.5</v>
      </c>
      <c r="F22" s="544"/>
      <c r="G22" s="545"/>
      <c r="H22" s="517"/>
      <c r="I22" s="517"/>
    </row>
    <row r="23" spans="1:9" s="516" customFormat="1" ht="19.5" customHeight="1">
      <c r="A23" s="3287" t="s">
        <v>1714</v>
      </c>
      <c r="B23" s="541" t="s">
        <v>1723</v>
      </c>
      <c r="C23" s="542" t="s">
        <v>1734</v>
      </c>
      <c r="D23" s="543"/>
      <c r="E23" s="541">
        <v>1</v>
      </c>
      <c r="F23" s="544" t="s">
        <v>1735</v>
      </c>
      <c r="G23" s="545"/>
      <c r="H23" s="517"/>
      <c r="I23" s="517"/>
    </row>
    <row r="24" spans="1:9" s="516" customFormat="1" ht="19.5" customHeight="1">
      <c r="A24" s="3287"/>
      <c r="B24" s="3287" t="s">
        <v>1726</v>
      </c>
      <c r="C24" s="542" t="s">
        <v>1736</v>
      </c>
      <c r="D24" s="543"/>
      <c r="E24" s="541">
        <v>0.5</v>
      </c>
      <c r="F24" s="544"/>
      <c r="G24" s="545"/>
      <c r="H24" s="517"/>
      <c r="I24" s="517"/>
    </row>
    <row r="25" spans="1:9" s="516" customFormat="1" ht="19.5" customHeight="1">
      <c r="A25" s="3287"/>
      <c r="B25" s="3287"/>
      <c r="C25" s="542" t="s">
        <v>1737</v>
      </c>
      <c r="D25" s="543"/>
      <c r="E25" s="541">
        <v>1.1000000000000001</v>
      </c>
      <c r="F25" s="544"/>
      <c r="G25" s="545"/>
      <c r="H25" s="517"/>
      <c r="I25" s="517"/>
    </row>
    <row r="26" spans="1:9" s="516" customFormat="1" ht="19.5" customHeight="1">
      <c r="A26" s="3287"/>
      <c r="B26" s="3287"/>
      <c r="C26" s="542" t="s">
        <v>1738</v>
      </c>
      <c r="D26" s="543"/>
      <c r="E26" s="541">
        <v>1.1000000000000001</v>
      </c>
      <c r="F26" s="544"/>
      <c r="G26" s="545"/>
      <c r="H26" s="517"/>
      <c r="I26" s="517"/>
    </row>
    <row r="27" spans="1:9" s="516" customFormat="1" ht="19.5" customHeight="1">
      <c r="A27" s="3287"/>
      <c r="B27" s="3287"/>
      <c r="C27" s="542" t="s">
        <v>1739</v>
      </c>
      <c r="D27" s="543"/>
      <c r="E27" s="541">
        <v>0.9</v>
      </c>
      <c r="F27" s="544" t="s">
        <v>1740</v>
      </c>
      <c r="G27" s="545"/>
      <c r="H27" s="517"/>
      <c r="I27" s="517"/>
    </row>
    <row r="28" spans="1:9" s="516" customFormat="1" ht="19.5" customHeight="1">
      <c r="A28" s="3287"/>
      <c r="B28" s="3287"/>
      <c r="C28" s="542" t="s">
        <v>1741</v>
      </c>
      <c r="D28" s="543"/>
      <c r="E28" s="541">
        <v>0.9</v>
      </c>
      <c r="F28" s="544" t="s">
        <v>1742</v>
      </c>
      <c r="G28" s="545"/>
      <c r="H28" s="517"/>
      <c r="I28" s="517"/>
    </row>
    <row r="29" spans="1:9" s="516" customFormat="1" ht="19.5" customHeight="1">
      <c r="A29" s="3287"/>
      <c r="B29" s="3287"/>
      <c r="C29" s="542" t="s">
        <v>1743</v>
      </c>
      <c r="D29" s="543"/>
      <c r="E29" s="541">
        <v>0.9</v>
      </c>
      <c r="F29" s="544" t="s">
        <v>1744</v>
      </c>
      <c r="G29" s="545"/>
      <c r="H29" s="517"/>
      <c r="I29" s="517"/>
    </row>
    <row r="30" spans="1:9" s="516" customFormat="1" ht="19.5" customHeight="1">
      <c r="A30" s="3287"/>
      <c r="B30" s="3287"/>
      <c r="C30" s="542" t="s">
        <v>1745</v>
      </c>
      <c r="D30" s="543"/>
      <c r="E30" s="541">
        <v>0.9</v>
      </c>
      <c r="F30" s="544" t="s">
        <v>1746</v>
      </c>
      <c r="G30" s="545"/>
      <c r="H30" s="517"/>
      <c r="I30" s="517"/>
    </row>
    <row r="31" spans="1:9" s="516" customFormat="1" ht="19.5" customHeight="1">
      <c r="A31" s="3287"/>
      <c r="B31" s="3287"/>
      <c r="C31" s="542" t="s">
        <v>1747</v>
      </c>
      <c r="D31" s="543"/>
      <c r="E31" s="541">
        <v>0.8</v>
      </c>
      <c r="F31" s="544" t="s">
        <v>1748</v>
      </c>
      <c r="G31" s="545"/>
      <c r="H31" s="517"/>
      <c r="I31" s="517"/>
    </row>
    <row r="32" spans="1:9" s="516" customFormat="1" ht="19.5" customHeight="1">
      <c r="A32" s="3287"/>
      <c r="B32" s="3287"/>
      <c r="C32" s="542" t="s">
        <v>1749</v>
      </c>
      <c r="D32" s="543"/>
      <c r="E32" s="541">
        <v>0.8</v>
      </c>
      <c r="F32" s="544" t="s">
        <v>1750</v>
      </c>
      <c r="G32" s="545"/>
      <c r="H32" s="517"/>
      <c r="I32" s="517"/>
    </row>
    <row r="33" spans="1:9" s="516" customFormat="1" ht="19.5" customHeight="1">
      <c r="A33" s="3287" t="s">
        <v>1751</v>
      </c>
      <c r="B33" s="541" t="s">
        <v>1723</v>
      </c>
      <c r="C33" s="542" t="s">
        <v>1752</v>
      </c>
      <c r="D33" s="543"/>
      <c r="E33" s="541">
        <v>1</v>
      </c>
      <c r="F33" s="544" t="s">
        <v>1753</v>
      </c>
      <c r="G33" s="545"/>
      <c r="H33" s="517"/>
      <c r="I33" s="517"/>
    </row>
    <row r="34" spans="1:9" s="516" customFormat="1" ht="19.5" customHeight="1">
      <c r="A34" s="3287"/>
      <c r="B34" s="541" t="s">
        <v>1726</v>
      </c>
      <c r="C34" s="542" t="s">
        <v>1754</v>
      </c>
      <c r="D34" s="543"/>
      <c r="E34" s="541">
        <v>1.5</v>
      </c>
      <c r="F34" s="544" t="s">
        <v>1755</v>
      </c>
      <c r="G34" s="545"/>
      <c r="H34" s="517"/>
      <c r="I34" s="517"/>
    </row>
    <row r="35" spans="1:9" s="516" customFormat="1" ht="19.5" customHeight="1">
      <c r="A35" s="3287" t="s">
        <v>464</v>
      </c>
      <c r="B35" s="541" t="s">
        <v>1723</v>
      </c>
      <c r="C35" s="542" t="s">
        <v>1756</v>
      </c>
      <c r="D35" s="543"/>
      <c r="E35" s="541">
        <v>1</v>
      </c>
      <c r="F35" s="544" t="s">
        <v>1757</v>
      </c>
      <c r="G35" s="545"/>
      <c r="H35" s="517"/>
      <c r="I35" s="517"/>
    </row>
    <row r="36" spans="1:9" s="516" customFormat="1" ht="19.5" customHeight="1">
      <c r="A36" s="3287"/>
      <c r="B36" s="3287" t="s">
        <v>1726</v>
      </c>
      <c r="C36" s="542" t="s">
        <v>1758</v>
      </c>
      <c r="D36" s="543"/>
      <c r="E36" s="541">
        <v>1</v>
      </c>
      <c r="F36" s="544" t="s">
        <v>1759</v>
      </c>
      <c r="G36" s="545"/>
      <c r="H36" s="517"/>
      <c r="I36" s="517"/>
    </row>
    <row r="37" spans="1:9" s="516" customFormat="1" ht="19.5" customHeight="1">
      <c r="A37" s="3287"/>
      <c r="B37" s="3287"/>
      <c r="C37" s="542" t="s">
        <v>1760</v>
      </c>
      <c r="D37" s="543"/>
      <c r="E37" s="541">
        <v>1.5</v>
      </c>
      <c r="F37" s="544" t="s">
        <v>1761</v>
      </c>
      <c r="G37" s="545"/>
      <c r="H37" s="517"/>
      <c r="I37" s="517"/>
    </row>
    <row r="38" spans="1:9" s="516" customFormat="1" ht="19.5" customHeight="1">
      <c r="A38" s="3287"/>
      <c r="B38" s="3287"/>
      <c r="C38" s="542" t="s">
        <v>1762</v>
      </c>
      <c r="D38" s="543"/>
      <c r="E38" s="541">
        <v>1</v>
      </c>
      <c r="F38" s="544" t="s">
        <v>1763</v>
      </c>
      <c r="G38" s="545"/>
      <c r="H38" s="517"/>
      <c r="I38" s="517"/>
    </row>
    <row r="39" spans="1:9" s="516" customFormat="1" ht="19.5" customHeight="1">
      <c r="A39" s="3287"/>
      <c r="B39" s="3287"/>
      <c r="C39" s="542" t="s">
        <v>1764</v>
      </c>
      <c r="D39" s="543"/>
      <c r="E39" s="541">
        <v>1</v>
      </c>
      <c r="F39" s="544" t="s">
        <v>1765</v>
      </c>
      <c r="G39" s="545"/>
      <c r="H39" s="517"/>
      <c r="I39" s="517"/>
    </row>
    <row r="40" spans="1:9" s="516" customFormat="1" ht="19.5" customHeight="1">
      <c r="A40" s="546" t="s">
        <v>1766</v>
      </c>
      <c r="B40" s="546"/>
      <c r="C40" s="546"/>
      <c r="D40" s="546"/>
      <c r="E40" s="546"/>
      <c r="F40" s="547"/>
      <c r="G40" s="547"/>
      <c r="H40" s="517"/>
      <c r="I40" s="517"/>
    </row>
    <row r="42" spans="1:9" ht="19.5" customHeight="1">
      <c r="A42" s="548"/>
      <c r="B42" s="532" t="s">
        <v>1767</v>
      </c>
      <c r="C42" s="532" t="s">
        <v>1767</v>
      </c>
      <c r="D42" s="532" t="s">
        <v>1767</v>
      </c>
      <c r="E42" s="534" t="s">
        <v>1767</v>
      </c>
      <c r="F42" s="534" t="s">
        <v>1767</v>
      </c>
      <c r="G42" s="534" t="s">
        <v>1768</v>
      </c>
      <c r="H42" s="534" t="s">
        <v>1767</v>
      </c>
    </row>
    <row r="43" spans="1:9" ht="19.5" customHeight="1">
      <c r="A43" s="549"/>
      <c r="B43" s="534" t="s">
        <v>1713</v>
      </c>
      <c r="C43" s="534" t="s">
        <v>1713</v>
      </c>
      <c r="D43" s="534" t="s">
        <v>1713</v>
      </c>
      <c r="E43" s="534" t="s">
        <v>1713</v>
      </c>
      <c r="F43" s="532" t="s">
        <v>1714</v>
      </c>
      <c r="G43" s="532" t="s">
        <v>464</v>
      </c>
      <c r="H43" s="532" t="s">
        <v>1769</v>
      </c>
    </row>
    <row r="44" spans="1:9" ht="19.5" customHeight="1">
      <c r="A44" s="550"/>
      <c r="B44" s="532">
        <v>1</v>
      </c>
      <c r="C44" s="532">
        <v>2</v>
      </c>
      <c r="D44" s="532">
        <v>3</v>
      </c>
      <c r="E44" s="534">
        <v>4</v>
      </c>
      <c r="F44" s="539" t="s">
        <v>1770</v>
      </c>
      <c r="G44" s="539" t="s">
        <v>1770</v>
      </c>
      <c r="H44" s="539" t="s">
        <v>1770</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253</v>
      </c>
      <c r="B47" s="532">
        <v>0.7</v>
      </c>
      <c r="C47" s="532">
        <v>0.4</v>
      </c>
      <c r="D47" s="532">
        <v>0.28000000000000003</v>
      </c>
      <c r="E47" s="532">
        <v>0.25</v>
      </c>
      <c r="F47" s="532">
        <v>0.25</v>
      </c>
      <c r="G47" s="532">
        <v>0.25</v>
      </c>
      <c r="H47" s="532">
        <v>0.2</v>
      </c>
    </row>
    <row r="48" spans="1:9" ht="19.5" customHeight="1">
      <c r="A48" s="551" t="s">
        <v>261</v>
      </c>
      <c r="B48" s="532">
        <v>0.7</v>
      </c>
      <c r="C48" s="532">
        <v>0.4</v>
      </c>
      <c r="D48" s="532">
        <v>0.28000000000000003</v>
      </c>
      <c r="E48" s="532">
        <v>0.25</v>
      </c>
      <c r="F48" s="532">
        <v>0.25</v>
      </c>
      <c r="G48" s="532">
        <v>0.25</v>
      </c>
      <c r="H48" s="532">
        <v>0.2</v>
      </c>
    </row>
    <row r="49" spans="1:8" s="517" customFormat="1" ht="19.5" customHeight="1">
      <c r="A49" s="551" t="s">
        <v>269</v>
      </c>
      <c r="B49" s="532">
        <v>0.7</v>
      </c>
      <c r="C49" s="532">
        <v>0.4</v>
      </c>
      <c r="D49" s="532">
        <v>0.28000000000000003</v>
      </c>
      <c r="E49" s="532">
        <v>0.25</v>
      </c>
      <c r="F49" s="532">
        <v>0.25</v>
      </c>
      <c r="G49" s="532">
        <v>0.25</v>
      </c>
      <c r="H49" s="532">
        <v>0.2</v>
      </c>
    </row>
    <row r="50" spans="1:8" s="517" customFormat="1" ht="19.5" customHeight="1">
      <c r="A50" s="551" t="s">
        <v>275</v>
      </c>
      <c r="B50" s="532">
        <v>0.7</v>
      </c>
      <c r="C50" s="532">
        <v>0.4</v>
      </c>
      <c r="D50" s="532">
        <v>0.28000000000000003</v>
      </c>
      <c r="E50" s="532">
        <v>0.25</v>
      </c>
      <c r="F50" s="532">
        <v>0.25</v>
      </c>
      <c r="G50" s="532">
        <v>0.25</v>
      </c>
      <c r="H50" s="532">
        <v>0.2</v>
      </c>
    </row>
    <row r="51" spans="1:8" s="517" customFormat="1" ht="19.5" customHeight="1">
      <c r="A51" s="551" t="s">
        <v>280</v>
      </c>
      <c r="B51" s="532">
        <v>0.7</v>
      </c>
      <c r="C51" s="532">
        <v>0.4</v>
      </c>
      <c r="D51" s="532">
        <v>0.28000000000000003</v>
      </c>
      <c r="E51" s="532">
        <v>0.25</v>
      </c>
      <c r="F51" s="532">
        <v>0.25</v>
      </c>
      <c r="G51" s="532">
        <v>0.25</v>
      </c>
      <c r="H51" s="532">
        <v>0.2</v>
      </c>
    </row>
    <row r="52" spans="1:8" s="517" customFormat="1" ht="19.5" customHeight="1">
      <c r="A52" s="551" t="s">
        <v>285</v>
      </c>
      <c r="B52" s="532">
        <v>0.6</v>
      </c>
      <c r="C52" s="532">
        <v>0.3</v>
      </c>
      <c r="D52" s="532">
        <v>0.2</v>
      </c>
      <c r="E52" s="532">
        <v>0.2</v>
      </c>
      <c r="F52" s="532">
        <v>0.2</v>
      </c>
      <c r="G52" s="532">
        <v>0.2</v>
      </c>
      <c r="H52" s="532">
        <v>0.15</v>
      </c>
    </row>
    <row r="53" spans="1:8" s="517" customFormat="1" ht="19.5" customHeight="1">
      <c r="A53" s="551" t="s">
        <v>288</v>
      </c>
      <c r="B53" s="532">
        <v>0.6</v>
      </c>
      <c r="C53" s="532">
        <v>0.3</v>
      </c>
      <c r="D53" s="532">
        <v>0.2</v>
      </c>
      <c r="E53" s="532">
        <v>0.2</v>
      </c>
      <c r="F53" s="532">
        <v>0.2</v>
      </c>
      <c r="G53" s="532">
        <v>0.2</v>
      </c>
      <c r="H53" s="532">
        <v>0.15</v>
      </c>
    </row>
    <row r="54" spans="1:8" s="517" customFormat="1" ht="19.5" customHeight="1">
      <c r="A54" s="551" t="s">
        <v>291</v>
      </c>
      <c r="B54" s="532">
        <v>0.6</v>
      </c>
      <c r="C54" s="532">
        <v>0.3</v>
      </c>
      <c r="D54" s="532">
        <v>0.2</v>
      </c>
      <c r="E54" s="532">
        <v>0.2</v>
      </c>
      <c r="F54" s="532">
        <v>0.2</v>
      </c>
      <c r="G54" s="532">
        <v>0.2</v>
      </c>
      <c r="H54" s="532">
        <v>0.15</v>
      </c>
    </row>
    <row r="55" spans="1:8" s="517" customFormat="1" ht="19.5" customHeight="1">
      <c r="A55" s="551" t="s">
        <v>294</v>
      </c>
      <c r="B55" s="532">
        <v>0.6</v>
      </c>
      <c r="C55" s="532">
        <v>0.3</v>
      </c>
      <c r="D55" s="532">
        <v>0.2</v>
      </c>
      <c r="E55" s="532">
        <v>0.2</v>
      </c>
      <c r="F55" s="532">
        <v>0.2</v>
      </c>
      <c r="G55" s="532">
        <v>0.2</v>
      </c>
      <c r="H55" s="532">
        <v>0.15</v>
      </c>
    </row>
    <row r="56" spans="1:8" s="517" customFormat="1" ht="19.5" customHeight="1">
      <c r="A56" s="551" t="s">
        <v>297</v>
      </c>
      <c r="B56" s="532">
        <v>0.6</v>
      </c>
      <c r="C56" s="532">
        <v>0.3</v>
      </c>
      <c r="D56" s="532">
        <v>0.2</v>
      </c>
      <c r="E56" s="532">
        <v>0.2</v>
      </c>
      <c r="F56" s="532">
        <v>0.2</v>
      </c>
      <c r="G56" s="532">
        <v>0.2</v>
      </c>
      <c r="H56" s="532">
        <v>0.15</v>
      </c>
    </row>
    <row r="58" spans="1:8" s="517" customFormat="1" ht="19.5" customHeight="1">
      <c r="A58" s="552"/>
      <c r="B58" s="536"/>
      <c r="C58" s="536"/>
      <c r="D58" s="536" t="s">
        <v>1771</v>
      </c>
      <c r="E58" s="536"/>
      <c r="F58" s="536"/>
    </row>
    <row r="59" spans="1:8" s="517" customFormat="1" ht="19.5" customHeight="1">
      <c r="A59" s="541" t="s">
        <v>1772</v>
      </c>
      <c r="B59" s="541" t="s">
        <v>1773</v>
      </c>
      <c r="C59" s="541" t="s">
        <v>1774</v>
      </c>
      <c r="D59" s="541" t="s">
        <v>1775</v>
      </c>
      <c r="E59" s="541" t="s">
        <v>1776</v>
      </c>
      <c r="F59" s="541" t="s">
        <v>1777</v>
      </c>
    </row>
    <row r="60" spans="1:8" ht="13.5">
      <c r="A60" s="541"/>
      <c r="B60" s="541"/>
      <c r="C60" s="541" t="s">
        <v>1778</v>
      </c>
      <c r="D60" s="541"/>
      <c r="E60" s="553" t="s">
        <v>124</v>
      </c>
      <c r="F60" s="541" t="s">
        <v>124</v>
      </c>
    </row>
    <row r="61" spans="1:8" s="517" customFormat="1" ht="24">
      <c r="A61" s="541">
        <v>1</v>
      </c>
      <c r="B61" s="3287" t="s">
        <v>1779</v>
      </c>
      <c r="C61" s="532" t="s">
        <v>1780</v>
      </c>
      <c r="D61" s="532" t="s">
        <v>1781</v>
      </c>
      <c r="E61" s="553">
        <v>0.5</v>
      </c>
      <c r="F61" s="541">
        <v>80</v>
      </c>
    </row>
    <row r="62" spans="1:8" s="517" customFormat="1" ht="24">
      <c r="A62" s="541">
        <v>2</v>
      </c>
      <c r="B62" s="3287"/>
      <c r="C62" s="532" t="s">
        <v>1782</v>
      </c>
      <c r="D62" s="532" t="s">
        <v>1783</v>
      </c>
      <c r="E62" s="553">
        <v>0.5</v>
      </c>
      <c r="F62" s="541">
        <v>80</v>
      </c>
    </row>
    <row r="63" spans="1:8" s="517" customFormat="1" ht="36">
      <c r="A63" s="541">
        <v>3</v>
      </c>
      <c r="B63" s="3287"/>
      <c r="C63" s="532" t="s">
        <v>1784</v>
      </c>
      <c r="D63" s="532" t="s">
        <v>1785</v>
      </c>
      <c r="E63" s="553">
        <v>0.5</v>
      </c>
      <c r="F63" s="541">
        <v>80</v>
      </c>
    </row>
    <row r="64" spans="1:8" s="517" customFormat="1" ht="36">
      <c r="A64" s="541">
        <v>4</v>
      </c>
      <c r="B64" s="3287"/>
      <c r="C64" s="532" t="s">
        <v>1786</v>
      </c>
      <c r="D64" s="532" t="s">
        <v>1787</v>
      </c>
      <c r="E64" s="553">
        <v>0.4</v>
      </c>
      <c r="F64" s="541">
        <v>60</v>
      </c>
    </row>
    <row r="65" spans="1:6" s="517" customFormat="1" ht="36">
      <c r="A65" s="541">
        <v>5</v>
      </c>
      <c r="B65" s="3287"/>
      <c r="C65" s="532" t="s">
        <v>1788</v>
      </c>
      <c r="D65" s="532" t="s">
        <v>1789</v>
      </c>
      <c r="E65" s="553">
        <v>0.2</v>
      </c>
      <c r="F65" s="541">
        <v>30</v>
      </c>
    </row>
    <row r="66" spans="1:6" s="517" customFormat="1" ht="36">
      <c r="A66" s="541">
        <v>6</v>
      </c>
      <c r="B66" s="3287"/>
      <c r="C66" s="532" t="s">
        <v>1790</v>
      </c>
      <c r="D66" s="532" t="s">
        <v>1791</v>
      </c>
      <c r="E66" s="553">
        <v>0.3</v>
      </c>
      <c r="F66" s="541">
        <v>50</v>
      </c>
    </row>
    <row r="67" spans="1:6" s="517" customFormat="1" ht="36">
      <c r="A67" s="541">
        <v>7</v>
      </c>
      <c r="B67" s="3287"/>
      <c r="C67" s="532" t="s">
        <v>1792</v>
      </c>
      <c r="D67" s="532" t="s">
        <v>1793</v>
      </c>
      <c r="E67" s="553">
        <v>0.2</v>
      </c>
      <c r="F67" s="541">
        <v>30</v>
      </c>
    </row>
    <row r="68" spans="1:6" s="517" customFormat="1" ht="36">
      <c r="A68" s="541">
        <v>8</v>
      </c>
      <c r="B68" s="3287"/>
      <c r="C68" s="532" t="s">
        <v>1794</v>
      </c>
      <c r="D68" s="532" t="s">
        <v>1795</v>
      </c>
      <c r="E68" s="553">
        <v>0.2</v>
      </c>
      <c r="F68" s="541">
        <v>30</v>
      </c>
    </row>
    <row r="69" spans="1:6" s="517" customFormat="1" ht="36">
      <c r="A69" s="541">
        <v>9</v>
      </c>
      <c r="B69" s="3287"/>
      <c r="C69" s="532" t="s">
        <v>1796</v>
      </c>
      <c r="D69" s="532" t="s">
        <v>1797</v>
      </c>
      <c r="E69" s="553">
        <v>0.2</v>
      </c>
      <c r="F69" s="541">
        <v>30</v>
      </c>
    </row>
    <row r="70" spans="1:6" s="517" customFormat="1" ht="48">
      <c r="A70" s="541">
        <v>10</v>
      </c>
      <c r="B70" s="3287"/>
      <c r="C70" s="532" t="s">
        <v>1798</v>
      </c>
      <c r="D70" s="532" t="s">
        <v>1799</v>
      </c>
      <c r="E70" s="553">
        <v>0.2</v>
      </c>
      <c r="F70" s="541">
        <v>30</v>
      </c>
    </row>
    <row r="71" spans="1:6" s="517" customFormat="1" ht="48">
      <c r="A71" s="541">
        <v>11</v>
      </c>
      <c r="B71" s="3287"/>
      <c r="C71" s="532" t="s">
        <v>1800</v>
      </c>
      <c r="D71" s="532" t="s">
        <v>1801</v>
      </c>
      <c r="E71" s="553">
        <v>0.2</v>
      </c>
      <c r="F71" s="541">
        <v>30</v>
      </c>
    </row>
    <row r="72" spans="1:6" s="517" customFormat="1" ht="36">
      <c r="A72" s="541">
        <v>12</v>
      </c>
      <c r="B72" s="3287"/>
      <c r="C72" s="532" t="s">
        <v>1802</v>
      </c>
      <c r="D72" s="532" t="s">
        <v>1803</v>
      </c>
      <c r="E72" s="553">
        <v>0.5</v>
      </c>
      <c r="F72" s="541">
        <v>80</v>
      </c>
    </row>
    <row r="73" spans="1:6" s="517" customFormat="1" ht="24">
      <c r="A73" s="541">
        <v>13</v>
      </c>
      <c r="B73" s="3287"/>
      <c r="C73" s="532" t="s">
        <v>1804</v>
      </c>
      <c r="D73" s="532" t="s">
        <v>1805</v>
      </c>
      <c r="E73" s="553">
        <v>0.4</v>
      </c>
      <c r="F73" s="541">
        <v>60</v>
      </c>
    </row>
    <row r="74" spans="1:6" s="517" customFormat="1" ht="24">
      <c r="A74" s="541">
        <v>14</v>
      </c>
      <c r="B74" s="3287"/>
      <c r="C74" s="532" t="s">
        <v>1806</v>
      </c>
      <c r="D74" s="532" t="s">
        <v>1807</v>
      </c>
      <c r="E74" s="553">
        <v>0.2</v>
      </c>
      <c r="F74" s="541">
        <v>30</v>
      </c>
    </row>
    <row r="75" spans="1:6" s="517" customFormat="1" ht="24">
      <c r="A75" s="541">
        <v>15</v>
      </c>
      <c r="B75" s="3287"/>
      <c r="C75" s="532" t="s">
        <v>1808</v>
      </c>
      <c r="D75" s="532" t="s">
        <v>1809</v>
      </c>
      <c r="E75" s="553">
        <v>0.2</v>
      </c>
      <c r="F75" s="541">
        <v>30</v>
      </c>
    </row>
    <row r="76" spans="1:6" s="517" customFormat="1" ht="24">
      <c r="A76" s="541">
        <v>16</v>
      </c>
      <c r="B76" s="3287" t="s">
        <v>1810</v>
      </c>
      <c r="C76" s="532" t="s">
        <v>1811</v>
      </c>
      <c r="D76" s="532" t="s">
        <v>1812</v>
      </c>
      <c r="E76" s="553">
        <v>0.5</v>
      </c>
      <c r="F76" s="541">
        <v>80</v>
      </c>
    </row>
    <row r="77" spans="1:6" s="517" customFormat="1" ht="24">
      <c r="A77" s="541">
        <v>17</v>
      </c>
      <c r="B77" s="3287"/>
      <c r="C77" s="532" t="s">
        <v>1813</v>
      </c>
      <c r="D77" s="532" t="s">
        <v>1814</v>
      </c>
      <c r="E77" s="553">
        <v>0.5</v>
      </c>
      <c r="F77" s="541">
        <v>80</v>
      </c>
    </row>
    <row r="78" spans="1:6" s="517" customFormat="1" ht="24">
      <c r="A78" s="541">
        <v>18</v>
      </c>
      <c r="B78" s="3287"/>
      <c r="C78" s="532" t="s">
        <v>1815</v>
      </c>
      <c r="D78" s="532" t="s">
        <v>1816</v>
      </c>
      <c r="E78" s="553">
        <v>0.2</v>
      </c>
      <c r="F78" s="541">
        <v>30</v>
      </c>
    </row>
    <row r="79" spans="1:6" s="517" customFormat="1" ht="24">
      <c r="A79" s="541">
        <v>19</v>
      </c>
      <c r="B79" s="3287"/>
      <c r="C79" s="532" t="s">
        <v>1817</v>
      </c>
      <c r="D79" s="532" t="s">
        <v>1818</v>
      </c>
      <c r="E79" s="553">
        <v>0.5</v>
      </c>
      <c r="F79" s="541">
        <v>80</v>
      </c>
    </row>
    <row r="80" spans="1:6" s="517" customFormat="1" ht="36">
      <c r="A80" s="541">
        <v>20</v>
      </c>
      <c r="B80" s="3287"/>
      <c r="C80" s="532" t="s">
        <v>1819</v>
      </c>
      <c r="D80" s="532" t="s">
        <v>1820</v>
      </c>
      <c r="E80" s="553">
        <v>0.2</v>
      </c>
      <c r="F80" s="541">
        <v>30</v>
      </c>
    </row>
    <row r="81" spans="1:6" s="517" customFormat="1" ht="36">
      <c r="A81" s="541">
        <v>21</v>
      </c>
      <c r="B81" s="3287"/>
      <c r="C81" s="532" t="s">
        <v>1821</v>
      </c>
      <c r="D81" s="532" t="s">
        <v>1822</v>
      </c>
      <c r="E81" s="553">
        <v>0.2</v>
      </c>
      <c r="F81" s="541">
        <v>30</v>
      </c>
    </row>
    <row r="82" spans="1:6" s="517" customFormat="1" ht="48">
      <c r="A82" s="541">
        <v>22</v>
      </c>
      <c r="B82" s="3287"/>
      <c r="C82" s="532" t="s">
        <v>1823</v>
      </c>
      <c r="D82" s="532" t="s">
        <v>1824</v>
      </c>
      <c r="E82" s="553">
        <v>0.2</v>
      </c>
      <c r="F82" s="541">
        <v>30</v>
      </c>
    </row>
    <row r="83" spans="1:6" s="517" customFormat="1" ht="48">
      <c r="A83" s="541">
        <v>23</v>
      </c>
      <c r="B83" s="3287"/>
      <c r="C83" s="532" t="s">
        <v>1825</v>
      </c>
      <c r="D83" s="532" t="s">
        <v>1826</v>
      </c>
      <c r="E83" s="553">
        <v>0.2</v>
      </c>
      <c r="F83" s="541">
        <v>30</v>
      </c>
    </row>
    <row r="84" spans="1:6" s="517" customFormat="1" ht="36">
      <c r="A84" s="541">
        <v>24</v>
      </c>
      <c r="B84" s="3287"/>
      <c r="C84" s="532" t="s">
        <v>1827</v>
      </c>
      <c r="D84" s="532" t="s">
        <v>1828</v>
      </c>
      <c r="E84" s="553">
        <v>0.2</v>
      </c>
      <c r="F84" s="541">
        <v>30</v>
      </c>
    </row>
    <row r="85" spans="1:6" s="517" customFormat="1" ht="36">
      <c r="A85" s="541">
        <v>25</v>
      </c>
      <c r="B85" s="3287"/>
      <c r="C85" s="532" t="s">
        <v>1829</v>
      </c>
      <c r="D85" s="532" t="s">
        <v>1830</v>
      </c>
      <c r="E85" s="553">
        <v>0.5</v>
      </c>
      <c r="F85" s="541">
        <v>80</v>
      </c>
    </row>
    <row r="86" spans="1:6" s="517" customFormat="1" ht="36">
      <c r="A86" s="541">
        <v>26</v>
      </c>
      <c r="B86" s="3287"/>
      <c r="C86" s="532" t="s">
        <v>1831</v>
      </c>
      <c r="D86" s="532" t="s">
        <v>1832</v>
      </c>
      <c r="E86" s="553">
        <v>0.2</v>
      </c>
      <c r="F86" s="541">
        <v>30</v>
      </c>
    </row>
    <row r="87" spans="1:6" s="517" customFormat="1" ht="36">
      <c r="A87" s="541">
        <v>27</v>
      </c>
      <c r="B87" s="3287"/>
      <c r="C87" s="532" t="s">
        <v>1833</v>
      </c>
      <c r="D87" s="532" t="s">
        <v>1834</v>
      </c>
      <c r="E87" s="553">
        <v>0.2</v>
      </c>
      <c r="F87" s="541">
        <v>30</v>
      </c>
    </row>
    <row r="88" spans="1:6" s="517" customFormat="1" ht="36">
      <c r="A88" s="541">
        <v>28</v>
      </c>
      <c r="B88" s="3287"/>
      <c r="C88" s="532" t="s">
        <v>1835</v>
      </c>
      <c r="D88" s="532" t="s">
        <v>1836</v>
      </c>
      <c r="E88" s="553">
        <v>0.2</v>
      </c>
      <c r="F88" s="541">
        <v>30</v>
      </c>
    </row>
    <row r="89" spans="1:6" s="517" customFormat="1" ht="24">
      <c r="A89" s="541">
        <v>29</v>
      </c>
      <c r="B89" s="3287"/>
      <c r="C89" s="532" t="s">
        <v>1837</v>
      </c>
      <c r="D89" s="532" t="s">
        <v>1838</v>
      </c>
      <c r="E89" s="553">
        <v>0.2</v>
      </c>
      <c r="F89" s="541">
        <v>30</v>
      </c>
    </row>
    <row r="90" spans="1:6" s="517" customFormat="1" ht="24">
      <c r="A90" s="541">
        <v>30</v>
      </c>
      <c r="B90" s="3287"/>
      <c r="C90" s="532" t="s">
        <v>1839</v>
      </c>
      <c r="D90" s="532" t="s">
        <v>1840</v>
      </c>
      <c r="E90" s="553">
        <v>0.2</v>
      </c>
      <c r="F90" s="541">
        <v>30</v>
      </c>
    </row>
    <row r="91" spans="1:6" s="517" customFormat="1" ht="36">
      <c r="A91" s="541">
        <v>31</v>
      </c>
      <c r="B91" s="3287"/>
      <c r="C91" s="532" t="s">
        <v>1841</v>
      </c>
      <c r="D91" s="532" t="s">
        <v>1842</v>
      </c>
      <c r="E91" s="553">
        <v>0.2</v>
      </c>
      <c r="F91" s="541">
        <v>30</v>
      </c>
    </row>
    <row r="92" spans="1:6" s="517" customFormat="1" ht="24">
      <c r="A92" s="541">
        <v>32</v>
      </c>
      <c r="B92" s="3287" t="s">
        <v>1843</v>
      </c>
      <c r="C92" s="541" t="s">
        <v>1844</v>
      </c>
      <c r="D92" s="532" t="s">
        <v>1845</v>
      </c>
      <c r="E92" s="553">
        <v>0.2</v>
      </c>
      <c r="F92" s="541">
        <v>30</v>
      </c>
    </row>
    <row r="93" spans="1:6" s="517" customFormat="1" ht="36">
      <c r="A93" s="541">
        <v>33</v>
      </c>
      <c r="B93" s="3287"/>
      <c r="C93" s="541" t="s">
        <v>1846</v>
      </c>
      <c r="D93" s="532" t="s">
        <v>1847</v>
      </c>
      <c r="E93" s="553">
        <v>0.2</v>
      </c>
      <c r="F93" s="541">
        <v>30</v>
      </c>
    </row>
    <row r="94" spans="1:6" s="517" customFormat="1" ht="48">
      <c r="A94" s="541">
        <v>34</v>
      </c>
      <c r="B94" s="3287"/>
      <c r="C94" s="541" t="s">
        <v>1848</v>
      </c>
      <c r="D94" s="532" t="s">
        <v>1849</v>
      </c>
      <c r="E94" s="553">
        <v>0.2</v>
      </c>
      <c r="F94" s="541">
        <v>30</v>
      </c>
    </row>
    <row r="95" spans="1:6" s="517" customFormat="1" ht="36">
      <c r="A95" s="541">
        <v>35</v>
      </c>
      <c r="B95" s="3287"/>
      <c r="C95" s="541" t="s">
        <v>1850</v>
      </c>
      <c r="D95" s="532" t="s">
        <v>1851</v>
      </c>
      <c r="E95" s="553">
        <v>0.2</v>
      </c>
      <c r="F95" s="541">
        <v>30</v>
      </c>
    </row>
    <row r="96" spans="1:6" s="517" customFormat="1" ht="48">
      <c r="A96" s="541">
        <v>36</v>
      </c>
      <c r="B96" s="3287"/>
      <c r="C96" s="532" t="s">
        <v>1852</v>
      </c>
      <c r="D96" s="532" t="s">
        <v>1853</v>
      </c>
      <c r="E96" s="553">
        <v>0.2</v>
      </c>
      <c r="F96" s="541">
        <v>30</v>
      </c>
    </row>
    <row r="97" spans="1:6" s="517" customFormat="1" ht="36">
      <c r="A97" s="541">
        <v>37</v>
      </c>
      <c r="B97" s="3287"/>
      <c r="C97" s="541" t="s">
        <v>1854</v>
      </c>
      <c r="D97" s="532" t="s">
        <v>1855</v>
      </c>
      <c r="E97" s="553">
        <v>0.2</v>
      </c>
      <c r="F97" s="541">
        <v>30</v>
      </c>
    </row>
    <row r="98" spans="1:6" s="517" customFormat="1" ht="36">
      <c r="A98" s="541">
        <v>38</v>
      </c>
      <c r="B98" s="3287"/>
      <c r="C98" s="541" t="s">
        <v>1856</v>
      </c>
      <c r="D98" s="532" t="s">
        <v>1857</v>
      </c>
      <c r="E98" s="553">
        <v>0.2</v>
      </c>
      <c r="F98" s="541">
        <v>30</v>
      </c>
    </row>
    <row r="99" spans="1:6" s="517" customFormat="1" ht="36">
      <c r="A99" s="541">
        <v>39</v>
      </c>
      <c r="B99" s="3287" t="s">
        <v>1858</v>
      </c>
      <c r="C99" s="541" t="s">
        <v>1859</v>
      </c>
      <c r="D99" s="532" t="s">
        <v>1860</v>
      </c>
      <c r="E99" s="553">
        <v>0.3</v>
      </c>
      <c r="F99" s="541">
        <v>50</v>
      </c>
    </row>
    <row r="100" spans="1:6" s="517" customFormat="1" ht="24">
      <c r="A100" s="541">
        <v>40</v>
      </c>
      <c r="B100" s="3287"/>
      <c r="C100" s="541" t="s">
        <v>1861</v>
      </c>
      <c r="D100" s="532" t="s">
        <v>1862</v>
      </c>
      <c r="E100" s="553">
        <v>0.2</v>
      </c>
      <c r="F100" s="541">
        <v>30</v>
      </c>
    </row>
    <row r="101" spans="1:6" s="517" customFormat="1" ht="36">
      <c r="A101" s="541">
        <v>41</v>
      </c>
      <c r="B101" s="3287"/>
      <c r="C101" s="541" t="s">
        <v>1863</v>
      </c>
      <c r="D101" s="532" t="s">
        <v>1860</v>
      </c>
      <c r="E101" s="553">
        <v>0.2</v>
      </c>
      <c r="F101" s="541">
        <v>30</v>
      </c>
    </row>
    <row r="102" spans="1:6" s="517" customFormat="1" ht="48">
      <c r="A102" s="541">
        <v>42</v>
      </c>
      <c r="B102" s="541" t="s">
        <v>1864</v>
      </c>
      <c r="C102" s="532" t="s">
        <v>1865</v>
      </c>
      <c r="D102" s="532" t="s">
        <v>1866</v>
      </c>
      <c r="E102" s="553">
        <v>0.2</v>
      </c>
      <c r="F102" s="541">
        <v>30</v>
      </c>
    </row>
    <row r="103" spans="1:6" s="517" customFormat="1" ht="24">
      <c r="A103" s="541">
        <v>43</v>
      </c>
      <c r="B103" s="541" t="s">
        <v>1867</v>
      </c>
      <c r="C103" s="541" t="s">
        <v>1868</v>
      </c>
      <c r="D103" s="532" t="s">
        <v>1869</v>
      </c>
      <c r="E103" s="553">
        <v>0.2</v>
      </c>
      <c r="F103" s="541">
        <v>30</v>
      </c>
    </row>
    <row r="104" spans="1:6" s="517" customFormat="1" ht="36">
      <c r="A104" s="541">
        <v>44</v>
      </c>
      <c r="B104" s="541" t="s">
        <v>1870</v>
      </c>
      <c r="C104" s="541" t="s">
        <v>1871</v>
      </c>
      <c r="D104" s="532" t="s">
        <v>1872</v>
      </c>
      <c r="E104" s="553">
        <v>0.2</v>
      </c>
      <c r="F104" s="541">
        <v>30</v>
      </c>
    </row>
    <row r="105" spans="1:6" s="517" customFormat="1" ht="36">
      <c r="A105" s="541">
        <v>45</v>
      </c>
      <c r="B105" s="3287" t="s">
        <v>1873</v>
      </c>
      <c r="C105" s="541" t="s">
        <v>1874</v>
      </c>
      <c r="D105" s="532" t="s">
        <v>1875</v>
      </c>
      <c r="E105" s="553">
        <v>0.2</v>
      </c>
      <c r="F105" s="541">
        <v>30</v>
      </c>
    </row>
    <row r="106" spans="1:6" s="517" customFormat="1" ht="36">
      <c r="A106" s="541">
        <v>46</v>
      </c>
      <c r="B106" s="3287"/>
      <c r="C106" s="541" t="s">
        <v>1876</v>
      </c>
      <c r="D106" s="532" t="s">
        <v>1877</v>
      </c>
      <c r="E106" s="553">
        <v>0.2</v>
      </c>
      <c r="F106" s="541">
        <v>30</v>
      </c>
    </row>
    <row r="107" spans="1:6" s="517" customFormat="1" ht="36">
      <c r="A107" s="541">
        <v>47</v>
      </c>
      <c r="B107" s="3287" t="s">
        <v>1878</v>
      </c>
      <c r="C107" s="541" t="s">
        <v>1879</v>
      </c>
      <c r="D107" s="532" t="s">
        <v>1880</v>
      </c>
      <c r="E107" s="553">
        <v>0.3</v>
      </c>
      <c r="F107" s="541">
        <v>50</v>
      </c>
    </row>
    <row r="108" spans="1:6" s="517" customFormat="1" ht="36">
      <c r="A108" s="541">
        <v>48</v>
      </c>
      <c r="B108" s="3287"/>
      <c r="C108" s="541" t="s">
        <v>1881</v>
      </c>
      <c r="D108" s="532" t="s">
        <v>1882</v>
      </c>
      <c r="E108" s="553">
        <v>0.2</v>
      </c>
      <c r="F108" s="541">
        <v>30</v>
      </c>
    </row>
    <row r="109" spans="1:6" s="517" customFormat="1" ht="36">
      <c r="A109" s="541">
        <v>49</v>
      </c>
      <c r="B109" s="541" t="s">
        <v>1883</v>
      </c>
      <c r="C109" s="541" t="s">
        <v>1884</v>
      </c>
      <c r="D109" s="532" t="s">
        <v>1885</v>
      </c>
      <c r="E109" s="553">
        <v>0.2</v>
      </c>
      <c r="F109" s="541">
        <v>30</v>
      </c>
    </row>
    <row r="110" spans="1:6" s="517" customFormat="1" ht="36">
      <c r="A110" s="541">
        <v>50</v>
      </c>
      <c r="B110" s="541" t="s">
        <v>1886</v>
      </c>
      <c r="C110" s="541" t="s">
        <v>1887</v>
      </c>
      <c r="D110" s="532" t="s">
        <v>1888</v>
      </c>
      <c r="E110" s="553">
        <v>0.2</v>
      </c>
      <c r="F110" s="541">
        <v>30</v>
      </c>
    </row>
    <row r="111" spans="1:6" s="517" customFormat="1" ht="36">
      <c r="A111" s="541">
        <v>51</v>
      </c>
      <c r="B111" s="3287" t="s">
        <v>1889</v>
      </c>
      <c r="C111" s="541" t="s">
        <v>1890</v>
      </c>
      <c r="D111" s="532" t="s">
        <v>1891</v>
      </c>
      <c r="E111" s="553">
        <v>0.2</v>
      </c>
      <c r="F111" s="541">
        <v>30</v>
      </c>
    </row>
    <row r="112" spans="1:6" s="517" customFormat="1" ht="24">
      <c r="A112" s="541">
        <v>52</v>
      </c>
      <c r="B112" s="3287"/>
      <c r="C112" s="541" t="s">
        <v>1892</v>
      </c>
      <c r="D112" s="532" t="s">
        <v>1893</v>
      </c>
      <c r="E112" s="553">
        <v>0.2</v>
      </c>
      <c r="F112" s="541">
        <v>30</v>
      </c>
    </row>
    <row r="113" spans="1:6" s="517" customFormat="1" ht="24">
      <c r="A113" s="541">
        <v>53</v>
      </c>
      <c r="B113" s="3287"/>
      <c r="C113" s="541" t="s">
        <v>1894</v>
      </c>
      <c r="D113" s="532" t="s">
        <v>1895</v>
      </c>
      <c r="E113" s="553">
        <v>0.2</v>
      </c>
      <c r="F113" s="541">
        <v>30</v>
      </c>
    </row>
    <row r="114" spans="1:6" ht="36">
      <c r="A114" s="541">
        <v>54</v>
      </c>
      <c r="B114" s="541" t="s">
        <v>1896</v>
      </c>
      <c r="C114" s="541" t="s">
        <v>1897</v>
      </c>
      <c r="D114" s="532" t="s">
        <v>1898</v>
      </c>
      <c r="E114" s="553">
        <v>0.2</v>
      </c>
      <c r="F114" s="541">
        <v>30</v>
      </c>
    </row>
    <row r="115" spans="1:6" ht="24">
      <c r="A115" s="541">
        <v>55</v>
      </c>
      <c r="B115" s="541" t="s">
        <v>1899</v>
      </c>
      <c r="C115" s="541" t="s">
        <v>1900</v>
      </c>
      <c r="D115" s="532" t="s">
        <v>1901</v>
      </c>
      <c r="E115" s="553">
        <v>0.2</v>
      </c>
      <c r="F115" s="541">
        <v>30</v>
      </c>
    </row>
    <row r="116" spans="1:6" ht="24">
      <c r="A116" s="541">
        <v>56</v>
      </c>
      <c r="B116" s="3287" t="s">
        <v>1902</v>
      </c>
      <c r="C116" s="541" t="s">
        <v>1903</v>
      </c>
      <c r="D116" s="532" t="s">
        <v>1904</v>
      </c>
      <c r="E116" s="553">
        <v>0.2</v>
      </c>
      <c r="F116" s="541">
        <v>30</v>
      </c>
    </row>
    <row r="117" spans="1:6" ht="36">
      <c r="A117" s="541">
        <v>57</v>
      </c>
      <c r="B117" s="3287"/>
      <c r="C117" s="541" t="s">
        <v>1905</v>
      </c>
      <c r="D117" s="532" t="s">
        <v>1906</v>
      </c>
      <c r="E117" s="553">
        <v>0.2</v>
      </c>
      <c r="F117" s="541">
        <v>30</v>
      </c>
    </row>
    <row r="118" spans="1:6" ht="36">
      <c r="A118" s="541">
        <v>58</v>
      </c>
      <c r="B118" s="541" t="s">
        <v>1907</v>
      </c>
      <c r="C118" s="541" t="s">
        <v>1908</v>
      </c>
      <c r="D118" s="532" t="s">
        <v>1909</v>
      </c>
      <c r="E118" s="553">
        <v>0.2</v>
      </c>
      <c r="F118" s="541">
        <v>30</v>
      </c>
    </row>
    <row r="119" spans="1:6" ht="13.5">
      <c r="A119" s="541"/>
      <c r="B119" s="541"/>
      <c r="C119" s="541" t="s">
        <v>1778</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1910</v>
      </c>
      <c r="B1" s="508"/>
      <c r="C1" s="508"/>
      <c r="D1" s="508"/>
      <c r="E1" s="508"/>
      <c r="F1" s="508"/>
      <c r="G1" s="508"/>
      <c r="H1" s="508"/>
      <c r="I1" s="508"/>
      <c r="J1" s="508"/>
      <c r="K1" s="508"/>
      <c r="L1" s="508"/>
      <c r="M1" s="508"/>
      <c r="N1" s="508"/>
    </row>
    <row r="2" spans="1:14">
      <c r="A2" s="509" t="s">
        <v>1911</v>
      </c>
      <c r="B2" s="510" t="s">
        <v>232</v>
      </c>
      <c r="C2" s="510" t="s">
        <v>243</v>
      </c>
      <c r="D2" s="510" t="s">
        <v>253</v>
      </c>
      <c r="E2" s="510" t="s">
        <v>261</v>
      </c>
      <c r="F2" s="510" t="s">
        <v>269</v>
      </c>
      <c r="G2" s="510" t="s">
        <v>275</v>
      </c>
      <c r="H2" s="511" t="s">
        <v>280</v>
      </c>
      <c r="I2" s="511" t="s">
        <v>285</v>
      </c>
      <c r="J2" s="514" t="s">
        <v>288</v>
      </c>
      <c r="K2" s="514" t="s">
        <v>291</v>
      </c>
      <c r="L2" s="514" t="s">
        <v>294</v>
      </c>
      <c r="M2" s="514" t="s">
        <v>297</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1912</v>
      </c>
      <c r="B103" s="508"/>
      <c r="C103" s="508"/>
      <c r="D103" s="508"/>
      <c r="E103" s="508"/>
      <c r="F103" s="508"/>
      <c r="G103" s="508"/>
      <c r="H103" s="508"/>
      <c r="I103" s="508"/>
      <c r="J103" s="508"/>
      <c r="K103" s="508"/>
      <c r="L103" s="508"/>
      <c r="M103" s="508"/>
      <c r="N103" s="508"/>
    </row>
    <row r="104" spans="1:14" ht="14.25">
      <c r="A104" s="509" t="s">
        <v>1911</v>
      </c>
      <c r="B104" s="510" t="s">
        <v>232</v>
      </c>
      <c r="C104" s="510" t="s">
        <v>243</v>
      </c>
      <c r="D104" s="510" t="s">
        <v>253</v>
      </c>
      <c r="E104" s="510" t="s">
        <v>261</v>
      </c>
      <c r="F104" s="510" t="s">
        <v>269</v>
      </c>
      <c r="G104" s="510" t="s">
        <v>275</v>
      </c>
      <c r="H104" s="511" t="s">
        <v>280</v>
      </c>
      <c r="I104" s="511" t="s">
        <v>285</v>
      </c>
      <c r="J104" s="514" t="s">
        <v>288</v>
      </c>
      <c r="K104" s="514" t="s">
        <v>291</v>
      </c>
      <c r="L104" s="514" t="s">
        <v>294</v>
      </c>
      <c r="M104" s="514" t="s">
        <v>297</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1913</v>
      </c>
      <c r="B205" s="508"/>
      <c r="C205" s="508"/>
      <c r="D205" s="508"/>
      <c r="E205" s="508"/>
      <c r="F205" s="508"/>
      <c r="G205" s="508"/>
      <c r="H205" s="508"/>
      <c r="I205" s="508"/>
      <c r="J205" s="508"/>
      <c r="K205" s="508"/>
      <c r="L205" s="508"/>
      <c r="M205" s="508"/>
    </row>
    <row r="206" spans="1:13">
      <c r="A206" s="509" t="s">
        <v>1911</v>
      </c>
      <c r="B206" s="510" t="s">
        <v>232</v>
      </c>
      <c r="C206" s="510" t="s">
        <v>243</v>
      </c>
      <c r="D206" s="510" t="s">
        <v>253</v>
      </c>
      <c r="E206" s="510" t="s">
        <v>261</v>
      </c>
      <c r="F206" s="510" t="s">
        <v>269</v>
      </c>
      <c r="G206" s="510" t="s">
        <v>275</v>
      </c>
      <c r="H206" s="511" t="s">
        <v>280</v>
      </c>
      <c r="I206" s="511" t="s">
        <v>285</v>
      </c>
      <c r="J206" s="514" t="s">
        <v>288</v>
      </c>
      <c r="K206" s="514" t="s">
        <v>291</v>
      </c>
      <c r="L206" s="514" t="s">
        <v>294</v>
      </c>
      <c r="M206" s="514" t="s">
        <v>297</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1914</v>
      </c>
      <c r="B307" s="508"/>
      <c r="C307" s="508"/>
      <c r="D307" s="508"/>
      <c r="E307" s="508"/>
      <c r="F307" s="508"/>
      <c r="G307" s="508"/>
      <c r="H307" s="508"/>
      <c r="I307" s="508"/>
      <c r="J307" s="508"/>
      <c r="K307" s="508"/>
      <c r="L307" s="508"/>
      <c r="M307" s="508"/>
    </row>
    <row r="308" spans="1:13">
      <c r="A308" s="509" t="s">
        <v>1911</v>
      </c>
      <c r="B308" s="510" t="s">
        <v>232</v>
      </c>
      <c r="C308" s="510" t="s">
        <v>243</v>
      </c>
      <c r="D308" s="510" t="s">
        <v>253</v>
      </c>
      <c r="E308" s="510" t="s">
        <v>261</v>
      </c>
      <c r="F308" s="510" t="s">
        <v>269</v>
      </c>
      <c r="G308" s="510" t="s">
        <v>275</v>
      </c>
      <c r="H308" s="511" t="s">
        <v>280</v>
      </c>
      <c r="I308" s="511" t="s">
        <v>285</v>
      </c>
      <c r="J308" s="514" t="s">
        <v>288</v>
      </c>
      <c r="K308" s="514" t="s">
        <v>291</v>
      </c>
      <c r="L308" s="514" t="s">
        <v>294</v>
      </c>
      <c r="M308" s="514" t="s">
        <v>297</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1915</v>
      </c>
    </row>
    <row r="2" spans="1:5" ht="15.75">
      <c r="A2" s="498" t="s">
        <v>97</v>
      </c>
      <c r="B2" s="499" t="e">
        <f ca="1">SUMIF(B6:B13,"&lt;&gt;#ref!",B6:B13)</f>
        <v>#DIV/0!</v>
      </c>
      <c r="C2" s="498" t="s">
        <v>1916</v>
      </c>
      <c r="D2" s="498" t="s">
        <v>1917</v>
      </c>
      <c r="E2" s="499">
        <f ca="1">SUMIF(E6:E13,"&lt;&gt;#ref!",E6:E13)</f>
        <v>0</v>
      </c>
    </row>
    <row r="3" spans="1:5" ht="15.75">
      <c r="A3" s="498" t="s">
        <v>1918</v>
      </c>
      <c r="B3" s="499" t="e">
        <f ca="1">ROUND(B2*10000/E2,0)</f>
        <v>#DIV/0!</v>
      </c>
      <c r="C3" s="498" t="s">
        <v>1919</v>
      </c>
      <c r="D3" s="500"/>
      <c r="E3" s="500"/>
    </row>
    <row r="4" spans="1:5" ht="15.75">
      <c r="A4" s="501"/>
      <c r="B4" s="500"/>
      <c r="C4" s="500"/>
      <c r="D4" s="500"/>
      <c r="E4" s="500"/>
    </row>
    <row r="5" spans="1:5" ht="28.5">
      <c r="A5" s="502" t="s">
        <v>1920</v>
      </c>
      <c r="B5" s="498" t="s">
        <v>1921</v>
      </c>
      <c r="C5" s="499"/>
      <c r="D5" s="500"/>
      <c r="E5" s="498" t="s">
        <v>1922</v>
      </c>
    </row>
    <row r="6" spans="1:5" ht="15.75">
      <c r="A6" s="503" t="s">
        <v>1923</v>
      </c>
      <c r="B6" s="499" t="e">
        <f ca="1">SUMIF(INDIRECT("'"&amp;A6&amp;"'"&amp;"!A:A"),"总价",INDIRECT("'"&amp;A6&amp;"'"&amp;"!B:B"))</f>
        <v>#DIV/0!</v>
      </c>
      <c r="C6" s="498" t="s">
        <v>1916</v>
      </c>
      <c r="D6" s="500"/>
      <c r="E6" s="504">
        <f ca="1">SUMIF(INDIRECT("'"&amp;A6&amp;"'"&amp;"!C:C"),"建筑面积",INDIRECT("'"&amp;A6&amp;"'"&amp;"!D:D"))</f>
        <v>0</v>
      </c>
    </row>
    <row r="7" spans="1:5" ht="15.75">
      <c r="A7" s="503"/>
      <c r="B7" s="499" t="e">
        <f ca="1">SUMIF(INDIRECT("'"&amp;A7&amp;"'"&amp;"!A:A"),"总价",INDIRECT("'"&amp;A7&amp;"'"&amp;"!B:B"))</f>
        <v>#REF!</v>
      </c>
      <c r="C7" s="498" t="s">
        <v>1916</v>
      </c>
      <c r="D7" s="500"/>
      <c r="E7" s="504" t="e">
        <f t="shared" ref="E7:E13" ca="1" si="0">SUMIF(INDIRECT("'"&amp;A7&amp;"'"&amp;"!C:C"),"建筑面积",INDIRECT("'"&amp;A7&amp;"'"&amp;"!D:D"))</f>
        <v>#REF!</v>
      </c>
    </row>
    <row r="8" spans="1:5" ht="15.75">
      <c r="A8" s="503"/>
      <c r="B8" s="499" t="e">
        <f t="shared" ref="B8:B13" ca="1" si="1">SUMIF(INDIRECT("'"&amp;A8&amp;"'"&amp;"!A:A"),"总价",INDIRECT("'"&amp;A8&amp;"'"&amp;"!B:B"))</f>
        <v>#REF!</v>
      </c>
      <c r="C8" s="498" t="s">
        <v>1916</v>
      </c>
      <c r="D8" s="500"/>
      <c r="E8" s="504" t="e">
        <f t="shared" ca="1" si="0"/>
        <v>#REF!</v>
      </c>
    </row>
    <row r="9" spans="1:5" ht="15.75">
      <c r="A9" s="503"/>
      <c r="B9" s="499" t="e">
        <f t="shared" ca="1" si="1"/>
        <v>#REF!</v>
      </c>
      <c r="C9" s="498" t="s">
        <v>1916</v>
      </c>
      <c r="D9" s="500"/>
      <c r="E9" s="504" t="e">
        <f t="shared" ca="1" si="0"/>
        <v>#REF!</v>
      </c>
    </row>
    <row r="10" spans="1:5" ht="15.75">
      <c r="A10" s="503"/>
      <c r="B10" s="499" t="e">
        <f t="shared" ca="1" si="1"/>
        <v>#REF!</v>
      </c>
      <c r="C10" s="498" t="s">
        <v>1916</v>
      </c>
      <c r="D10" s="500"/>
      <c r="E10" s="504" t="e">
        <f t="shared" ca="1" si="0"/>
        <v>#REF!</v>
      </c>
    </row>
    <row r="11" spans="1:5" ht="15.75">
      <c r="A11" s="503"/>
      <c r="B11" s="499" t="e">
        <f t="shared" ca="1" si="1"/>
        <v>#REF!</v>
      </c>
      <c r="C11" s="498" t="s">
        <v>1916</v>
      </c>
      <c r="D11" s="500"/>
      <c r="E11" s="504" t="e">
        <f t="shared" ca="1" si="0"/>
        <v>#REF!</v>
      </c>
    </row>
    <row r="12" spans="1:5" ht="15.75">
      <c r="A12" s="503"/>
      <c r="B12" s="499" t="e">
        <f t="shared" ca="1" si="1"/>
        <v>#REF!</v>
      </c>
      <c r="C12" s="498" t="s">
        <v>1916</v>
      </c>
      <c r="D12" s="500"/>
      <c r="E12" s="504" t="e">
        <f t="shared" ca="1" si="0"/>
        <v>#REF!</v>
      </c>
    </row>
    <row r="13" spans="1:5" ht="15.75">
      <c r="A13" s="503"/>
      <c r="B13" s="499" t="e">
        <f t="shared" ca="1" si="1"/>
        <v>#REF!</v>
      </c>
      <c r="C13" s="498" t="s">
        <v>1916</v>
      </c>
      <c r="D13" s="500"/>
      <c r="E13" s="504"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8" t="s">
        <v>1924</v>
      </c>
      <c r="C1" s="3288"/>
      <c r="D1" s="3288"/>
      <c r="E1" s="3288"/>
      <c r="F1" s="3288"/>
      <c r="G1" s="3289" t="s">
        <v>1925</v>
      </c>
      <c r="H1" s="3289"/>
      <c r="I1" s="3289"/>
      <c r="J1" s="3289"/>
      <c r="K1" s="3289"/>
      <c r="L1" s="3289"/>
      <c r="N1" s="3289" t="s">
        <v>1926</v>
      </c>
      <c r="O1" s="3289"/>
      <c r="P1" s="3289"/>
      <c r="Q1" s="3289"/>
      <c r="R1" s="362"/>
      <c r="S1" s="3289" t="s">
        <v>1927</v>
      </c>
      <c r="T1" s="3289"/>
      <c r="U1" s="3289"/>
      <c r="V1" s="3289"/>
      <c r="X1" s="3290" t="s">
        <v>1928</v>
      </c>
      <c r="Y1" s="3289"/>
      <c r="Z1" s="3289"/>
      <c r="AA1" s="3289"/>
      <c r="AB1" s="3289"/>
      <c r="AD1" s="3290" t="s">
        <v>1929</v>
      </c>
      <c r="AE1" s="3289"/>
      <c r="AF1" s="3289"/>
      <c r="AG1" s="3289"/>
      <c r="AH1" s="3289"/>
    </row>
    <row r="2" spans="1:34" s="352" customFormat="1" ht="13.5">
      <c r="B2" s="363" t="s">
        <v>1930</v>
      </c>
      <c r="C2" s="363" t="s">
        <v>1931</v>
      </c>
      <c r="D2" s="364" t="s">
        <v>1714</v>
      </c>
      <c r="E2" s="364" t="s">
        <v>1715</v>
      </c>
      <c r="F2" s="363" t="s">
        <v>1932</v>
      </c>
      <c r="G2" s="365"/>
      <c r="H2" s="366"/>
      <c r="I2" s="363" t="s">
        <v>1930</v>
      </c>
      <c r="J2" s="364" t="s">
        <v>1933</v>
      </c>
      <c r="K2" s="364" t="s">
        <v>1715</v>
      </c>
      <c r="L2" s="363" t="s">
        <v>1932</v>
      </c>
      <c r="N2" s="363" t="s">
        <v>1930</v>
      </c>
      <c r="O2" s="364" t="s">
        <v>1933</v>
      </c>
      <c r="P2" s="364" t="s">
        <v>1715</v>
      </c>
      <c r="Q2" s="363" t="s">
        <v>1932</v>
      </c>
      <c r="R2" s="438"/>
      <c r="S2" s="363" t="s">
        <v>1930</v>
      </c>
      <c r="T2" s="364" t="s">
        <v>1933</v>
      </c>
      <c r="U2" s="364" t="s">
        <v>1715</v>
      </c>
      <c r="V2" s="363" t="s">
        <v>1932</v>
      </c>
      <c r="X2" s="363" t="s">
        <v>1930</v>
      </c>
      <c r="Y2" s="363" t="s">
        <v>1931</v>
      </c>
      <c r="Z2" s="364" t="s">
        <v>1714</v>
      </c>
      <c r="AA2" s="364" t="s">
        <v>1715</v>
      </c>
      <c r="AB2" s="363" t="s">
        <v>1932</v>
      </c>
      <c r="AD2" s="363" t="s">
        <v>1930</v>
      </c>
      <c r="AE2" s="363" t="s">
        <v>1931</v>
      </c>
      <c r="AF2" s="364" t="s">
        <v>1714</v>
      </c>
      <c r="AG2" s="364" t="s">
        <v>1715</v>
      </c>
      <c r="AH2" s="363" t="s">
        <v>1932</v>
      </c>
    </row>
    <row r="3" spans="1:34" s="353" customFormat="1" ht="14.25">
      <c r="A3" s="367" t="s">
        <v>1934</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25">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1935</v>
      </c>
      <c r="B5" s="377">
        <f t="shared" ref="B5" si="2">B6*(1+N5)</f>
        <v>459.95733971036998</v>
      </c>
      <c r="C5" s="377">
        <f t="shared" ref="C5" si="3">C6*(1+O5)</f>
        <v>341.22221064422399</v>
      </c>
      <c r="D5" s="377">
        <f t="shared" ref="D5" si="4">C5</f>
        <v>341.22221064422399</v>
      </c>
      <c r="E5" s="377">
        <f t="shared" ref="E5" si="5">E6*(1+P5)</f>
        <v>657.19161663724799</v>
      </c>
      <c r="F5" s="377">
        <f t="shared" ref="F5" si="6">F6*(1+Q5)</f>
        <v>300.87803644464799</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1936</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1937</v>
      </c>
      <c r="B6" s="381">
        <f t="shared" ref="B6" si="12">B7*(1+N6)</f>
        <v>459.95733971036998</v>
      </c>
      <c r="C6" s="381">
        <f t="shared" ref="C6" si="13">C7*(1+O6)</f>
        <v>341.22221064422399</v>
      </c>
      <c r="D6" s="381">
        <f t="shared" ref="D6" si="14">C6</f>
        <v>341.22221064422399</v>
      </c>
      <c r="E6" s="381">
        <f t="shared" ref="E6" si="15">E7*(1+P6)</f>
        <v>657.19161663724799</v>
      </c>
      <c r="F6" s="381">
        <f t="shared" ref="F6" si="16">F7*(1+Q6)</f>
        <v>300.87803644464799</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1938</v>
      </c>
      <c r="B7" s="381">
        <f t="shared" ref="B7" si="22">B8*(1+N7)</f>
        <v>453.11529869999998</v>
      </c>
      <c r="C7" s="381">
        <f t="shared" ref="C7" si="23">C8*(1+O7)</f>
        <v>336.47787263999999</v>
      </c>
      <c r="D7" s="381">
        <f t="shared" ref="D7" si="24">C7</f>
        <v>336.47787263999999</v>
      </c>
      <c r="E7" s="381">
        <f t="shared" ref="E7" si="25">E8*(1+P7)</f>
        <v>647.35186824000004</v>
      </c>
      <c r="F7" s="381">
        <f t="shared" ref="F7" si="26">F8*(1+Q7)</f>
        <v>295.73229451999998</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2.4400000000000002E-2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1939</v>
      </c>
      <c r="B8" s="381">
        <f t="shared" ref="B8" si="33">B9*(1+N8)</f>
        <v>446.46300000000002</v>
      </c>
      <c r="C8" s="381">
        <f t="shared" ref="C8" si="34">C9*(1+O8)</f>
        <v>333.27839999999998</v>
      </c>
      <c r="D8" s="381">
        <f t="shared" ref="D8:D9" si="35">C8</f>
        <v>333.27839999999998</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1.6400000000000001E-2</v>
      </c>
      <c r="Q8" s="413">
        <f t="shared" ref="Q8" si="41">L8/100</f>
        <v>2.01E-2</v>
      </c>
      <c r="R8" s="446"/>
      <c r="S8" s="412">
        <f>B8/B9-1</f>
        <v>1.6999999999999901E-2</v>
      </c>
      <c r="T8" s="413">
        <f t="shared" ref="T8" si="42">C8/C9-1</f>
        <v>1.9200000000000099E-2</v>
      </c>
      <c r="U8" s="413">
        <f t="shared" ref="U8" si="43">D8/D9-1</f>
        <v>1.9200000000000099E-2</v>
      </c>
      <c r="V8" s="413">
        <f t="shared" ref="V8" si="44">E8/E9-1</f>
        <v>1.6400000000000001E-2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1940</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1941</v>
      </c>
      <c r="B10" s="381">
        <f t="shared" ref="B10:B12" si="50">B11*(1+N10)</f>
        <v>431.80730811680002</v>
      </c>
      <c r="C10" s="381">
        <f t="shared" ref="C10:C12" si="51">C11*(1+O10)</f>
        <v>320.57880516479997</v>
      </c>
      <c r="D10" s="381">
        <f t="shared" ref="D10:D13" si="52">C10</f>
        <v>320.57880516479997</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2.1100000000000001E-2</v>
      </c>
      <c r="P10" s="413">
        <f t="shared" ref="P10" si="56">K10/100</f>
        <v>3.2399999999999998E-2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1942</v>
      </c>
      <c r="B11" s="381">
        <f t="shared" si="50"/>
        <v>419.31181600000002</v>
      </c>
      <c r="C11" s="381">
        <f t="shared" si="51"/>
        <v>313.95436799999999</v>
      </c>
      <c r="D11" s="381">
        <f t="shared" si="52"/>
        <v>313.95436799999999</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1943</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3.4500000000000003E-2</v>
      </c>
      <c r="T12" s="413">
        <f t="shared" ref="T12:V12" si="62">C12/C13-1</f>
        <v>1.9200000000000099E-2</v>
      </c>
      <c r="U12" s="413">
        <f t="shared" si="62"/>
        <v>1.9200000000000099E-2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1944</v>
      </c>
      <c r="B13" s="384">
        <v>392</v>
      </c>
      <c r="C13" s="384">
        <v>302</v>
      </c>
      <c r="D13" s="384">
        <f t="shared" si="52"/>
        <v>302</v>
      </c>
      <c r="E13" s="384">
        <v>553</v>
      </c>
      <c r="F13" s="385">
        <v>266</v>
      </c>
      <c r="G13" s="3291">
        <v>2016</v>
      </c>
      <c r="H13" s="386">
        <v>4</v>
      </c>
      <c r="I13" s="386">
        <v>4.5599999999999996</v>
      </c>
      <c r="J13" s="386">
        <v>2.15</v>
      </c>
      <c r="K13" s="386">
        <v>5.32</v>
      </c>
      <c r="L13" s="414">
        <v>1.57</v>
      </c>
      <c r="N13" s="412">
        <f t="shared" si="38"/>
        <v>4.5600000000000002E-2</v>
      </c>
      <c r="O13" s="413">
        <f t="shared" si="61"/>
        <v>2.1499999999999998E-2</v>
      </c>
      <c r="P13" s="413">
        <f t="shared" si="61"/>
        <v>5.3199999999999997E-2</v>
      </c>
      <c r="Q13" s="413">
        <f t="shared" si="61"/>
        <v>1.5699999999999999E-2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1945</v>
      </c>
      <c r="B14" s="381">
        <f t="shared" ref="B14:C16" si="63">B13/(1+N13)</f>
        <v>374.90436113236399</v>
      </c>
      <c r="C14" s="381">
        <f t="shared" si="63"/>
        <v>295.64366128242801</v>
      </c>
      <c r="D14" s="381">
        <f t="shared" ref="D14:D73" si="64">C14</f>
        <v>295.64366128242801</v>
      </c>
      <c r="E14" s="381">
        <f t="shared" ref="E14:F16" si="65">E13/(1+P13)</f>
        <v>525.06646410938095</v>
      </c>
      <c r="F14" s="381">
        <f t="shared" si="65"/>
        <v>261.88835286009601</v>
      </c>
      <c r="G14" s="3292"/>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1946</v>
      </c>
      <c r="B15" s="381">
        <f t="shared" si="63"/>
        <v>360.06949782209398</v>
      </c>
      <c r="C15" s="381">
        <f t="shared" si="63"/>
        <v>289.84672674747799</v>
      </c>
      <c r="D15" s="381">
        <f t="shared" si="64"/>
        <v>289.84672674747799</v>
      </c>
      <c r="E15" s="381">
        <f t="shared" si="65"/>
        <v>501.06543001181501</v>
      </c>
      <c r="F15" s="381">
        <f t="shared" si="65"/>
        <v>256.82882500745001</v>
      </c>
      <c r="G15" s="3292"/>
      <c r="H15" s="389">
        <v>2</v>
      </c>
      <c r="I15" s="389">
        <v>3.85</v>
      </c>
      <c r="J15" s="389">
        <v>1.95</v>
      </c>
      <c r="K15" s="389">
        <v>4.4800000000000004</v>
      </c>
      <c r="L15" s="415">
        <v>1.41</v>
      </c>
      <c r="N15" s="412">
        <f t="shared" si="66"/>
        <v>3.85E-2</v>
      </c>
      <c r="O15" s="413">
        <f t="shared" si="61"/>
        <v>1.95E-2</v>
      </c>
      <c r="P15" s="413">
        <f t="shared" si="61"/>
        <v>4.48E-2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1947</v>
      </c>
      <c r="B16" s="381">
        <f t="shared" si="63"/>
        <v>346.720748986128</v>
      </c>
      <c r="C16" s="381">
        <f t="shared" si="63"/>
        <v>284.30282172386302</v>
      </c>
      <c r="D16" s="381">
        <f t="shared" si="64"/>
        <v>284.30282172386302</v>
      </c>
      <c r="E16" s="381">
        <f t="shared" si="65"/>
        <v>479.58023546306902</v>
      </c>
      <c r="F16" s="381">
        <f t="shared" si="65"/>
        <v>253.25788877571199</v>
      </c>
      <c r="G16" s="3293"/>
      <c r="H16" s="383">
        <v>1</v>
      </c>
      <c r="I16" s="383">
        <v>4.09</v>
      </c>
      <c r="J16" s="383">
        <v>2.93</v>
      </c>
      <c r="K16" s="383">
        <v>4.54</v>
      </c>
      <c r="L16" s="411">
        <v>1.48</v>
      </c>
      <c r="N16" s="412">
        <f t="shared" si="66"/>
        <v>4.0899999999999999E-2</v>
      </c>
      <c r="O16" s="413">
        <f t="shared" si="61"/>
        <v>2.93E-2</v>
      </c>
      <c r="P16" s="413">
        <f t="shared" si="61"/>
        <v>4.5400000000000003E-2</v>
      </c>
      <c r="Q16" s="413">
        <f t="shared" si="61"/>
        <v>1.4800000000000001E-2</v>
      </c>
      <c r="R16" s="446"/>
      <c r="S16" s="421">
        <f>B16/B17-1</f>
        <v>4.1203450408792801E-2</v>
      </c>
      <c r="T16" s="422">
        <f>C16/C17-1</f>
        <v>2.6363977342465102E-2</v>
      </c>
      <c r="U16" s="422">
        <f>E16/E17-1</f>
        <v>4.4837114298626399E-2</v>
      </c>
      <c r="V16" s="422">
        <f>F16/F17-1</f>
        <v>1.7099954922538602E-2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1948</v>
      </c>
      <c r="B17" s="384">
        <v>333</v>
      </c>
      <c r="C17" s="384">
        <v>277</v>
      </c>
      <c r="D17" s="384">
        <f t="shared" si="64"/>
        <v>277</v>
      </c>
      <c r="E17" s="384">
        <v>459</v>
      </c>
      <c r="F17" s="385">
        <v>249</v>
      </c>
      <c r="G17" s="3294">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1949</v>
      </c>
      <c r="B18" s="381">
        <f t="shared" ref="B18:C20" si="67">B17/(1+N17)</f>
        <v>327.65915576109398</v>
      </c>
      <c r="C18" s="381">
        <f t="shared" si="67"/>
        <v>273.959054495104</v>
      </c>
      <c r="D18" s="381">
        <f t="shared" si="64"/>
        <v>273.959054495104</v>
      </c>
      <c r="E18" s="381">
        <f t="shared" ref="E18:F20" si="68">E17/(1+P17)</f>
        <v>451.01699911565299</v>
      </c>
      <c r="F18" s="381">
        <f t="shared" si="68"/>
        <v>244.381195406811</v>
      </c>
      <c r="G18" s="3292"/>
      <c r="H18" s="391">
        <v>3</v>
      </c>
      <c r="I18" s="391">
        <v>1.65</v>
      </c>
      <c r="J18" s="391">
        <v>0.92</v>
      </c>
      <c r="K18" s="391">
        <v>1.88</v>
      </c>
      <c r="L18" s="419">
        <v>1.26</v>
      </c>
      <c r="N18" s="412">
        <f t="shared" si="66"/>
        <v>1.6500000000000001E-2</v>
      </c>
      <c r="O18" s="420">
        <f t="shared" si="61"/>
        <v>9.1999999999999998E-3</v>
      </c>
      <c r="P18" s="420">
        <f t="shared" si="61"/>
        <v>1.8800000000000001E-2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1950</v>
      </c>
      <c r="B19" s="381">
        <f t="shared" si="67"/>
        <v>322.34053690220799</v>
      </c>
      <c r="C19" s="381">
        <f t="shared" si="67"/>
        <v>271.461607704225</v>
      </c>
      <c r="D19" s="381">
        <f t="shared" si="64"/>
        <v>271.461607704225</v>
      </c>
      <c r="E19" s="381">
        <f t="shared" si="68"/>
        <v>442.69434542172502</v>
      </c>
      <c r="F19" s="381">
        <f t="shared" si="68"/>
        <v>241.34030753190899</v>
      </c>
      <c r="G19" s="3292"/>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1951</v>
      </c>
      <c r="B20" s="381">
        <f t="shared" si="67"/>
        <v>319.87748030386803</v>
      </c>
      <c r="C20" s="381">
        <f t="shared" si="67"/>
        <v>269.60135833173598</v>
      </c>
      <c r="D20" s="381">
        <f t="shared" si="64"/>
        <v>269.60135833173598</v>
      </c>
      <c r="E20" s="381">
        <f t="shared" si="68"/>
        <v>439.18089823583801</v>
      </c>
      <c r="F20" s="381">
        <f t="shared" si="68"/>
        <v>239.23503918706299</v>
      </c>
      <c r="G20" s="3293"/>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9.2999999999999992E-3</v>
      </c>
      <c r="R20" s="446"/>
      <c r="S20" s="421">
        <f>B20/B21-1</f>
        <v>5.9040261127922796E-3</v>
      </c>
      <c r="T20" s="422">
        <f>C20/C21-1</f>
        <v>5.9752176557332799E-3</v>
      </c>
      <c r="U20" s="422">
        <f>E20/E21-1</f>
        <v>4.9906138119859599E-3</v>
      </c>
      <c r="V20" s="422">
        <f>F20/F21-1</f>
        <v>9.4305450930933805E-3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1952</v>
      </c>
      <c r="B21" s="392">
        <v>318</v>
      </c>
      <c r="C21" s="392">
        <v>268</v>
      </c>
      <c r="D21" s="392">
        <f t="shared" si="64"/>
        <v>268</v>
      </c>
      <c r="E21" s="392">
        <v>437</v>
      </c>
      <c r="F21" s="393">
        <v>237</v>
      </c>
      <c r="G21" s="3294">
        <v>2014</v>
      </c>
      <c r="H21" s="390">
        <v>4</v>
      </c>
      <c r="I21" s="390">
        <v>0.21</v>
      </c>
      <c r="J21" s="390">
        <v>0.41</v>
      </c>
      <c r="K21" s="390">
        <v>0.12</v>
      </c>
      <c r="L21" s="416">
        <v>0.89</v>
      </c>
      <c r="N21" s="412">
        <f t="shared" si="66"/>
        <v>2.0999999999999999E-3</v>
      </c>
      <c r="O21" s="413">
        <f t="shared" si="61"/>
        <v>4.1000000000000003E-3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1953</v>
      </c>
      <c r="B22" s="381">
        <f t="shared" ref="B22:C24" si="69">B21/(1+N21)</f>
        <v>317.33359944117399</v>
      </c>
      <c r="C22" s="381">
        <f t="shared" si="69"/>
        <v>266.90568668459298</v>
      </c>
      <c r="D22" s="381">
        <f t="shared" si="64"/>
        <v>266.90568668459298</v>
      </c>
      <c r="E22" s="381">
        <f t="shared" ref="E22:F24" si="70">E21/(1+P21)</f>
        <v>436.47622852576899</v>
      </c>
      <c r="F22" s="381">
        <f t="shared" si="70"/>
        <v>234.909307166221</v>
      </c>
      <c r="G22" s="3292"/>
      <c r="H22" s="394">
        <v>3</v>
      </c>
      <c r="I22" s="394">
        <v>0.83</v>
      </c>
      <c r="J22" s="394">
        <v>1.47</v>
      </c>
      <c r="K22" s="394">
        <v>0.65</v>
      </c>
      <c r="L22" s="423">
        <v>0.72</v>
      </c>
      <c r="N22" s="412">
        <f t="shared" si="66"/>
        <v>8.3000000000000001E-3</v>
      </c>
      <c r="O22" s="413">
        <f t="shared" si="61"/>
        <v>1.47E-2</v>
      </c>
      <c r="P22" s="413">
        <f t="shared" si="61"/>
        <v>6.4999999999999997E-3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1954</v>
      </c>
      <c r="B23" s="381">
        <f t="shared" si="69"/>
        <v>314.721411723865</v>
      </c>
      <c r="C23" s="381">
        <f t="shared" si="69"/>
        <v>263.03901319069001</v>
      </c>
      <c r="D23" s="381">
        <f t="shared" si="64"/>
        <v>263.03901319069001</v>
      </c>
      <c r="E23" s="381">
        <f t="shared" si="70"/>
        <v>433.65745506782798</v>
      </c>
      <c r="F23" s="381">
        <f t="shared" si="70"/>
        <v>233.23005080045701</v>
      </c>
      <c r="G23" s="3292"/>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1955</v>
      </c>
      <c r="B24" s="396">
        <f t="shared" si="69"/>
        <v>307.34512863658699</v>
      </c>
      <c r="C24" s="396">
        <f t="shared" si="69"/>
        <v>257.80556031626998</v>
      </c>
      <c r="D24" s="396">
        <f t="shared" si="64"/>
        <v>257.80556031626998</v>
      </c>
      <c r="E24" s="396">
        <f t="shared" si="70"/>
        <v>422.70928459677202</v>
      </c>
      <c r="F24" s="396">
        <f t="shared" si="70"/>
        <v>229.738032703366</v>
      </c>
      <c r="G24" s="3293"/>
      <c r="H24" s="397">
        <v>1</v>
      </c>
      <c r="I24" s="397">
        <v>2.97</v>
      </c>
      <c r="J24" s="397">
        <v>2.34</v>
      </c>
      <c r="K24" s="397">
        <v>3.28</v>
      </c>
      <c r="L24" s="424">
        <v>1.36</v>
      </c>
      <c r="N24" s="425">
        <f t="shared" si="66"/>
        <v>2.9700000000000001E-2</v>
      </c>
      <c r="O24" s="426">
        <f t="shared" si="61"/>
        <v>2.3400000000000001E-2</v>
      </c>
      <c r="P24" s="426">
        <f t="shared" si="61"/>
        <v>3.2800000000000003E-2</v>
      </c>
      <c r="Q24" s="426">
        <f t="shared" si="61"/>
        <v>1.3599999999999999E-2</v>
      </c>
      <c r="R24" s="451"/>
      <c r="S24" s="452">
        <f>B24/B25-1</f>
        <v>2.7910129219355501E-2</v>
      </c>
      <c r="T24" s="453">
        <f>C24/C25-1</f>
        <v>2.3037937762975198E-2</v>
      </c>
      <c r="U24" s="453">
        <f>E24/E25-1</f>
        <v>3.3519033243940802E-2</v>
      </c>
      <c r="V24" s="453">
        <f>F24/F25-1</f>
        <v>1.20618180765029E-2</v>
      </c>
      <c r="W24" s="454" t="s">
        <v>1956</v>
      </c>
      <c r="X24" s="455">
        <v>1</v>
      </c>
      <c r="Y24" s="455">
        <v>1</v>
      </c>
      <c r="Z24" s="455">
        <v>1</v>
      </c>
      <c r="AA24" s="455">
        <v>1</v>
      </c>
      <c r="AB24" s="455">
        <v>1</v>
      </c>
      <c r="AD24" s="466">
        <f>I24/100</f>
        <v>2.9700000000000001E-2</v>
      </c>
      <c r="AE24" s="466">
        <f>J24/100</f>
        <v>2.3400000000000001E-2</v>
      </c>
      <c r="AF24" s="466">
        <f t="shared" si="72"/>
        <v>2.3400000000000001E-2</v>
      </c>
      <c r="AG24" s="466">
        <f>K24/100</f>
        <v>3.2800000000000003E-2</v>
      </c>
      <c r="AH24" s="466">
        <f>L24/100</f>
        <v>1.3599999999999999E-2</v>
      </c>
    </row>
    <row r="25" spans="1:34">
      <c r="A25" s="380" t="s">
        <v>1957</v>
      </c>
      <c r="B25" s="384">
        <v>299</v>
      </c>
      <c r="C25" s="384">
        <v>252</v>
      </c>
      <c r="D25" s="384">
        <f t="shared" si="64"/>
        <v>252</v>
      </c>
      <c r="E25" s="384">
        <v>409</v>
      </c>
      <c r="F25" s="385">
        <v>227</v>
      </c>
      <c r="G25" s="3295">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1958</v>
      </c>
      <c r="B26" s="381">
        <f t="shared" ref="B26:C28" si="73">B25/(1+N25)</f>
        <v>293.62663262299901</v>
      </c>
      <c r="C26" s="381">
        <f t="shared" si="73"/>
        <v>247.836349331235</v>
      </c>
      <c r="D26" s="381">
        <f t="shared" si="64"/>
        <v>247.836349331235</v>
      </c>
      <c r="E26" s="381">
        <f t="shared" ref="E26:F28" si="74">E25/(1+P25)</f>
        <v>401.09836226341099</v>
      </c>
      <c r="F26" s="381">
        <f t="shared" si="74"/>
        <v>225.04213343908</v>
      </c>
      <c r="G26" s="3296"/>
      <c r="H26" s="391">
        <v>3</v>
      </c>
      <c r="I26" s="391">
        <v>1.86</v>
      </c>
      <c r="J26" s="391">
        <v>1.72</v>
      </c>
      <c r="K26" s="391">
        <v>1.98</v>
      </c>
      <c r="L26" s="419">
        <v>0.88</v>
      </c>
      <c r="N26" s="412">
        <f t="shared" si="66"/>
        <v>1.8599999999999998E-2</v>
      </c>
      <c r="O26" s="420">
        <f t="shared" si="61"/>
        <v>1.72E-2</v>
      </c>
      <c r="P26" s="420">
        <f t="shared" si="61"/>
        <v>1.9800000000000002E-2</v>
      </c>
      <c r="Q26" s="420">
        <f t="shared" si="61"/>
        <v>8.8000000000000005E-3</v>
      </c>
      <c r="R26" s="446"/>
      <c r="S26" s="412"/>
      <c r="T26" s="413"/>
      <c r="U26" s="413"/>
      <c r="V26" s="413"/>
    </row>
    <row r="27" spans="1:34">
      <c r="A27" s="380" t="s">
        <v>1959</v>
      </c>
      <c r="B27" s="381">
        <f t="shared" si="73"/>
        <v>288.264905382878</v>
      </c>
      <c r="C27" s="381">
        <f t="shared" si="73"/>
        <v>243.64564425013299</v>
      </c>
      <c r="D27" s="381">
        <f t="shared" si="64"/>
        <v>243.64564425013299</v>
      </c>
      <c r="E27" s="381">
        <f t="shared" si="74"/>
        <v>393.31080825986498</v>
      </c>
      <c r="F27" s="381">
        <f t="shared" si="74"/>
        <v>223.079037905512</v>
      </c>
      <c r="G27" s="3296"/>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1960</v>
      </c>
      <c r="B28" s="381">
        <f t="shared" si="73"/>
        <v>282.50186729015797</v>
      </c>
      <c r="C28" s="381">
        <f t="shared" si="73"/>
        <v>238.097961741555</v>
      </c>
      <c r="D28" s="381">
        <f t="shared" si="64"/>
        <v>238.097961741555</v>
      </c>
      <c r="E28" s="381">
        <f t="shared" si="74"/>
        <v>385.33438646014099</v>
      </c>
      <c r="F28" s="381">
        <f t="shared" si="74"/>
        <v>221.550340555677</v>
      </c>
      <c r="G28" s="3297"/>
      <c r="H28" s="383">
        <v>1</v>
      </c>
      <c r="I28" s="383">
        <v>1.67</v>
      </c>
      <c r="J28" s="383">
        <v>1.31</v>
      </c>
      <c r="K28" s="383">
        <v>1.85</v>
      </c>
      <c r="L28" s="411">
        <v>0.96</v>
      </c>
      <c r="N28" s="421">
        <f t="shared" si="66"/>
        <v>1.67E-2</v>
      </c>
      <c r="O28" s="422">
        <f t="shared" si="66"/>
        <v>1.3100000000000001E-2</v>
      </c>
      <c r="P28" s="422">
        <f t="shared" si="66"/>
        <v>1.8499999999999999E-2</v>
      </c>
      <c r="Q28" s="422">
        <f t="shared" si="66"/>
        <v>9.5999999999999992E-3</v>
      </c>
      <c r="R28" s="446"/>
      <c r="S28" s="421">
        <f>B28/B29-1</f>
        <v>1.61937672307855E-2</v>
      </c>
      <c r="T28" s="422">
        <f>C28/C29-1</f>
        <v>1.7512657015190902E-2</v>
      </c>
      <c r="U28" s="422">
        <f>E28/E29-1</f>
        <v>1.6713420739156999E-2</v>
      </c>
      <c r="V28" s="422">
        <f>F28/F29-1</f>
        <v>7.0470025258062598E-3</v>
      </c>
      <c r="X28" s="457"/>
      <c r="Y28" s="458"/>
      <c r="Z28" s="458"/>
    </row>
    <row r="29" spans="1:34">
      <c r="A29" s="380" t="s">
        <v>1961</v>
      </c>
      <c r="B29" s="399">
        <v>278</v>
      </c>
      <c r="C29" s="399">
        <v>234</v>
      </c>
      <c r="D29" s="399">
        <f t="shared" si="64"/>
        <v>234</v>
      </c>
      <c r="E29" s="399">
        <v>379</v>
      </c>
      <c r="F29" s="400">
        <v>220</v>
      </c>
      <c r="G29" s="3294">
        <v>2012</v>
      </c>
      <c r="H29" s="390">
        <v>4</v>
      </c>
      <c r="I29" s="390">
        <v>0.91</v>
      </c>
      <c r="J29" s="390">
        <v>0.68</v>
      </c>
      <c r="K29" s="390">
        <v>0.98</v>
      </c>
      <c r="L29" s="416">
        <v>0.9</v>
      </c>
      <c r="N29" s="412">
        <f t="shared" si="66"/>
        <v>9.1000000000000004E-3</v>
      </c>
      <c r="O29" s="413">
        <f t="shared" si="66"/>
        <v>6.7999999999999996E-3</v>
      </c>
      <c r="P29" s="413">
        <f t="shared" si="66"/>
        <v>9.7999999999999997E-3</v>
      </c>
      <c r="Q29" s="413">
        <f t="shared" si="66"/>
        <v>8.9999999999999993E-3</v>
      </c>
      <c r="R29" s="446"/>
      <c r="S29" s="449"/>
      <c r="T29" s="450"/>
      <c r="U29" s="450"/>
      <c r="V29" s="450"/>
      <c r="X29" s="450"/>
      <c r="Y29" s="450"/>
      <c r="Z29" s="450"/>
    </row>
    <row r="30" spans="1:34">
      <c r="A30" s="380" t="s">
        <v>1962</v>
      </c>
      <c r="B30" s="381">
        <f>B29/(1+N29)</f>
        <v>275.49301357645402</v>
      </c>
      <c r="C30" s="381">
        <f>C29/(1+O29)</f>
        <v>232.41954707985701</v>
      </c>
      <c r="D30" s="381">
        <f t="shared" si="64"/>
        <v>232.41954707985701</v>
      </c>
      <c r="E30" s="381">
        <f t="shared" ref="E30:F32" si="75">E29/(1+P29)</f>
        <v>375.32184591008098</v>
      </c>
      <c r="F30" s="381">
        <f t="shared" si="75"/>
        <v>218.03766105054501</v>
      </c>
      <c r="G30" s="3292"/>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1963</v>
      </c>
      <c r="B31" s="381">
        <f>B30/(1+N30)</f>
        <v>275.24529281292303</v>
      </c>
      <c r="C31" s="381">
        <f>C30/(1+O30)</f>
        <v>231.74747938962699</v>
      </c>
      <c r="D31" s="381">
        <f t="shared" si="64"/>
        <v>231.74747938962699</v>
      </c>
      <c r="E31" s="381">
        <f t="shared" si="75"/>
        <v>375.35938184826603</v>
      </c>
      <c r="F31" s="381">
        <f t="shared" si="75"/>
        <v>216.78033510692501</v>
      </c>
      <c r="G31" s="3292"/>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1964</v>
      </c>
      <c r="B32" s="381">
        <f>B31/(1+N31)</f>
        <v>275.19025476196998</v>
      </c>
      <c r="C32" s="401">
        <v>232</v>
      </c>
      <c r="D32" s="401">
        <f t="shared" si="64"/>
        <v>232</v>
      </c>
      <c r="E32" s="381">
        <f t="shared" si="75"/>
        <v>375.65990977608698</v>
      </c>
      <c r="F32" s="381">
        <f t="shared" si="75"/>
        <v>214.12518283971301</v>
      </c>
      <c r="G32" s="3293"/>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6.91835498073612E-4</v>
      </c>
      <c r="T32" s="422">
        <f>C32/C33-1</f>
        <v>0</v>
      </c>
      <c r="U32" s="422">
        <f>E32/E33-1</f>
        <v>-9.0449527636460303E-4</v>
      </c>
      <c r="V32" s="422">
        <f>F32/F33-1</f>
        <v>5.2825485432512797E-3</v>
      </c>
      <c r="X32" s="458"/>
      <c r="Y32" s="458"/>
      <c r="Z32" s="458"/>
    </row>
    <row r="33" spans="1:26">
      <c r="A33" s="380" t="s">
        <v>1965</v>
      </c>
      <c r="B33" s="384">
        <v>275</v>
      </c>
      <c r="C33" s="384">
        <v>232</v>
      </c>
      <c r="D33" s="384">
        <f t="shared" si="64"/>
        <v>232</v>
      </c>
      <c r="E33" s="384">
        <v>376</v>
      </c>
      <c r="F33" s="385">
        <v>213</v>
      </c>
      <c r="G33" s="3294">
        <v>2011</v>
      </c>
      <c r="H33" s="390">
        <v>4</v>
      </c>
      <c r="I33" s="390">
        <v>-0.2</v>
      </c>
      <c r="J33" s="390">
        <v>0.04</v>
      </c>
      <c r="K33" s="390">
        <v>-0.34</v>
      </c>
      <c r="L33" s="416">
        <v>0.46</v>
      </c>
      <c r="N33" s="417">
        <f t="shared" si="66"/>
        <v>-2E-3</v>
      </c>
      <c r="O33" s="418">
        <f t="shared" si="66"/>
        <v>4.0000000000000002E-4</v>
      </c>
      <c r="P33" s="418">
        <f t="shared" si="66"/>
        <v>-3.3999999999999998E-3</v>
      </c>
      <c r="Q33" s="418">
        <f t="shared" si="66"/>
        <v>4.5999999999999999E-3</v>
      </c>
      <c r="R33" s="446"/>
      <c r="S33" s="449"/>
      <c r="T33" s="450"/>
      <c r="U33" s="450"/>
      <c r="V33" s="450"/>
      <c r="X33" s="450"/>
      <c r="Y33" s="450"/>
      <c r="Z33" s="450"/>
    </row>
    <row r="34" spans="1:26">
      <c r="A34" s="380" t="s">
        <v>1966</v>
      </c>
      <c r="B34" s="381">
        <f t="shared" ref="B34:C36" si="76">B33/(1+N33)</f>
        <v>275.55110220440901</v>
      </c>
      <c r="C34" s="381">
        <f t="shared" si="76"/>
        <v>231.907237105158</v>
      </c>
      <c r="D34" s="381">
        <f t="shared" si="64"/>
        <v>231.907237105158</v>
      </c>
      <c r="E34" s="381">
        <f t="shared" ref="E34:F36" si="77">E33/(1+P33)</f>
        <v>377.28276138872201</v>
      </c>
      <c r="F34" s="381">
        <f t="shared" si="77"/>
        <v>212.02468644236501</v>
      </c>
      <c r="G34" s="3292">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1967</v>
      </c>
      <c r="B35" s="381">
        <f t="shared" si="76"/>
        <v>275.19335084830601</v>
      </c>
      <c r="C35" s="381">
        <f t="shared" si="76"/>
        <v>230.18088050139701</v>
      </c>
      <c r="D35" s="381">
        <f t="shared" si="64"/>
        <v>230.18088050139701</v>
      </c>
      <c r="E35" s="381">
        <f t="shared" si="77"/>
        <v>377.58482925212297</v>
      </c>
      <c r="F35" s="381">
        <f t="shared" si="77"/>
        <v>210.906879978479</v>
      </c>
      <c r="G35" s="3292">
        <v>2011</v>
      </c>
      <c r="H35" s="389">
        <v>2</v>
      </c>
      <c r="I35" s="389">
        <v>-0.4</v>
      </c>
      <c r="J35" s="389">
        <v>0.17</v>
      </c>
      <c r="K35" s="389">
        <v>-0.57999999999999996</v>
      </c>
      <c r="L35" s="415">
        <v>-0.2</v>
      </c>
      <c r="N35" s="412">
        <f t="shared" si="66"/>
        <v>-4.0000000000000001E-3</v>
      </c>
      <c r="O35" s="420">
        <f t="shared" si="66"/>
        <v>1.6999999999999999E-3</v>
      </c>
      <c r="P35" s="420">
        <f t="shared" si="66"/>
        <v>-5.7999999999999996E-3</v>
      </c>
      <c r="Q35" s="420">
        <f t="shared" si="66"/>
        <v>-2E-3</v>
      </c>
      <c r="R35" s="446"/>
      <c r="S35" s="412"/>
      <c r="T35" s="413"/>
      <c r="U35" s="413"/>
      <c r="V35" s="413"/>
    </row>
    <row r="36" spans="1:26">
      <c r="A36" s="380" t="s">
        <v>1968</v>
      </c>
      <c r="B36" s="381">
        <f t="shared" si="76"/>
        <v>276.29854502841999</v>
      </c>
      <c r="C36" s="381">
        <f t="shared" si="76"/>
        <v>229.79023709833001</v>
      </c>
      <c r="D36" s="381">
        <f t="shared" si="64"/>
        <v>229.79023709833001</v>
      </c>
      <c r="E36" s="381">
        <f t="shared" si="77"/>
        <v>379.78759731655902</v>
      </c>
      <c r="F36" s="381">
        <f t="shared" si="77"/>
        <v>211.32953905659201</v>
      </c>
      <c r="G36" s="3293">
        <v>2011</v>
      </c>
      <c r="H36" s="383">
        <v>1</v>
      </c>
      <c r="I36" s="383">
        <v>2.65</v>
      </c>
      <c r="J36" s="383">
        <v>3.76</v>
      </c>
      <c r="K36" s="383">
        <v>1.89</v>
      </c>
      <c r="L36" s="411">
        <v>7.95</v>
      </c>
      <c r="N36" s="421">
        <f t="shared" si="66"/>
        <v>2.6499999999999999E-2</v>
      </c>
      <c r="O36" s="422">
        <f t="shared" si="66"/>
        <v>3.7600000000000001E-2</v>
      </c>
      <c r="P36" s="422">
        <f t="shared" si="66"/>
        <v>1.89E-2</v>
      </c>
      <c r="Q36" s="422">
        <f t="shared" si="66"/>
        <v>7.9500000000000001E-2</v>
      </c>
      <c r="R36" s="446"/>
      <c r="S36" s="421">
        <f>B36/B37-1</f>
        <v>2.7132137652117898E-2</v>
      </c>
      <c r="T36" s="422">
        <f>C36/C37-1</f>
        <v>3.9774828499231897E-2</v>
      </c>
      <c r="U36" s="422">
        <f>E36/E37-1</f>
        <v>1.81973118406418E-2</v>
      </c>
      <c r="V36" s="422">
        <f>F36/F37-1</f>
        <v>7.8211933962205799E-2</v>
      </c>
      <c r="X36" s="458"/>
      <c r="Y36" s="458"/>
      <c r="Z36" s="458"/>
    </row>
    <row r="37" spans="1:26">
      <c r="A37" s="380" t="s">
        <v>1969</v>
      </c>
      <c r="B37" s="384">
        <v>269</v>
      </c>
      <c r="C37" s="384">
        <v>221</v>
      </c>
      <c r="D37" s="384">
        <f t="shared" si="64"/>
        <v>221</v>
      </c>
      <c r="E37" s="384">
        <v>373</v>
      </c>
      <c r="F37" s="385">
        <v>196</v>
      </c>
      <c r="G37" s="3294">
        <v>2010</v>
      </c>
      <c r="H37" s="390">
        <v>4</v>
      </c>
      <c r="I37" s="390">
        <v>5.72</v>
      </c>
      <c r="J37" s="390">
        <v>6.57</v>
      </c>
      <c r="K37" s="390">
        <v>5.72</v>
      </c>
      <c r="L37" s="416">
        <v>2.72</v>
      </c>
      <c r="N37" s="412">
        <f t="shared" si="66"/>
        <v>5.7200000000000001E-2</v>
      </c>
      <c r="O37" s="413">
        <f t="shared" si="66"/>
        <v>6.5699999999999995E-2</v>
      </c>
      <c r="P37" s="413">
        <f t="shared" si="66"/>
        <v>5.7200000000000001E-2</v>
      </c>
      <c r="Q37" s="413">
        <f t="shared" si="66"/>
        <v>2.7199999999999998E-2</v>
      </c>
      <c r="R37" s="446"/>
      <c r="S37" s="449"/>
      <c r="T37" s="450"/>
      <c r="U37" s="450"/>
      <c r="V37" s="450"/>
      <c r="X37" s="450"/>
      <c r="Y37" s="450"/>
      <c r="Z37" s="450"/>
    </row>
    <row r="38" spans="1:26">
      <c r="A38" s="380" t="s">
        <v>1970</v>
      </c>
      <c r="B38" s="381">
        <f t="shared" ref="B38:C40" si="78">B37/(1+N37)</f>
        <v>254.445705637533</v>
      </c>
      <c r="C38" s="381">
        <f t="shared" si="78"/>
        <v>207.375433987051</v>
      </c>
      <c r="D38" s="381">
        <f t="shared" si="64"/>
        <v>207.375433987051</v>
      </c>
      <c r="E38" s="381">
        <f t="shared" ref="E38:F40" si="79">E37/(1+P37)</f>
        <v>352.81876655315898</v>
      </c>
      <c r="F38" s="381">
        <f t="shared" si="79"/>
        <v>190.809968847352</v>
      </c>
      <c r="G38" s="3292">
        <v>2010</v>
      </c>
      <c r="H38" s="391">
        <v>3</v>
      </c>
      <c r="I38" s="391">
        <v>4.7300000000000004</v>
      </c>
      <c r="J38" s="391">
        <v>3.9</v>
      </c>
      <c r="K38" s="391">
        <v>5.03</v>
      </c>
      <c r="L38" s="419">
        <v>4.21</v>
      </c>
      <c r="N38" s="412">
        <f t="shared" si="66"/>
        <v>4.7300000000000002E-2</v>
      </c>
      <c r="O38" s="413">
        <f t="shared" si="66"/>
        <v>3.9E-2</v>
      </c>
      <c r="P38" s="413">
        <f t="shared" si="66"/>
        <v>5.0299999999999997E-2</v>
      </c>
      <c r="Q38" s="413">
        <f t="shared" si="66"/>
        <v>4.2099999999999999E-2</v>
      </c>
      <c r="R38" s="446"/>
      <c r="S38" s="412"/>
      <c r="T38" s="413"/>
      <c r="U38" s="413"/>
      <c r="V38" s="413"/>
    </row>
    <row r="39" spans="1:26">
      <c r="A39" s="380" t="s">
        <v>1971</v>
      </c>
      <c r="B39" s="381">
        <f t="shared" si="78"/>
        <v>242.95398227588399</v>
      </c>
      <c r="C39" s="381">
        <f t="shared" si="78"/>
        <v>199.591370536141</v>
      </c>
      <c r="D39" s="381">
        <f t="shared" si="64"/>
        <v>199.591370536141</v>
      </c>
      <c r="E39" s="381">
        <f t="shared" si="79"/>
        <v>335.92189522342102</v>
      </c>
      <c r="F39" s="381">
        <f t="shared" si="79"/>
        <v>183.101399911095</v>
      </c>
      <c r="G39" s="3292">
        <v>2010</v>
      </c>
      <c r="H39" s="389">
        <v>2</v>
      </c>
      <c r="I39" s="389">
        <v>4.6900000000000004</v>
      </c>
      <c r="J39" s="389">
        <v>3.55</v>
      </c>
      <c r="K39" s="389">
        <v>5.07</v>
      </c>
      <c r="L39" s="415">
        <v>4.2300000000000004</v>
      </c>
      <c r="N39" s="412">
        <f t="shared" si="66"/>
        <v>4.6899999999999997E-2</v>
      </c>
      <c r="O39" s="413">
        <f t="shared" si="66"/>
        <v>3.5499999999999997E-2</v>
      </c>
      <c r="P39" s="413">
        <f t="shared" si="66"/>
        <v>5.0700000000000002E-2</v>
      </c>
      <c r="Q39" s="413">
        <f t="shared" si="66"/>
        <v>4.2299999999999997E-2</v>
      </c>
      <c r="R39" s="446"/>
      <c r="S39" s="412"/>
      <c r="T39" s="413"/>
      <c r="U39" s="413"/>
      <c r="V39" s="413"/>
    </row>
    <row r="40" spans="1:26">
      <c r="A40" s="380" t="s">
        <v>1972</v>
      </c>
      <c r="B40" s="381">
        <f t="shared" si="78"/>
        <v>232.06990378821601</v>
      </c>
      <c r="C40" s="381">
        <f t="shared" si="78"/>
        <v>192.74878854286899</v>
      </c>
      <c r="D40" s="381">
        <f t="shared" si="64"/>
        <v>192.74878854286899</v>
      </c>
      <c r="E40" s="381">
        <f t="shared" si="79"/>
        <v>319.71247284993001</v>
      </c>
      <c r="F40" s="381">
        <f t="shared" si="79"/>
        <v>175.670536228624</v>
      </c>
      <c r="G40" s="3293">
        <v>2010</v>
      </c>
      <c r="H40" s="383">
        <v>1</v>
      </c>
      <c r="I40" s="383">
        <v>5.4</v>
      </c>
      <c r="J40" s="383">
        <v>3.2</v>
      </c>
      <c r="K40" s="383">
        <v>6.16</v>
      </c>
      <c r="L40" s="411">
        <v>4.51</v>
      </c>
      <c r="N40" s="412">
        <f t="shared" si="66"/>
        <v>5.3999999999999999E-2</v>
      </c>
      <c r="O40" s="413">
        <f t="shared" si="66"/>
        <v>3.2000000000000001E-2</v>
      </c>
      <c r="P40" s="413">
        <f t="shared" si="66"/>
        <v>6.1600000000000002E-2</v>
      </c>
      <c r="Q40" s="413">
        <f t="shared" si="66"/>
        <v>4.5100000000000001E-2</v>
      </c>
      <c r="R40" s="446"/>
      <c r="S40" s="421">
        <f>B40/B41-1</f>
        <v>5.4863199037347599E-2</v>
      </c>
      <c r="T40" s="422">
        <f>C40/C41-1</f>
        <v>3.0742184721226602E-2</v>
      </c>
      <c r="U40" s="422">
        <f>E40/E41-1</f>
        <v>6.2167683886810203E-2</v>
      </c>
      <c r="V40" s="422">
        <f>F40/F41-1</f>
        <v>4.5657953741810003E-2</v>
      </c>
      <c r="X40" s="458"/>
      <c r="Y40" s="458"/>
      <c r="Z40" s="458"/>
    </row>
    <row r="41" spans="1:26">
      <c r="A41" s="380" t="s">
        <v>1973</v>
      </c>
      <c r="B41" s="384">
        <v>220</v>
      </c>
      <c r="C41" s="384">
        <v>187</v>
      </c>
      <c r="D41" s="384">
        <f t="shared" si="64"/>
        <v>187</v>
      </c>
      <c r="E41" s="384">
        <v>301</v>
      </c>
      <c r="F41" s="385">
        <v>168</v>
      </c>
      <c r="G41" s="3294">
        <v>2009</v>
      </c>
      <c r="H41" s="390">
        <v>4</v>
      </c>
      <c r="I41" s="390">
        <v>2.2999999999999998</v>
      </c>
      <c r="J41" s="390">
        <v>1.04</v>
      </c>
      <c r="K41" s="390">
        <v>2.84</v>
      </c>
      <c r="L41" s="416">
        <v>0.67</v>
      </c>
      <c r="N41" s="417">
        <f t="shared" si="66"/>
        <v>2.3E-2</v>
      </c>
      <c r="O41" s="418">
        <f t="shared" si="66"/>
        <v>1.04E-2</v>
      </c>
      <c r="P41" s="418">
        <f t="shared" si="66"/>
        <v>2.8400000000000002E-2</v>
      </c>
      <c r="Q41" s="418">
        <f t="shared" si="66"/>
        <v>6.7000000000000002E-3</v>
      </c>
      <c r="R41" s="446"/>
      <c r="S41" s="449"/>
      <c r="T41" s="450"/>
      <c r="U41" s="450"/>
      <c r="V41" s="450"/>
      <c r="X41" s="450"/>
      <c r="Y41" s="450"/>
      <c r="Z41" s="450"/>
    </row>
    <row r="42" spans="1:26">
      <c r="A42" s="380" t="s">
        <v>1974</v>
      </c>
      <c r="B42" s="381">
        <f t="shared" ref="B42:C44" si="80">B41/(1+N41)</f>
        <v>215.05376344086</v>
      </c>
      <c r="C42" s="381">
        <f t="shared" si="80"/>
        <v>185.07521773555001</v>
      </c>
      <c r="D42" s="381">
        <f t="shared" si="64"/>
        <v>185.07521773555001</v>
      </c>
      <c r="E42" s="381">
        <f t="shared" ref="E42:F44" si="81">E41/(1+P41)</f>
        <v>292.68767016725002</v>
      </c>
      <c r="F42" s="381">
        <f t="shared" si="81"/>
        <v>166.881891328102</v>
      </c>
      <c r="G42" s="3292">
        <v>2009</v>
      </c>
      <c r="H42" s="391">
        <v>3</v>
      </c>
      <c r="I42" s="391">
        <v>2.1</v>
      </c>
      <c r="J42" s="391">
        <v>1.86</v>
      </c>
      <c r="K42" s="391">
        <v>2.29</v>
      </c>
      <c r="L42" s="419">
        <v>0.85</v>
      </c>
      <c r="N42" s="412">
        <f t="shared" si="66"/>
        <v>2.1000000000000001E-2</v>
      </c>
      <c r="O42" s="420">
        <f t="shared" si="66"/>
        <v>1.8599999999999998E-2</v>
      </c>
      <c r="P42" s="420">
        <f t="shared" si="66"/>
        <v>2.29E-2</v>
      </c>
      <c r="Q42" s="420">
        <f t="shared" si="66"/>
        <v>8.5000000000000006E-3</v>
      </c>
      <c r="R42" s="446"/>
      <c r="S42" s="412"/>
      <c r="T42" s="413"/>
      <c r="U42" s="413"/>
      <c r="V42" s="413"/>
    </row>
    <row r="43" spans="1:26">
      <c r="A43" s="380" t="s">
        <v>1975</v>
      </c>
      <c r="B43" s="381">
        <f t="shared" si="80"/>
        <v>210.630522469011</v>
      </c>
      <c r="C43" s="381">
        <f t="shared" si="80"/>
        <v>181.695678122472</v>
      </c>
      <c r="D43" s="381">
        <f t="shared" si="64"/>
        <v>181.695678122472</v>
      </c>
      <c r="E43" s="381">
        <f t="shared" si="81"/>
        <v>286.13517466736698</v>
      </c>
      <c r="F43" s="381">
        <f t="shared" si="81"/>
        <v>165.47535084591101</v>
      </c>
      <c r="G43" s="3292">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1976</v>
      </c>
      <c r="B44" s="381">
        <f t="shared" si="80"/>
        <v>208.834545378754</v>
      </c>
      <c r="C44" s="381">
        <f t="shared" si="80"/>
        <v>183.77230517090399</v>
      </c>
      <c r="D44" s="381">
        <f t="shared" si="64"/>
        <v>183.77230517090399</v>
      </c>
      <c r="E44" s="381">
        <f t="shared" si="81"/>
        <v>281.10342338870902</v>
      </c>
      <c r="F44" s="381">
        <f t="shared" si="81"/>
        <v>168.97309388942301</v>
      </c>
      <c r="G44" s="3293">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-2.4137638417038799E-2</v>
      </c>
      <c r="T44" s="422">
        <f>C44/C45-1</f>
        <v>-2.2487738452641001E-2</v>
      </c>
      <c r="U44" s="422">
        <f>E44/E45-1</f>
        <v>-2.73237945027354E-2</v>
      </c>
      <c r="V44" s="422">
        <f>F44/F45-1</f>
        <v>1.7910204153148E-2</v>
      </c>
      <c r="X44" s="458"/>
      <c r="Y44" s="458"/>
      <c r="Z44" s="458"/>
    </row>
    <row r="45" spans="1:26">
      <c r="A45" s="380" t="s">
        <v>1977</v>
      </c>
      <c r="B45" s="399">
        <v>214</v>
      </c>
      <c r="C45" s="399">
        <v>188</v>
      </c>
      <c r="D45" s="399">
        <f t="shared" si="64"/>
        <v>188</v>
      </c>
      <c r="E45" s="399">
        <v>289</v>
      </c>
      <c r="F45" s="400">
        <v>166</v>
      </c>
      <c r="G45" s="3294">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1978</v>
      </c>
      <c r="B46" s="381">
        <f t="shared" ref="B46:C48" si="82">B45/(1+N45)</f>
        <v>210.36075887152299</v>
      </c>
      <c r="C46" s="381">
        <f t="shared" si="82"/>
        <v>187.943616914926</v>
      </c>
      <c r="D46" s="381">
        <f t="shared" si="64"/>
        <v>187.943616914926</v>
      </c>
      <c r="E46" s="381">
        <f t="shared" ref="E46:F48" si="83">E45/(1+P45)</f>
        <v>281.703869772882</v>
      </c>
      <c r="F46" s="381">
        <f t="shared" si="83"/>
        <v>168.80211511083999</v>
      </c>
      <c r="G46" s="3292">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1979</v>
      </c>
      <c r="B47" s="381">
        <f t="shared" si="82"/>
        <v>206.31694671589099</v>
      </c>
      <c r="C47" s="381">
        <f t="shared" si="82"/>
        <v>183.61041121036101</v>
      </c>
      <c r="D47" s="381">
        <f t="shared" si="64"/>
        <v>183.61041121036101</v>
      </c>
      <c r="E47" s="381">
        <f t="shared" si="83"/>
        <v>276.66850301795603</v>
      </c>
      <c r="F47" s="381">
        <f t="shared" si="83"/>
        <v>165.136093827861</v>
      </c>
      <c r="G47" s="3292">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6.8599999999999994E-2</v>
      </c>
      <c r="R47" s="446"/>
      <c r="S47" s="412"/>
      <c r="T47" s="413"/>
      <c r="U47" s="413"/>
      <c r="V47" s="413"/>
    </row>
    <row r="48" spans="1:26" s="358" customFormat="1">
      <c r="A48" s="380" t="s">
        <v>1980</v>
      </c>
      <c r="B48" s="402">
        <f t="shared" si="82"/>
        <v>196.62341248059801</v>
      </c>
      <c r="C48" s="402">
        <f t="shared" si="82"/>
        <v>170.99125648199001</v>
      </c>
      <c r="D48" s="402">
        <f t="shared" si="64"/>
        <v>170.99125648199001</v>
      </c>
      <c r="E48" s="402">
        <f t="shared" si="83"/>
        <v>266.07857570490103</v>
      </c>
      <c r="F48" s="402">
        <f t="shared" si="83"/>
        <v>154.53499328828499</v>
      </c>
      <c r="G48" s="3293">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4.5869215322328301E-2</v>
      </c>
      <c r="T48" s="430">
        <f>C48/C49-1</f>
        <v>3.6310645345394701E-2</v>
      </c>
      <c r="U48" s="430">
        <f>E48/E49-1</f>
        <v>4.7553447657088702E-2</v>
      </c>
      <c r="V48" s="430">
        <f>F48/F49-1</f>
        <v>4.41553600559801E-2</v>
      </c>
      <c r="X48" s="460"/>
      <c r="Y48" s="460"/>
      <c r="Z48" s="460"/>
    </row>
    <row r="49" spans="1:26">
      <c r="A49" s="380" t="s">
        <v>1981</v>
      </c>
      <c r="B49" s="384">
        <v>188</v>
      </c>
      <c r="C49" s="384">
        <v>165</v>
      </c>
      <c r="D49" s="384">
        <f t="shared" si="64"/>
        <v>165</v>
      </c>
      <c r="E49" s="384">
        <v>254</v>
      </c>
      <c r="F49" s="385">
        <v>148</v>
      </c>
      <c r="G49" s="3294">
        <v>2007</v>
      </c>
      <c r="H49" s="404">
        <v>4</v>
      </c>
      <c r="I49" s="404">
        <v>5.51</v>
      </c>
      <c r="J49" s="404">
        <v>4.8899999999999997</v>
      </c>
      <c r="K49" s="404">
        <v>6.43</v>
      </c>
      <c r="L49" s="431">
        <v>5.36</v>
      </c>
      <c r="N49" s="432">
        <f t="shared" ref="N49:O52" si="84">B49/B50-1</f>
        <v>4.1339718365245498E-2</v>
      </c>
      <c r="O49" s="433">
        <f t="shared" si="84"/>
        <v>4.0324492593775997E-2</v>
      </c>
      <c r="P49" s="433">
        <f t="shared" ref="P49:Q52" si="85">E49/E50-1</f>
        <v>6.1625555347991003E-2</v>
      </c>
      <c r="Q49" s="433">
        <f t="shared" si="85"/>
        <v>4.6757569250590603E-2</v>
      </c>
      <c r="R49" s="446"/>
      <c r="S49" s="449"/>
      <c r="T49" s="450"/>
      <c r="U49" s="450"/>
      <c r="V49" s="450"/>
      <c r="X49" s="450"/>
      <c r="Y49" s="450"/>
      <c r="Z49" s="450"/>
    </row>
    <row r="50" spans="1:26">
      <c r="A50" s="380" t="s">
        <v>1982</v>
      </c>
      <c r="B50" s="381">
        <f t="shared" ref="B50:C52" si="86">B51+(B$49-B$53)*I50/SUM(I$49:I$52)</f>
        <v>180.536665109762</v>
      </c>
      <c r="C50" s="381">
        <f t="shared" si="86"/>
        <v>158.60435967302499</v>
      </c>
      <c r="D50" s="381">
        <f t="shared" si="64"/>
        <v>158.60435967302499</v>
      </c>
      <c r="E50" s="381">
        <f t="shared" ref="E50:F52" si="87">E51+(E$49-E$53)*K50/SUM(K$49:K$52)</f>
        <v>239.255732607851</v>
      </c>
      <c r="F50" s="381">
        <f t="shared" si="87"/>
        <v>141.3889943074</v>
      </c>
      <c r="G50" s="3292">
        <v>2007</v>
      </c>
      <c r="H50" s="391">
        <v>3</v>
      </c>
      <c r="I50" s="391">
        <v>8.65</v>
      </c>
      <c r="J50" s="391">
        <v>8.06</v>
      </c>
      <c r="K50" s="391">
        <v>9.94</v>
      </c>
      <c r="L50" s="419">
        <v>5.8</v>
      </c>
      <c r="N50" s="432">
        <f t="shared" si="84"/>
        <v>6.9402175717400094E-2</v>
      </c>
      <c r="O50" s="433">
        <f t="shared" si="84"/>
        <v>7.11974824711534E-2</v>
      </c>
      <c r="P50" s="433">
        <f t="shared" si="85"/>
        <v>0.105296799225796</v>
      </c>
      <c r="Q50" s="433">
        <f t="shared" si="85"/>
        <v>5.3292245059512099E-2</v>
      </c>
      <c r="R50" s="446"/>
      <c r="S50" s="412"/>
      <c r="T50" s="413"/>
      <c r="U50" s="413"/>
      <c r="V50" s="413"/>
      <c r="X50" s="461"/>
      <c r="Y50" s="461"/>
      <c r="Z50" s="461"/>
    </row>
    <row r="51" spans="1:26">
      <c r="A51" s="380" t="s">
        <v>1983</v>
      </c>
      <c r="B51" s="381">
        <f t="shared" si="86"/>
        <v>168.820177487156</v>
      </c>
      <c r="C51" s="381">
        <f t="shared" si="86"/>
        <v>148.06267029972801</v>
      </c>
      <c r="D51" s="381">
        <f t="shared" si="64"/>
        <v>148.06267029972801</v>
      </c>
      <c r="E51" s="381">
        <f t="shared" si="87"/>
        <v>216.46288379323701</v>
      </c>
      <c r="F51" s="381">
        <f t="shared" si="87"/>
        <v>134.23529411764699</v>
      </c>
      <c r="G51" s="3292">
        <v>2007</v>
      </c>
      <c r="H51" s="389">
        <v>2</v>
      </c>
      <c r="I51" s="389">
        <v>3.67</v>
      </c>
      <c r="J51" s="389">
        <v>2.3199999999999998</v>
      </c>
      <c r="K51" s="389">
        <v>5.0199999999999996</v>
      </c>
      <c r="L51" s="415">
        <v>6.71</v>
      </c>
      <c r="N51" s="432">
        <f t="shared" si="84"/>
        <v>3.0339138143848001E-2</v>
      </c>
      <c r="O51" s="433">
        <f t="shared" si="84"/>
        <v>2.09223415887905E-2</v>
      </c>
      <c r="P51" s="433">
        <f t="shared" si="85"/>
        <v>5.6164796592717003E-2</v>
      </c>
      <c r="Q51" s="433">
        <f t="shared" si="85"/>
        <v>6.5704536723887305E-2</v>
      </c>
      <c r="R51" s="446"/>
      <c r="S51" s="412"/>
      <c r="T51" s="413"/>
      <c r="U51" s="413"/>
      <c r="V51" s="413"/>
      <c r="X51" s="461"/>
      <c r="Y51" s="461"/>
      <c r="Z51" s="461"/>
    </row>
    <row r="52" spans="1:26">
      <c r="A52" s="380" t="s">
        <v>1984</v>
      </c>
      <c r="B52" s="381">
        <f t="shared" si="86"/>
        <v>163.849135917795</v>
      </c>
      <c r="C52" s="381">
        <f t="shared" si="86"/>
        <v>145.028337874659</v>
      </c>
      <c r="D52" s="381">
        <f t="shared" si="64"/>
        <v>145.028337874659</v>
      </c>
      <c r="E52" s="381">
        <f t="shared" si="87"/>
        <v>204.95180722891601</v>
      </c>
      <c r="F52" s="381">
        <f t="shared" si="87"/>
        <v>125.959203036053</v>
      </c>
      <c r="G52" s="3293">
        <v>2007</v>
      </c>
      <c r="H52" s="383">
        <v>1</v>
      </c>
      <c r="I52" s="383">
        <v>3.58</v>
      </c>
      <c r="J52" s="383">
        <v>3.08</v>
      </c>
      <c r="K52" s="383">
        <v>4.34</v>
      </c>
      <c r="L52" s="411">
        <v>3.21</v>
      </c>
      <c r="N52" s="434">
        <f t="shared" si="84"/>
        <v>3.0497710174814101E-2</v>
      </c>
      <c r="O52" s="435">
        <f t="shared" si="84"/>
        <v>2.8569772160705002E-2</v>
      </c>
      <c r="P52" s="435">
        <f t="shared" si="85"/>
        <v>5.1034908866234303E-2</v>
      </c>
      <c r="Q52" s="435">
        <f t="shared" si="85"/>
        <v>3.2452483902074801E-2</v>
      </c>
      <c r="R52" s="446"/>
      <c r="S52" s="421">
        <f>B52/B53-1</f>
        <v>3.0497710174814101E-2</v>
      </c>
      <c r="T52" s="422">
        <f>C52/C53-1</f>
        <v>2.8569772160705002E-2</v>
      </c>
      <c r="U52" s="422">
        <f>E52/E53-1</f>
        <v>5.1034908866234303E-2</v>
      </c>
      <c r="V52" s="422">
        <f>F52/F53-1</f>
        <v>3.2452483902074801E-2</v>
      </c>
      <c r="X52" s="461"/>
      <c r="Y52" s="461"/>
      <c r="Z52" s="461"/>
    </row>
    <row r="53" spans="1:26">
      <c r="A53" s="380" t="s">
        <v>1985</v>
      </c>
      <c r="B53" s="392">
        <v>159</v>
      </c>
      <c r="C53" s="392">
        <v>141</v>
      </c>
      <c r="D53" s="392">
        <f t="shared" si="64"/>
        <v>141</v>
      </c>
      <c r="E53" s="392">
        <v>195</v>
      </c>
      <c r="F53" s="393">
        <v>122</v>
      </c>
      <c r="G53" s="3294">
        <v>2006</v>
      </c>
      <c r="H53" s="390">
        <v>4</v>
      </c>
      <c r="I53" s="390">
        <v>3.79</v>
      </c>
      <c r="J53" s="390">
        <v>2.21</v>
      </c>
      <c r="K53" s="390">
        <v>5.65</v>
      </c>
      <c r="L53" s="416">
        <v>5.41</v>
      </c>
      <c r="N53" s="432">
        <f t="shared" ref="N53:O56" si="88">I53/SUM(I$53:I$56)*(B$53/B$57-1)</f>
        <v>7.2454664627485302E-2</v>
      </c>
      <c r="O53" s="433">
        <f t="shared" si="88"/>
        <v>2.3237230038062801E-2</v>
      </c>
      <c r="P53" s="433">
        <f t="shared" ref="P53:Q56" si="89">K53/SUM(K$53:K$56)*(E$53/E$57-1)</f>
        <v>0.161468938663237</v>
      </c>
      <c r="Q53" s="433">
        <f t="shared" si="89"/>
        <v>5.0755230321793798E-2</v>
      </c>
      <c r="R53" s="446"/>
      <c r="S53" s="449"/>
      <c r="T53" s="450"/>
      <c r="U53" s="450"/>
      <c r="V53" s="450"/>
      <c r="X53" s="461"/>
      <c r="Y53" s="461"/>
      <c r="Z53" s="461"/>
    </row>
    <row r="54" spans="1:26">
      <c r="A54" s="380" t="s">
        <v>1986</v>
      </c>
      <c r="B54" s="381">
        <f t="shared" ref="B54:C56" si="90">B55+(B$53-B$57)*I54/SUM(I$53:I$56)</f>
        <v>149.001256281407</v>
      </c>
      <c r="C54" s="381">
        <f t="shared" si="90"/>
        <v>137.955922865014</v>
      </c>
      <c r="D54" s="381">
        <f t="shared" si="64"/>
        <v>137.955922865014</v>
      </c>
      <c r="E54" s="381">
        <f t="shared" ref="E54:F56" si="91">E55+(E$53-E$57)*K54/SUM(K$53:K$56)</f>
        <v>169.97231450719801</v>
      </c>
      <c r="F54" s="381">
        <f t="shared" si="91"/>
        <v>116.213903743316</v>
      </c>
      <c r="G54" s="3292">
        <v>2006</v>
      </c>
      <c r="H54" s="391">
        <v>3</v>
      </c>
      <c r="I54" s="391">
        <v>0.92</v>
      </c>
      <c r="J54" s="391">
        <v>1.08</v>
      </c>
      <c r="K54" s="391">
        <v>0.73</v>
      </c>
      <c r="L54" s="419">
        <v>1.08</v>
      </c>
      <c r="N54" s="432">
        <f t="shared" si="88"/>
        <v>1.75879396984925E-2</v>
      </c>
      <c r="O54" s="433">
        <f t="shared" si="88"/>
        <v>1.13557504258406E-2</v>
      </c>
      <c r="P54" s="433">
        <f t="shared" si="89"/>
        <v>2.0862358446754499E-2</v>
      </c>
      <c r="Q54" s="433">
        <f t="shared" si="89"/>
        <v>1.0132282578103001E-2</v>
      </c>
      <c r="R54" s="446"/>
      <c r="S54" s="412"/>
      <c r="T54" s="413"/>
      <c r="U54" s="413"/>
      <c r="V54" s="413"/>
      <c r="X54" s="461"/>
      <c r="Y54" s="461"/>
      <c r="Z54" s="461"/>
    </row>
    <row r="55" spans="1:26">
      <c r="A55" s="380" t="s">
        <v>1987</v>
      </c>
      <c r="B55" s="381">
        <f t="shared" si="90"/>
        <v>146.57412060301499</v>
      </c>
      <c r="C55" s="381">
        <f t="shared" si="90"/>
        <v>136.468319559229</v>
      </c>
      <c r="D55" s="381">
        <f t="shared" si="64"/>
        <v>136.468319559229</v>
      </c>
      <c r="E55" s="381">
        <f t="shared" si="91"/>
        <v>166.73864894795099</v>
      </c>
      <c r="F55" s="381">
        <f t="shared" si="91"/>
        <v>115.058823529412</v>
      </c>
      <c r="G55" s="3292">
        <v>2006</v>
      </c>
      <c r="H55" s="389">
        <v>2</v>
      </c>
      <c r="I55" s="389">
        <v>0.96</v>
      </c>
      <c r="J55" s="389">
        <v>0.25</v>
      </c>
      <c r="K55" s="389">
        <v>1.9</v>
      </c>
      <c r="L55" s="415">
        <v>0.95</v>
      </c>
      <c r="N55" s="432">
        <f t="shared" si="88"/>
        <v>1.8352632728861701E-2</v>
      </c>
      <c r="O55" s="433">
        <f t="shared" si="88"/>
        <v>2.62864593190755E-3</v>
      </c>
      <c r="P55" s="433">
        <f t="shared" si="89"/>
        <v>5.4299289107991297E-2</v>
      </c>
      <c r="Q55" s="433">
        <f t="shared" si="89"/>
        <v>8.9126559714794995E-3</v>
      </c>
      <c r="R55" s="446"/>
      <c r="S55" s="412"/>
      <c r="T55" s="413"/>
      <c r="U55" s="413"/>
      <c r="V55" s="413"/>
      <c r="X55" s="461"/>
      <c r="Y55" s="461"/>
      <c r="Z55" s="461"/>
    </row>
    <row r="56" spans="1:26">
      <c r="A56" s="380" t="s">
        <v>1988</v>
      </c>
      <c r="B56" s="381">
        <f t="shared" si="90"/>
        <v>144.04145728643201</v>
      </c>
      <c r="C56" s="381">
        <f t="shared" si="90"/>
        <v>136.123966942149</v>
      </c>
      <c r="D56" s="381">
        <f t="shared" si="64"/>
        <v>136.123966942149</v>
      </c>
      <c r="E56" s="381">
        <f t="shared" si="91"/>
        <v>158.32225913621301</v>
      </c>
      <c r="F56" s="381">
        <f t="shared" si="91"/>
        <v>114.04278074866301</v>
      </c>
      <c r="G56" s="3293">
        <v>2006</v>
      </c>
      <c r="H56" s="383">
        <v>1</v>
      </c>
      <c r="I56" s="383">
        <v>2.29</v>
      </c>
      <c r="J56" s="383">
        <v>3.72</v>
      </c>
      <c r="K56" s="383">
        <v>0.75</v>
      </c>
      <c r="L56" s="411">
        <v>0.04</v>
      </c>
      <c r="N56" s="434">
        <f t="shared" si="88"/>
        <v>4.3778675988638799E-2</v>
      </c>
      <c r="O56" s="435">
        <f t="shared" si="88"/>
        <v>3.9114251466784399E-2</v>
      </c>
      <c r="P56" s="435">
        <f t="shared" si="89"/>
        <v>2.1433929911049199E-2</v>
      </c>
      <c r="Q56" s="435">
        <f t="shared" si="89"/>
        <v>3.7526972511492602E-4</v>
      </c>
      <c r="R56" s="446"/>
      <c r="S56" s="421">
        <f>B56/B57-1</f>
        <v>4.3778675988638702E-2</v>
      </c>
      <c r="T56" s="422">
        <f>C56/C57-1</f>
        <v>3.91142514667846E-2</v>
      </c>
      <c r="U56" s="422">
        <f>E56/E57-1</f>
        <v>2.1433929911049299E-2</v>
      </c>
      <c r="V56" s="422">
        <f>F56/F57-1</f>
        <v>3.7526972511492401E-4</v>
      </c>
      <c r="X56" s="461"/>
      <c r="Y56" s="461"/>
      <c r="Z56" s="461"/>
    </row>
    <row r="57" spans="1:26">
      <c r="A57" s="380" t="s">
        <v>1989</v>
      </c>
      <c r="B57" s="392">
        <v>138</v>
      </c>
      <c r="C57" s="392">
        <v>131</v>
      </c>
      <c r="D57" s="392">
        <f t="shared" si="64"/>
        <v>131</v>
      </c>
      <c r="E57" s="392">
        <v>155</v>
      </c>
      <c r="F57" s="393">
        <v>114</v>
      </c>
      <c r="G57" s="3294">
        <v>2005</v>
      </c>
      <c r="H57" s="390">
        <v>4</v>
      </c>
      <c r="I57" s="390">
        <v>3.29</v>
      </c>
      <c r="J57" s="390">
        <v>1.44</v>
      </c>
      <c r="K57" s="390">
        <v>0.66</v>
      </c>
      <c r="L57" s="416">
        <v>7.78</v>
      </c>
      <c r="N57" s="432">
        <f t="shared" ref="N57:O60" si="92">I57/SUM(I$57:I$60)*(B$57/B$61-1)</f>
        <v>9.9404603216919907E-2</v>
      </c>
      <c r="O57" s="433">
        <f t="shared" si="92"/>
        <v>4.7636550760861603E-2</v>
      </c>
      <c r="P57" s="433">
        <f t="shared" ref="P57:Q60" si="93">K57/SUM(K$57:K$60)*(E$57/E$61-1)</f>
        <v>8.3756345177665004E-2</v>
      </c>
      <c r="Q57" s="433">
        <f t="shared" si="93"/>
        <v>5.2148766661559598E-2</v>
      </c>
      <c r="R57" s="446"/>
      <c r="S57" s="449"/>
      <c r="T57" s="450"/>
      <c r="U57" s="450"/>
      <c r="V57" s="450"/>
      <c r="X57" s="461"/>
      <c r="Y57" s="461"/>
      <c r="Z57" s="461"/>
    </row>
    <row r="58" spans="1:26">
      <c r="A58" s="380" t="s">
        <v>1990</v>
      </c>
      <c r="B58" s="381">
        <f t="shared" ref="B58:C60" si="94">B59+(B$57-B$61)*I58/SUM(I$57:I$60)</f>
        <v>125.972043010753</v>
      </c>
      <c r="C58" s="381">
        <f t="shared" si="94"/>
        <v>125.188340807175</v>
      </c>
      <c r="D58" s="381">
        <f t="shared" si="64"/>
        <v>125.188340807175</v>
      </c>
      <c r="E58" s="381">
        <f t="shared" ref="E58:F60" si="95">E59+(E$57-E$61)*K58/SUM(K$57:K$60)</f>
        <v>144.61421319797</v>
      </c>
      <c r="F58" s="381">
        <f t="shared" si="95"/>
        <v>108.42008196721299</v>
      </c>
      <c r="G58" s="3292">
        <v>2005</v>
      </c>
      <c r="H58" s="391">
        <v>3</v>
      </c>
      <c r="I58" s="391">
        <v>0.46</v>
      </c>
      <c r="J58" s="391">
        <v>0.32</v>
      </c>
      <c r="K58" s="391">
        <v>0.42</v>
      </c>
      <c r="L58" s="419">
        <v>0.64</v>
      </c>
      <c r="N58" s="432">
        <f t="shared" si="92"/>
        <v>1.38985159513019E-2</v>
      </c>
      <c r="O58" s="433">
        <f t="shared" si="92"/>
        <v>1.0585900169080301E-2</v>
      </c>
      <c r="P58" s="433">
        <f t="shared" si="93"/>
        <v>5.3299492385786802E-2</v>
      </c>
      <c r="Q58" s="433">
        <f t="shared" si="93"/>
        <v>4.2898728359123603E-3</v>
      </c>
      <c r="R58" s="446"/>
      <c r="S58" s="412"/>
      <c r="T58" s="413"/>
      <c r="U58" s="413"/>
      <c r="V58" s="413"/>
      <c r="X58" s="461"/>
      <c r="Y58" s="461"/>
      <c r="Z58" s="461"/>
    </row>
    <row r="59" spans="1:26">
      <c r="A59" s="380" t="s">
        <v>1991</v>
      </c>
      <c r="B59" s="381">
        <f t="shared" si="94"/>
        <v>124.290322580645</v>
      </c>
      <c r="C59" s="381">
        <f t="shared" si="94"/>
        <v>123.896860986547</v>
      </c>
      <c r="D59" s="381">
        <f t="shared" si="64"/>
        <v>123.896860986547</v>
      </c>
      <c r="E59" s="381">
        <f t="shared" si="95"/>
        <v>138.005076142132</v>
      </c>
      <c r="F59" s="381">
        <f t="shared" si="95"/>
        <v>107.96106557377</v>
      </c>
      <c r="G59" s="3292">
        <v>2005</v>
      </c>
      <c r="H59" s="389">
        <v>2</v>
      </c>
      <c r="I59" s="389">
        <v>0.47</v>
      </c>
      <c r="J59" s="389">
        <v>0.1</v>
      </c>
      <c r="K59" s="389">
        <v>0.52</v>
      </c>
      <c r="L59" s="415">
        <v>0.79</v>
      </c>
      <c r="N59" s="432">
        <f t="shared" si="92"/>
        <v>1.4200657602417101E-2</v>
      </c>
      <c r="O59" s="433">
        <f t="shared" si="92"/>
        <v>3.30809380283761E-3</v>
      </c>
      <c r="P59" s="433">
        <f t="shared" si="93"/>
        <v>6.5989847715736002E-2</v>
      </c>
      <c r="Q59" s="433">
        <f t="shared" si="93"/>
        <v>5.2953117818293196E-3</v>
      </c>
      <c r="R59" s="446"/>
      <c r="S59" s="412"/>
      <c r="T59" s="413"/>
      <c r="U59" s="413"/>
      <c r="V59" s="413"/>
      <c r="X59" s="461"/>
      <c r="Y59" s="461"/>
      <c r="Z59" s="461"/>
    </row>
    <row r="60" spans="1:26">
      <c r="A60" s="380" t="s">
        <v>1992</v>
      </c>
      <c r="B60" s="381">
        <f t="shared" si="94"/>
        <v>122.57204301075301</v>
      </c>
      <c r="C60" s="381">
        <f t="shared" si="94"/>
        <v>123.493273542601</v>
      </c>
      <c r="D60" s="381">
        <f t="shared" si="64"/>
        <v>123.493273542601</v>
      </c>
      <c r="E60" s="381">
        <f t="shared" si="95"/>
        <v>129.82233502538099</v>
      </c>
      <c r="F60" s="381">
        <f t="shared" si="95"/>
        <v>107.39446721311501</v>
      </c>
      <c r="G60" s="3293">
        <v>2005</v>
      </c>
      <c r="H60" s="383">
        <v>1</v>
      </c>
      <c r="I60" s="383">
        <v>0.43</v>
      </c>
      <c r="J60" s="383">
        <v>0.37</v>
      </c>
      <c r="K60" s="383">
        <v>0.37</v>
      </c>
      <c r="L60" s="411">
        <v>0.55000000000000004</v>
      </c>
      <c r="N60" s="434">
        <f t="shared" si="92"/>
        <v>1.2992090997956099E-2</v>
      </c>
      <c r="O60" s="435">
        <f t="shared" si="92"/>
        <v>1.22399470704992E-2</v>
      </c>
      <c r="P60" s="435">
        <f t="shared" si="93"/>
        <v>4.6954314720812199E-2</v>
      </c>
      <c r="Q60" s="435">
        <f t="shared" si="93"/>
        <v>3.6866094683621802E-3</v>
      </c>
      <c r="R60" s="446"/>
      <c r="S60" s="421">
        <f>B60/B61-1</f>
        <v>1.29920909979562E-2</v>
      </c>
      <c r="T60" s="422">
        <f>C60/C61-1</f>
        <v>1.22399470704992E-2</v>
      </c>
      <c r="U60" s="422">
        <f>E60/E61-1</f>
        <v>4.6954314720812199E-2</v>
      </c>
      <c r="V60" s="422">
        <f>F60/F61-1</f>
        <v>3.68660946836208E-3</v>
      </c>
      <c r="X60" s="461"/>
      <c r="Y60" s="461"/>
      <c r="Z60" s="461"/>
    </row>
    <row r="61" spans="1:26">
      <c r="A61" s="380" t="s">
        <v>1993</v>
      </c>
      <c r="B61" s="399">
        <v>121</v>
      </c>
      <c r="C61" s="399">
        <v>122</v>
      </c>
      <c r="D61" s="399">
        <f t="shared" si="64"/>
        <v>122</v>
      </c>
      <c r="E61" s="399">
        <v>124</v>
      </c>
      <c r="F61" s="400">
        <v>107</v>
      </c>
      <c r="G61" s="3294">
        <v>2004</v>
      </c>
      <c r="H61" s="390">
        <v>4</v>
      </c>
      <c r="I61" s="390">
        <v>0.33</v>
      </c>
      <c r="J61" s="390">
        <v>0.5</v>
      </c>
      <c r="K61" s="390">
        <v>0.5</v>
      </c>
      <c r="L61" s="416">
        <v>0</v>
      </c>
      <c r="N61" s="432">
        <f t="shared" ref="N61:O64" si="96">I61/SUM(I$61:I$64)*(B$61/B$65-1)</f>
        <v>1.33917701485269E-2</v>
      </c>
      <c r="O61" s="433">
        <f t="shared" si="96"/>
        <v>1.0632642211589599E-2</v>
      </c>
      <c r="P61" s="433">
        <f t="shared" ref="P61:Q64" si="97">K61/SUM(K$61:K$64)*(E$61/E$65-1)</f>
        <v>2.2244466688911099E-2</v>
      </c>
      <c r="Q61" s="433">
        <f t="shared" si="97"/>
        <v>0</v>
      </c>
      <c r="R61" s="446"/>
      <c r="S61" s="449"/>
      <c r="T61" s="450"/>
      <c r="U61" s="450"/>
      <c r="V61" s="450"/>
      <c r="X61" s="461"/>
      <c r="Y61" s="461"/>
      <c r="Z61" s="461"/>
    </row>
    <row r="62" spans="1:26">
      <c r="A62" s="380" t="s">
        <v>1994</v>
      </c>
      <c r="B62" s="381">
        <f t="shared" ref="B62:C64" si="98">B63+(B$61-B$65)*I62/SUM(I$61:I$64)</f>
        <v>119.513513513514</v>
      </c>
      <c r="C62" s="381">
        <f t="shared" si="98"/>
        <v>120.787878787879</v>
      </c>
      <c r="D62" s="381">
        <f t="shared" si="64"/>
        <v>120.787878787879</v>
      </c>
      <c r="E62" s="381">
        <f t="shared" ref="E62:F64" si="99">E63+(E$61-E$65)*K62/SUM(K$61:K$64)</f>
        <v>121.597597597598</v>
      </c>
      <c r="F62" s="381">
        <f t="shared" si="99"/>
        <v>107</v>
      </c>
      <c r="G62" s="3292">
        <v>2004</v>
      </c>
      <c r="H62" s="391">
        <v>3</v>
      </c>
      <c r="I62" s="391">
        <v>0.56000000000000005</v>
      </c>
      <c r="J62" s="391">
        <v>0.8</v>
      </c>
      <c r="K62" s="391">
        <v>0.83</v>
      </c>
      <c r="L62" s="419">
        <v>0.06</v>
      </c>
      <c r="N62" s="432">
        <f t="shared" si="96"/>
        <v>2.2725428130833499E-2</v>
      </c>
      <c r="O62" s="433">
        <f t="shared" si="96"/>
        <v>1.7012227538543302E-2</v>
      </c>
      <c r="P62" s="433">
        <f t="shared" si="97"/>
        <v>3.6925814703592498E-2</v>
      </c>
      <c r="Q62" s="433">
        <f t="shared" si="97"/>
        <v>2.8846153846153699E-2</v>
      </c>
      <c r="R62" s="446"/>
      <c r="S62" s="412"/>
      <c r="T62" s="413"/>
      <c r="U62" s="413"/>
      <c r="V62" s="413"/>
      <c r="X62" s="461"/>
      <c r="Y62" s="461"/>
      <c r="Z62" s="461"/>
    </row>
    <row r="63" spans="1:26">
      <c r="A63" s="380" t="s">
        <v>1995</v>
      </c>
      <c r="B63" s="381">
        <f t="shared" si="98"/>
        <v>116.99099099099099</v>
      </c>
      <c r="C63" s="381">
        <f t="shared" si="98"/>
        <v>118.848484848485</v>
      </c>
      <c r="D63" s="381">
        <f t="shared" si="64"/>
        <v>118.848484848485</v>
      </c>
      <c r="E63" s="381">
        <f t="shared" si="99"/>
        <v>117.60960960961</v>
      </c>
      <c r="F63" s="381">
        <f t="shared" si="99"/>
        <v>104</v>
      </c>
      <c r="G63" s="3292">
        <v>2004</v>
      </c>
      <c r="H63" s="389">
        <v>2</v>
      </c>
      <c r="I63" s="389">
        <v>1</v>
      </c>
      <c r="J63" s="389">
        <v>1.5</v>
      </c>
      <c r="K63" s="389">
        <v>1.5</v>
      </c>
      <c r="L63" s="415">
        <v>0</v>
      </c>
      <c r="N63" s="432">
        <f t="shared" si="96"/>
        <v>4.05811216622027E-2</v>
      </c>
      <c r="O63" s="433">
        <f t="shared" si="96"/>
        <v>3.1897926634768703E-2</v>
      </c>
      <c r="P63" s="433">
        <f t="shared" si="97"/>
        <v>6.6733400066733395E-2</v>
      </c>
      <c r="Q63" s="433">
        <f t="shared" si="97"/>
        <v>0</v>
      </c>
      <c r="R63" s="446"/>
      <c r="S63" s="412"/>
      <c r="T63" s="413"/>
      <c r="U63" s="413"/>
      <c r="V63" s="413"/>
      <c r="X63" s="461"/>
      <c r="Y63" s="461"/>
      <c r="Z63" s="461"/>
    </row>
    <row r="64" spans="1:26" s="358" customFormat="1">
      <c r="A64" s="380" t="s">
        <v>1996</v>
      </c>
      <c r="B64" s="402">
        <f t="shared" si="98"/>
        <v>112.486486486486</v>
      </c>
      <c r="C64" s="402">
        <f t="shared" si="98"/>
        <v>115.212121212121</v>
      </c>
      <c r="D64" s="402">
        <f t="shared" si="64"/>
        <v>115.212121212121</v>
      </c>
      <c r="E64" s="402">
        <f t="shared" si="99"/>
        <v>110.402402402402</v>
      </c>
      <c r="F64" s="402">
        <f t="shared" si="99"/>
        <v>104</v>
      </c>
      <c r="G64" s="3293">
        <v>2004</v>
      </c>
      <c r="H64" s="403">
        <v>1</v>
      </c>
      <c r="I64" s="403">
        <v>0.33</v>
      </c>
      <c r="J64" s="403">
        <v>0.5</v>
      </c>
      <c r="K64" s="403">
        <v>0.5</v>
      </c>
      <c r="L64" s="428">
        <v>0</v>
      </c>
      <c r="N64" s="436">
        <f t="shared" si="96"/>
        <v>1.33917701485269E-2</v>
      </c>
      <c r="O64" s="437">
        <f t="shared" si="96"/>
        <v>1.0632642211589599E-2</v>
      </c>
      <c r="P64" s="437">
        <f t="shared" si="97"/>
        <v>2.2244466688911099E-2</v>
      </c>
      <c r="Q64" s="437">
        <f t="shared" si="97"/>
        <v>0</v>
      </c>
      <c r="R64" s="459"/>
      <c r="S64" s="429">
        <f>B64/B65-1</f>
        <v>1.33917701485269E-2</v>
      </c>
      <c r="T64" s="430">
        <f>C64/C65-1</f>
        <v>1.06326422115897E-2</v>
      </c>
      <c r="U64" s="430">
        <f>E64/E65-1</f>
        <v>2.22444666889112E-2</v>
      </c>
      <c r="V64" s="430">
        <f>F64/F65-1</f>
        <v>0</v>
      </c>
      <c r="X64" s="462"/>
      <c r="Y64" s="462"/>
      <c r="Z64" s="462"/>
    </row>
    <row r="65" spans="1:26">
      <c r="A65" s="380" t="s">
        <v>1997</v>
      </c>
      <c r="B65" s="468">
        <v>111</v>
      </c>
      <c r="C65" s="468">
        <v>114</v>
      </c>
      <c r="D65" s="468">
        <f t="shared" si="64"/>
        <v>114</v>
      </c>
      <c r="E65" s="468">
        <v>108</v>
      </c>
      <c r="F65" s="469">
        <v>104</v>
      </c>
      <c r="G65" s="3294">
        <v>2003</v>
      </c>
      <c r="H65" s="404">
        <v>4</v>
      </c>
      <c r="I65" s="481"/>
      <c r="J65" s="481"/>
      <c r="K65" s="481"/>
      <c r="L65" s="481"/>
      <c r="N65" s="482"/>
      <c r="O65" s="481"/>
      <c r="P65" s="481"/>
      <c r="Q65" s="481"/>
      <c r="S65" s="482"/>
      <c r="T65" s="481"/>
      <c r="U65" s="481"/>
      <c r="V65" s="481"/>
      <c r="X65" s="461"/>
      <c r="Y65" s="461"/>
      <c r="Z65" s="461"/>
    </row>
    <row r="66" spans="1:26">
      <c r="A66" s="380" t="s">
        <v>1998</v>
      </c>
      <c r="B66" s="470">
        <f t="shared" ref="B66:C68" si="100">B67+(B$65-B$69)/4</f>
        <v>109.75</v>
      </c>
      <c r="C66" s="470">
        <f t="shared" si="100"/>
        <v>112.25</v>
      </c>
      <c r="D66" s="470">
        <f t="shared" si="64"/>
        <v>112.25</v>
      </c>
      <c r="E66" s="470">
        <f t="shared" ref="E66:F68" si="101">E67+(E$65-E$69)/4</f>
        <v>107.25</v>
      </c>
      <c r="F66" s="470">
        <f t="shared" si="101"/>
        <v>103.5</v>
      </c>
      <c r="G66" s="3292">
        <v>2003</v>
      </c>
      <c r="H66" s="391">
        <v>3</v>
      </c>
      <c r="I66" s="481"/>
      <c r="J66" s="481"/>
      <c r="K66" s="481"/>
      <c r="L66" s="481"/>
      <c r="X66" s="461"/>
      <c r="Y66" s="461"/>
      <c r="Z66" s="461"/>
    </row>
    <row r="67" spans="1:26">
      <c r="A67" s="380" t="s">
        <v>1999</v>
      </c>
      <c r="B67" s="470">
        <f t="shared" si="100"/>
        <v>108.5</v>
      </c>
      <c r="C67" s="470">
        <f t="shared" si="100"/>
        <v>110.5</v>
      </c>
      <c r="D67" s="470">
        <f t="shared" si="64"/>
        <v>110.5</v>
      </c>
      <c r="E67" s="470">
        <f t="shared" si="101"/>
        <v>106.5</v>
      </c>
      <c r="F67" s="470">
        <f t="shared" si="101"/>
        <v>103</v>
      </c>
      <c r="G67" s="3292">
        <v>2003</v>
      </c>
      <c r="H67" s="389">
        <v>2</v>
      </c>
      <c r="I67" s="481"/>
      <c r="J67" s="481"/>
      <c r="K67" s="481"/>
      <c r="L67" s="481"/>
      <c r="X67" s="461"/>
      <c r="Y67" s="461"/>
      <c r="Z67" s="461"/>
    </row>
    <row r="68" spans="1:26">
      <c r="A68" s="380" t="s">
        <v>2000</v>
      </c>
      <c r="B68" s="470">
        <f t="shared" si="100"/>
        <v>107.25</v>
      </c>
      <c r="C68" s="470">
        <f t="shared" si="100"/>
        <v>108.75</v>
      </c>
      <c r="D68" s="470">
        <f t="shared" si="64"/>
        <v>108.75</v>
      </c>
      <c r="E68" s="470">
        <f t="shared" si="101"/>
        <v>105.75</v>
      </c>
      <c r="F68" s="470">
        <f t="shared" si="101"/>
        <v>102.5</v>
      </c>
      <c r="G68" s="3293">
        <v>2003</v>
      </c>
      <c r="H68" s="471">
        <v>1</v>
      </c>
      <c r="I68" s="481"/>
      <c r="J68" s="481"/>
      <c r="K68" s="481"/>
      <c r="L68" s="481"/>
      <c r="S68" s="412"/>
      <c r="T68" s="413"/>
      <c r="U68" s="413"/>
      <c r="X68" s="461"/>
      <c r="Y68" s="461"/>
      <c r="Z68" s="461"/>
    </row>
    <row r="69" spans="1:26">
      <c r="A69" s="380" t="s">
        <v>2001</v>
      </c>
      <c r="B69" s="472">
        <v>106</v>
      </c>
      <c r="C69" s="472">
        <v>107</v>
      </c>
      <c r="D69" s="472">
        <f t="shared" si="64"/>
        <v>107</v>
      </c>
      <c r="E69" s="472">
        <v>105</v>
      </c>
      <c r="F69" s="473">
        <v>102</v>
      </c>
      <c r="G69" s="3294">
        <v>2002</v>
      </c>
      <c r="H69" s="390">
        <v>4</v>
      </c>
      <c r="I69" s="481"/>
      <c r="J69" s="481"/>
      <c r="K69" s="481"/>
      <c r="L69" s="481"/>
      <c r="N69" s="482"/>
      <c r="O69" s="481"/>
      <c r="P69" s="481"/>
      <c r="Q69" s="481"/>
      <c r="S69" s="482"/>
      <c r="T69" s="481"/>
      <c r="U69" s="481"/>
      <c r="V69" s="481"/>
      <c r="X69" s="461"/>
      <c r="Y69" s="461"/>
      <c r="Z69" s="461"/>
    </row>
    <row r="70" spans="1:26">
      <c r="A70" s="380" t="s">
        <v>2002</v>
      </c>
      <c r="B70" s="470">
        <f t="shared" ref="B70:C72" si="102">B71+(B$69-B$73)/4</f>
        <v>105</v>
      </c>
      <c r="C70" s="470">
        <f t="shared" si="102"/>
        <v>106</v>
      </c>
      <c r="D70" s="470">
        <f t="shared" si="64"/>
        <v>106</v>
      </c>
      <c r="E70" s="470">
        <f t="shared" ref="E70:F72" si="103">E71+(E$69-E$73)/4</f>
        <v>104.5</v>
      </c>
      <c r="F70" s="470">
        <f t="shared" si="103"/>
        <v>101.5</v>
      </c>
      <c r="G70" s="3292">
        <v>2002</v>
      </c>
      <c r="H70" s="391">
        <v>3</v>
      </c>
      <c r="I70" s="481"/>
      <c r="J70" s="481"/>
      <c r="K70" s="481"/>
      <c r="L70" s="481"/>
      <c r="X70" s="461"/>
      <c r="Y70" s="461"/>
      <c r="Z70" s="461"/>
    </row>
    <row r="71" spans="1:26">
      <c r="A71" s="380" t="s">
        <v>2003</v>
      </c>
      <c r="B71" s="470">
        <f t="shared" si="102"/>
        <v>104</v>
      </c>
      <c r="C71" s="470">
        <f t="shared" si="102"/>
        <v>105</v>
      </c>
      <c r="D71" s="470">
        <f t="shared" si="64"/>
        <v>105</v>
      </c>
      <c r="E71" s="470">
        <f t="shared" si="103"/>
        <v>104</v>
      </c>
      <c r="F71" s="470">
        <f t="shared" si="103"/>
        <v>101</v>
      </c>
      <c r="G71" s="3292">
        <v>2002</v>
      </c>
      <c r="H71" s="389">
        <v>2</v>
      </c>
      <c r="I71" s="481"/>
      <c r="J71" s="481"/>
      <c r="K71" s="481"/>
      <c r="L71" s="481"/>
      <c r="X71" s="461"/>
      <c r="Y71" s="461"/>
      <c r="Z71" s="461"/>
    </row>
    <row r="72" spans="1:26" s="357" customFormat="1">
      <c r="A72" s="395" t="s">
        <v>2004</v>
      </c>
      <c r="B72" s="474">
        <f t="shared" si="102"/>
        <v>103</v>
      </c>
      <c r="C72" s="474">
        <f t="shared" si="102"/>
        <v>104</v>
      </c>
      <c r="D72" s="474">
        <f t="shared" si="64"/>
        <v>104</v>
      </c>
      <c r="E72" s="474">
        <f t="shared" si="103"/>
        <v>103.5</v>
      </c>
      <c r="F72" s="474">
        <f t="shared" si="103"/>
        <v>100.5</v>
      </c>
      <c r="G72" s="3293">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2005</v>
      </c>
      <c r="G75" s="480"/>
      <c r="N75" s="480"/>
      <c r="S75" s="480"/>
    </row>
    <row r="76" spans="1:26" s="359" customFormat="1">
      <c r="A76" s="359" t="s">
        <v>2006</v>
      </c>
      <c r="G76" s="480"/>
      <c r="N76" s="480"/>
      <c r="S76" s="480"/>
    </row>
    <row r="77" spans="1:26" s="359" customFormat="1">
      <c r="A77" s="359" t="s">
        <v>2007</v>
      </c>
      <c r="G77" s="480"/>
      <c r="I77" s="485"/>
      <c r="J77" s="485"/>
      <c r="K77" s="485"/>
      <c r="L77" s="485"/>
      <c r="N77" s="486"/>
      <c r="O77" s="485"/>
      <c r="P77" s="485"/>
      <c r="Q77" s="485"/>
      <c r="S77" s="486"/>
      <c r="T77" s="485"/>
      <c r="U77" s="485"/>
      <c r="V77" s="485"/>
    </row>
    <row r="78" spans="1:26" s="359" customFormat="1">
      <c r="A78" s="359" t="s">
        <v>2008</v>
      </c>
      <c r="G78" s="480"/>
      <c r="N78" s="480"/>
      <c r="S78" s="480"/>
    </row>
    <row r="86" spans="7:22">
      <c r="G86" s="360"/>
      <c r="S86" s="488" t="s">
        <v>2009</v>
      </c>
      <c r="T86" s="489" t="s">
        <v>2010</v>
      </c>
      <c r="U86" s="489" t="s">
        <v>2011</v>
      </c>
      <c r="V86" s="489" t="s">
        <v>2012</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2013</v>
      </c>
      <c r="C1" s="3298" t="s">
        <v>2014</v>
      </c>
      <c r="D1" s="3299"/>
      <c r="E1" s="3299"/>
      <c r="F1" s="3299"/>
      <c r="G1" s="3299"/>
      <c r="H1" s="3299"/>
      <c r="I1" s="3299"/>
      <c r="J1" s="3299"/>
      <c r="K1" s="3299"/>
      <c r="L1" s="3299"/>
      <c r="M1" s="3299"/>
      <c r="N1" s="3299"/>
      <c r="O1" s="3299"/>
      <c r="P1" s="3299"/>
      <c r="Q1" s="3299"/>
      <c r="R1" s="3299"/>
      <c r="S1" s="3300"/>
      <c r="T1" s="235" t="s">
        <v>1593</v>
      </c>
    </row>
    <row r="2" spans="1:45" s="225" customFormat="1">
      <c r="A2" s="236"/>
      <c r="B2" s="237" t="s">
        <v>436</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2015</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2016</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2017</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2018</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2019</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2020</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2021</v>
      </c>
      <c r="B17" s="269" t="s">
        <v>2022</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2023</v>
      </c>
      <c r="E19" s="279"/>
      <c r="F19" s="279"/>
      <c r="G19" s="279"/>
      <c r="H19" s="280"/>
      <c r="I19" s="277"/>
      <c r="J19" s="277"/>
      <c r="K19" s="277"/>
      <c r="L19" s="277"/>
      <c r="M19" s="277"/>
      <c r="N19" s="277"/>
      <c r="O19" s="277"/>
      <c r="P19" s="277"/>
      <c r="Q19" s="277"/>
      <c r="R19" s="344"/>
      <c r="S19" s="276"/>
    </row>
    <row r="20" spans="1:45" ht="15.75">
      <c r="A20" s="281" t="s">
        <v>2024</v>
      </c>
      <c r="B20" s="282" t="e">
        <f ca="1">IF(D20="——",S22,S22-F20)</f>
        <v>#REF!</v>
      </c>
      <c r="C20" s="277"/>
      <c r="D20" s="283" t="s">
        <v>2025</v>
      </c>
      <c r="E20" s="284"/>
      <c r="F20" s="235" t="e">
        <f ca="1">SUMIF(INDIRECT("'"&amp;H20&amp;"'"&amp;"!A:A"),"承租人权益价值",INDIRECT("'"&amp;H20&amp;"'"&amp;"!c:c"))</f>
        <v>#REF!</v>
      </c>
      <c r="G20" s="235" t="s">
        <v>741</v>
      </c>
      <c r="H20" s="285"/>
      <c r="I20" s="277"/>
      <c r="J20" s="277"/>
      <c r="K20" s="277"/>
      <c r="L20" s="277"/>
      <c r="M20" s="277"/>
      <c r="N20" s="277"/>
      <c r="O20" s="277"/>
      <c r="P20" s="277"/>
      <c r="Q20" s="277"/>
      <c r="R20" s="344"/>
      <c r="S20" s="276"/>
    </row>
    <row r="21" spans="1:45" ht="15.75">
      <c r="A21" s="281" t="s">
        <v>2026</v>
      </c>
      <c r="B21" s="282">
        <f>R22</f>
        <v>10000</v>
      </c>
      <c r="C21" s="277"/>
      <c r="D21" s="277"/>
      <c r="E21" s="277"/>
      <c r="F21" s="277"/>
      <c r="G21" s="277"/>
      <c r="H21" s="277"/>
      <c r="I21" s="277"/>
      <c r="J21" s="277"/>
      <c r="K21" s="277"/>
      <c r="L21" s="277"/>
      <c r="M21" s="277"/>
      <c r="N21" s="277"/>
      <c r="O21" s="277"/>
      <c r="P21" s="277"/>
      <c r="Q21" s="277"/>
      <c r="R21" s="344"/>
      <c r="S21" s="276"/>
    </row>
    <row r="22" spans="1:45">
      <c r="A22" s="286" t="s">
        <v>2027</v>
      </c>
      <c r="B22" s="287">
        <f>SUM(B24:B10000)</f>
        <v>100</v>
      </c>
      <c r="C22" s="3106" t="s">
        <v>124</v>
      </c>
      <c r="D22" s="3107"/>
      <c r="E22" s="3107"/>
      <c r="F22" s="3107"/>
      <c r="G22" s="3107"/>
      <c r="H22" s="3107"/>
      <c r="I22" s="3107"/>
      <c r="J22" s="3107"/>
      <c r="K22" s="3107"/>
      <c r="L22" s="3107"/>
      <c r="M22" s="3107"/>
      <c r="N22" s="3107"/>
      <c r="O22" s="3107"/>
      <c r="P22" s="3107"/>
      <c r="Q22" s="3301"/>
      <c r="R22" s="346">
        <f>ROUND(S22*10000/B22,0)</f>
        <v>10000</v>
      </c>
      <c r="S22" s="287">
        <f>SUM(S24:S10000)</f>
        <v>100</v>
      </c>
    </row>
    <row r="23" spans="1:45" s="228" customFormat="1" ht="24">
      <c r="A23" s="290" t="s">
        <v>2028</v>
      </c>
      <c r="B23" s="290" t="s">
        <v>436</v>
      </c>
      <c r="C23" s="290" t="s">
        <v>1593</v>
      </c>
      <c r="D23" s="290" t="str">
        <f>B5</f>
        <v>修正项2</v>
      </c>
      <c r="E23" s="290" t="s">
        <v>1593</v>
      </c>
      <c r="F23" s="290" t="str">
        <f>B7</f>
        <v>修正项3</v>
      </c>
      <c r="G23" s="290" t="s">
        <v>1593</v>
      </c>
      <c r="H23" s="290" t="str">
        <f>B9</f>
        <v>修正项4</v>
      </c>
      <c r="I23" s="290" t="s">
        <v>1593</v>
      </c>
      <c r="J23" s="290" t="str">
        <f>B11</f>
        <v>修正项5</v>
      </c>
      <c r="K23" s="290" t="s">
        <v>1593</v>
      </c>
      <c r="L23" s="290" t="str">
        <f>B13</f>
        <v>修正项6</v>
      </c>
      <c r="M23" s="290" t="s">
        <v>1593</v>
      </c>
      <c r="N23" s="290" t="str">
        <f>B15</f>
        <v>修正项7</v>
      </c>
      <c r="O23" s="290" t="s">
        <v>1593</v>
      </c>
      <c r="P23" s="290" t="str">
        <f>B17</f>
        <v>楼层</v>
      </c>
      <c r="Q23" s="290" t="s">
        <v>1593</v>
      </c>
      <c r="R23" s="347" t="s">
        <v>2029</v>
      </c>
      <c r="S23" s="290" t="s">
        <v>2030</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2031</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8" customWidth="1"/>
    <col min="2" max="2" width="37.25" style="2908" customWidth="1"/>
    <col min="3" max="3" width="11.375" style="2908" customWidth="1"/>
    <col min="4" max="4" width="31.75" style="2908" customWidth="1"/>
    <col min="5" max="5" width="0.5" style="2908" customWidth="1"/>
    <col min="6" max="7" width="13" style="2908" customWidth="1"/>
    <col min="8" max="16384" width="9" style="2908"/>
  </cols>
  <sheetData>
    <row r="1" spans="1:5" ht="18.75">
      <c r="A1" s="2909" t="s">
        <v>94</v>
      </c>
      <c r="B1" s="2910"/>
      <c r="C1" s="2910"/>
      <c r="D1" s="2910"/>
      <c r="E1" s="2910"/>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8.75">
      <c r="A4" s="2911"/>
      <c r="B4" s="2991" t="s">
        <v>95</v>
      </c>
      <c r="C4" s="2991"/>
      <c r="D4" s="2991"/>
      <c r="E4" s="2911"/>
    </row>
    <row r="5" spans="1:5" ht="15.75">
      <c r="A5" s="2910"/>
      <c r="B5" s="2983" t="s">
        <v>96</v>
      </c>
      <c r="C5" s="2912" t="s">
        <v>97</v>
      </c>
      <c r="D5" s="2913">
        <f ca="1">结果表!H101</f>
        <v>1430</v>
      </c>
      <c r="E5" s="2910"/>
    </row>
    <row r="6" spans="1:5" ht="15.75">
      <c r="A6" s="2910"/>
      <c r="B6" s="2983"/>
      <c r="C6" s="2912" t="s">
        <v>98</v>
      </c>
      <c r="D6" s="2913" t="str">
        <f ca="1">NUMBERSTRING(INT(D5*10000),2)&amp;"元整"</f>
        <v>壹仟肆佰叁拾万元整</v>
      </c>
      <c r="E6" s="2910"/>
    </row>
    <row r="7" spans="1:5" ht="15.75">
      <c r="A7" s="2910"/>
      <c r="B7" s="2984"/>
      <c r="C7" s="2914" t="s">
        <v>99</v>
      </c>
      <c r="D7" s="2915">
        <f ca="1">结果表!H102</f>
        <v>416</v>
      </c>
      <c r="E7" s="2910"/>
    </row>
    <row r="8" spans="1:5" ht="15.75">
      <c r="A8" s="2910"/>
      <c r="B8" s="2985" t="str">
        <f>结果表!E103</f>
        <v>2.估价师知悉的法定优先受偿款</v>
      </c>
      <c r="C8" s="2916" t="s">
        <v>100</v>
      </c>
      <c r="D8" s="2915">
        <f>结果表!H103</f>
        <v>0</v>
      </c>
      <c r="E8" s="2910"/>
    </row>
    <row r="9" spans="1:5" ht="15.75">
      <c r="A9" s="2910"/>
      <c r="B9" s="2987"/>
      <c r="C9" s="2912" t="s">
        <v>98</v>
      </c>
      <c r="D9" s="2913" t="str">
        <f>NUMBERSTRING(INT(D8*10000),2)&amp;"元整"</f>
        <v>零元整</v>
      </c>
      <c r="E9" s="2910"/>
    </row>
    <row r="10" spans="1:5" ht="15">
      <c r="A10" s="2910"/>
      <c r="B10" s="2917" t="s">
        <v>101</v>
      </c>
      <c r="C10" s="2918" t="s">
        <v>102</v>
      </c>
      <c r="D10" s="2919">
        <f>结果表!H104</f>
        <v>0</v>
      </c>
      <c r="E10" s="2910"/>
    </row>
    <row r="11" spans="1:5" ht="15">
      <c r="A11" s="2910"/>
      <c r="B11" s="2917" t="s">
        <v>103</v>
      </c>
      <c r="C11" s="2918" t="s">
        <v>102</v>
      </c>
      <c r="D11" s="2919">
        <f>结果表!H105</f>
        <v>0</v>
      </c>
      <c r="E11" s="2910"/>
    </row>
    <row r="12" spans="1:5" ht="15">
      <c r="A12" s="2910"/>
      <c r="B12" s="2917" t="s">
        <v>104</v>
      </c>
      <c r="C12" s="2918" t="s">
        <v>102</v>
      </c>
      <c r="D12" s="2919">
        <f>结果表!H106</f>
        <v>0</v>
      </c>
      <c r="E12" s="2910"/>
    </row>
    <row r="13" spans="1:5" ht="15.75">
      <c r="A13" s="2910"/>
      <c r="B13" s="2982" t="str">
        <f>结果表!E107</f>
        <v>3.房地产抵押价值</v>
      </c>
      <c r="C13" s="2920" t="s">
        <v>97</v>
      </c>
      <c r="D13" s="2921">
        <f ca="1">结果表!H107</f>
        <v>1430</v>
      </c>
      <c r="E13" s="2910"/>
    </row>
    <row r="14" spans="1:5" ht="15.75">
      <c r="A14" s="2910"/>
      <c r="B14" s="2983"/>
      <c r="C14" s="2912" t="s">
        <v>98</v>
      </c>
      <c r="D14" s="2913" t="str">
        <f ca="1">NUMBERSTRING(INT(D13*10000),2)&amp;"元整"</f>
        <v>壹仟肆佰叁拾万元整</v>
      </c>
      <c r="E14" s="2910"/>
    </row>
    <row r="15" spans="1:5" ht="15">
      <c r="A15" s="2910"/>
      <c r="B15" s="2984"/>
      <c r="C15" s="2914" t="s">
        <v>99</v>
      </c>
      <c r="D15" s="2922">
        <f ca="1">结果表!H108</f>
        <v>416</v>
      </c>
      <c r="E15" s="2910"/>
    </row>
    <row r="16" spans="1:5" ht="15">
      <c r="A16" s="2910"/>
      <c r="B16" s="2985" t="str">
        <f>结果表!E109</f>
        <v>——</v>
      </c>
      <c r="C16" s="2920" t="s">
        <v>97</v>
      </c>
      <c r="D16" s="2923" t="str">
        <f>结果表!H109</f>
        <v>——</v>
      </c>
      <c r="E16" s="2910"/>
    </row>
    <row r="17" spans="1:5" ht="15.75">
      <c r="A17" s="2910"/>
      <c r="B17" s="2986"/>
      <c r="C17" s="2912" t="s">
        <v>98</v>
      </c>
      <c r="D17" s="2913" t="e">
        <f>NUMBERSTRING(INT(D16*10000),2)&amp;"元整"</f>
        <v>#VALUE!</v>
      </c>
      <c r="E17" s="2910"/>
    </row>
    <row r="18" spans="1:5" ht="15">
      <c r="A18" s="2910"/>
      <c r="B18" s="2987"/>
      <c r="C18" s="2914" t="s">
        <v>99</v>
      </c>
      <c r="D18" s="2922" t="str">
        <f>结果表!H110</f>
        <v>——</v>
      </c>
      <c r="E18" s="2910"/>
    </row>
    <row r="19" spans="1:5" ht="15.75">
      <c r="A19" s="2910"/>
      <c r="B19" s="2982" t="str">
        <f>结果表!E111</f>
        <v>——</v>
      </c>
      <c r="C19" s="2920" t="s">
        <v>97</v>
      </c>
      <c r="D19" s="2915" t="str">
        <f>结果表!H111</f>
        <v>——</v>
      </c>
      <c r="E19" s="2910"/>
    </row>
    <row r="20" spans="1:5" ht="15.75">
      <c r="A20" s="2910"/>
      <c r="B20" s="2983"/>
      <c r="C20" s="2912" t="s">
        <v>98</v>
      </c>
      <c r="D20" s="2913" t="e">
        <f>NUMBERSTRING(INT(D19*10000),2)&amp;"元整"</f>
        <v>#VALUE!</v>
      </c>
      <c r="E20" s="2910"/>
    </row>
    <row r="21" spans="1:5" ht="15">
      <c r="A21" s="2910"/>
      <c r="B21" s="2988"/>
      <c r="C21" s="2924" t="s">
        <v>99</v>
      </c>
      <c r="D21" s="2925" t="str">
        <f>结果表!H112</f>
        <v>——</v>
      </c>
      <c r="E21" s="2910"/>
    </row>
    <row r="22" spans="1:5">
      <c r="A22" s="2910"/>
      <c r="B22" s="2926" t="s">
        <v>105</v>
      </c>
      <c r="C22" s="2910"/>
      <c r="D22" s="2910"/>
      <c r="E22" s="2910"/>
    </row>
    <row r="23" spans="1:5">
      <c r="A23" s="2910"/>
      <c r="B23" s="2910"/>
      <c r="C23" s="2910"/>
      <c r="D23" s="2910"/>
      <c r="E23" s="2910"/>
    </row>
    <row r="24" spans="1:5" ht="18.75">
      <c r="A24" s="2927"/>
      <c r="B24" s="2928" t="s">
        <v>106</v>
      </c>
      <c r="C24" s="2927"/>
      <c r="D24" s="2927"/>
      <c r="E24" s="2927"/>
    </row>
    <row r="25" spans="1:5">
      <c r="A25" s="2927"/>
      <c r="B25" s="2927"/>
      <c r="C25" s="2927"/>
      <c r="D25" s="2927"/>
      <c r="E25" s="2927"/>
    </row>
    <row r="26" spans="1:5">
      <c r="A26" s="2927"/>
      <c r="B26" s="2927"/>
      <c r="C26" s="2927"/>
      <c r="D26" s="2927"/>
      <c r="E26" s="2927"/>
    </row>
    <row r="27" spans="1:5">
      <c r="A27" s="2927"/>
      <c r="B27" s="2927"/>
      <c r="C27" s="2927"/>
      <c r="D27" s="2927"/>
      <c r="E27" s="2927"/>
    </row>
    <row r="28" spans="1:5">
      <c r="A28" s="2927"/>
      <c r="B28" s="2927"/>
      <c r="C28" s="2927"/>
      <c r="D28" s="2927"/>
      <c r="E28" s="2927"/>
    </row>
    <row r="29" spans="1:5">
      <c r="A29" s="2927"/>
      <c r="B29" s="2927"/>
      <c r="C29" s="2927"/>
      <c r="D29" s="2927"/>
      <c r="E29" s="2927"/>
    </row>
    <row r="30" spans="1:5">
      <c r="A30" s="2927"/>
      <c r="B30" s="2927"/>
      <c r="C30" s="2927"/>
      <c r="D30" s="2927"/>
      <c r="E30" s="2927"/>
    </row>
    <row r="31" spans="1:5">
      <c r="A31" s="2927"/>
      <c r="B31" s="2927"/>
      <c r="C31" s="2927"/>
      <c r="D31" s="2927"/>
      <c r="E31" s="2927"/>
    </row>
    <row r="32" spans="1:5">
      <c r="A32" s="2927"/>
      <c r="B32" s="2927"/>
      <c r="C32" s="2927"/>
      <c r="D32" s="2927"/>
      <c r="E32" s="2927"/>
    </row>
    <row r="33" spans="1:5">
      <c r="A33" s="2927"/>
      <c r="B33" s="2927"/>
      <c r="C33" s="2927"/>
      <c r="D33" s="2927"/>
      <c r="E33" s="2927"/>
    </row>
    <row r="34" spans="1:5">
      <c r="A34" s="2927"/>
      <c r="B34" s="2927"/>
      <c r="C34" s="2927"/>
      <c r="D34" s="2927"/>
      <c r="E34" s="2927"/>
    </row>
    <row r="35" spans="1:5">
      <c r="A35" s="2927"/>
      <c r="B35" s="2927"/>
      <c r="C35" s="2927"/>
      <c r="D35" s="2927"/>
      <c r="E35" s="2927"/>
    </row>
    <row r="36" spans="1:5">
      <c r="A36" s="2927"/>
      <c r="B36" s="2927"/>
      <c r="C36" s="2927"/>
      <c r="D36" s="2927"/>
      <c r="E36" s="2927"/>
    </row>
    <row r="37" spans="1:5">
      <c r="A37" s="2927"/>
      <c r="B37" s="2927"/>
      <c r="C37" s="2927"/>
      <c r="D37" s="2927"/>
      <c r="E37" s="2927"/>
    </row>
    <row r="38" spans="1:5">
      <c r="A38" s="2927"/>
      <c r="B38" s="2927"/>
      <c r="C38" s="2927"/>
      <c r="D38" s="2927"/>
      <c r="E38" s="2927"/>
    </row>
    <row r="39" spans="1:5">
      <c r="A39" s="2927"/>
      <c r="B39" s="2927"/>
      <c r="C39" s="2927"/>
      <c r="D39" s="2927"/>
      <c r="E39" s="2927"/>
    </row>
    <row r="40" spans="1:5">
      <c r="A40" s="2927"/>
      <c r="B40" s="2927"/>
      <c r="C40" s="2927"/>
      <c r="D40" s="2927"/>
      <c r="E40" s="2927"/>
    </row>
    <row r="41" spans="1:5">
      <c r="A41" s="2927"/>
      <c r="B41" s="2927"/>
      <c r="C41" s="2927"/>
      <c r="D41" s="2927"/>
      <c r="E41" s="2927"/>
    </row>
    <row r="42" spans="1:5">
      <c r="A42" s="2927"/>
      <c r="B42" s="2927"/>
      <c r="C42" s="2927"/>
      <c r="D42" s="2927"/>
      <c r="E42" s="29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2032</v>
      </c>
      <c r="B1" s="141"/>
      <c r="C1" s="142"/>
      <c r="D1" s="142"/>
      <c r="E1" s="142"/>
      <c r="F1" s="142"/>
      <c r="G1" s="143"/>
    </row>
    <row r="2" spans="1:7" s="132" customFormat="1" ht="18" customHeight="1">
      <c r="A2" s="144" t="s">
        <v>2033</v>
      </c>
      <c r="B2" s="145">
        <f ca="1">C52</f>
        <v>23344</v>
      </c>
      <c r="C2" s="146" t="s">
        <v>2034</v>
      </c>
      <c r="D2" s="143"/>
      <c r="E2" s="143"/>
      <c r="F2" s="143"/>
      <c r="G2" s="143"/>
    </row>
    <row r="3" spans="1:7" s="132" customFormat="1" ht="18" customHeight="1">
      <c r="A3" s="147" t="s">
        <v>2035</v>
      </c>
      <c r="B3" s="148">
        <f ca="1">ROUND(B2*10000/'数据-汇总表'!E3,0)</f>
        <v>6793</v>
      </c>
      <c r="C3" s="146" t="s">
        <v>2036</v>
      </c>
      <c r="D3" s="143"/>
      <c r="E3" s="143"/>
      <c r="F3" s="143"/>
      <c r="G3" s="143"/>
    </row>
    <row r="4" spans="1:7" s="133" customFormat="1" ht="15.75">
      <c r="A4" s="149" t="s">
        <v>2037</v>
      </c>
      <c r="B4" s="150"/>
      <c r="C4" s="150"/>
      <c r="D4" s="150"/>
      <c r="E4" s="150"/>
      <c r="F4" s="150"/>
      <c r="G4" s="151"/>
    </row>
    <row r="5" spans="1:7" s="134" customFormat="1" ht="13.5" customHeight="1">
      <c r="A5" s="152" t="s">
        <v>1014</v>
      </c>
      <c r="B5" s="153" t="s">
        <v>2038</v>
      </c>
      <c r="C5" s="154">
        <f>C6+C7+C8</f>
        <v>20610</v>
      </c>
      <c r="D5" s="154" t="s">
        <v>2039</v>
      </c>
      <c r="E5" s="155" t="s">
        <v>2040</v>
      </c>
      <c r="F5" s="155" t="s">
        <v>2041</v>
      </c>
      <c r="G5" s="156"/>
    </row>
    <row r="6" spans="1:7" s="134" customFormat="1" ht="13.5" customHeight="1">
      <c r="A6" s="157" t="s">
        <v>1018</v>
      </c>
      <c r="B6" s="158" t="s">
        <v>2042</v>
      </c>
      <c r="C6" s="159">
        <v>20000</v>
      </c>
      <c r="D6" s="160"/>
      <c r="E6" s="161"/>
      <c r="F6" s="161"/>
      <c r="G6" s="162"/>
    </row>
    <row r="7" spans="1:7" s="134" customFormat="1" ht="13.5" customHeight="1">
      <c r="A7" s="157" t="s">
        <v>1020</v>
      </c>
      <c r="B7" s="158" t="s">
        <v>2043</v>
      </c>
      <c r="C7" s="163">
        <f>ROUND(C6*F7,0)</f>
        <v>610</v>
      </c>
      <c r="D7" s="163"/>
      <c r="E7" s="161"/>
      <c r="F7" s="164">
        <f>'数据-取费表'!B48+'数据-取费表'!B49</f>
        <v>3.0499999999999999E-2</v>
      </c>
      <c r="G7" s="162"/>
    </row>
    <row r="8" spans="1:7" s="135" customFormat="1">
      <c r="A8" s="157" t="s">
        <v>1022</v>
      </c>
      <c r="B8" s="158" t="s">
        <v>2044</v>
      </c>
      <c r="C8" s="163" t="str">
        <f>IF(G8="已包含在土地购买价格中","0",'数据-取费表'!B29)</f>
        <v>0</v>
      </c>
      <c r="D8" s="165"/>
      <c r="E8" s="163"/>
      <c r="F8" s="164"/>
      <c r="G8" s="166" t="s">
        <v>1024</v>
      </c>
    </row>
    <row r="9" spans="1:7" s="134" customFormat="1" ht="13.5" customHeight="1">
      <c r="A9" s="167" t="s">
        <v>1025</v>
      </c>
      <c r="B9" s="168" t="s">
        <v>2045</v>
      </c>
      <c r="C9" s="169">
        <f>ROUND(D9*E9/10000,0)</f>
        <v>0</v>
      </c>
      <c r="D9" s="170">
        <f>'数据-汇总表'!E5</f>
        <v>0</v>
      </c>
      <c r="E9" s="169">
        <f>'数据-取费表'!B27</f>
        <v>115</v>
      </c>
      <c r="F9" s="164"/>
      <c r="G9" s="171"/>
    </row>
    <row r="10" spans="1:7" s="134" customFormat="1" ht="13.5" customHeight="1">
      <c r="A10" s="167" t="s">
        <v>1029</v>
      </c>
      <c r="B10" s="168" t="s">
        <v>2046</v>
      </c>
      <c r="C10" s="169">
        <f>ROUND(D10*E10/10000,0)</f>
        <v>395</v>
      </c>
      <c r="D10" s="170">
        <f>'数据-汇总表'!E6</f>
        <v>34364.589999999997</v>
      </c>
      <c r="E10" s="169">
        <f>'数据-取费表'!B28</f>
        <v>115</v>
      </c>
      <c r="F10" s="164"/>
      <c r="G10" s="171"/>
    </row>
    <row r="11" spans="1:7" s="134" customFormat="1" ht="13.5" hidden="1" customHeight="1">
      <c r="A11" s="172" t="s">
        <v>1031</v>
      </c>
      <c r="B11" s="158" t="s">
        <v>2047</v>
      </c>
      <c r="C11" s="154"/>
      <c r="D11" s="173"/>
      <c r="E11" s="161"/>
      <c r="F11" s="161"/>
      <c r="G11" s="162"/>
    </row>
    <row r="12" spans="1:7" s="134" customFormat="1" ht="13.5" hidden="1" customHeight="1">
      <c r="A12" s="172" t="s">
        <v>1033</v>
      </c>
      <c r="B12" s="158" t="s">
        <v>2048</v>
      </c>
      <c r="C12" s="154">
        <v>0</v>
      </c>
      <c r="D12" s="173"/>
      <c r="E12" s="174"/>
      <c r="F12" s="164">
        <v>3.0499999999999999E-2</v>
      </c>
      <c r="G12" s="162"/>
    </row>
    <row r="13" spans="1:7" s="134" customFormat="1" ht="13.5" hidden="1" customHeight="1">
      <c r="A13" s="172" t="s">
        <v>1034</v>
      </c>
      <c r="B13" s="158" t="s">
        <v>2049</v>
      </c>
      <c r="C13" s="154"/>
      <c r="D13" s="173"/>
      <c r="E13" s="161"/>
      <c r="F13" s="161"/>
      <c r="G13" s="162"/>
    </row>
    <row r="14" spans="1:7" s="134" customFormat="1" ht="13.5" hidden="1" customHeight="1">
      <c r="A14" s="172" t="s">
        <v>1036</v>
      </c>
      <c r="B14" s="158" t="s">
        <v>2044</v>
      </c>
      <c r="C14" s="154"/>
      <c r="D14" s="173"/>
      <c r="E14" s="161"/>
      <c r="F14" s="161"/>
      <c r="G14" s="162" t="s">
        <v>2050</v>
      </c>
    </row>
    <row r="15" spans="1:7" s="134" customFormat="1" ht="13.5" hidden="1" customHeight="1">
      <c r="A15" s="172" t="s">
        <v>1038</v>
      </c>
      <c r="B15" s="158" t="s">
        <v>2051</v>
      </c>
      <c r="C15" s="163"/>
      <c r="D15" s="173"/>
      <c r="E15" s="161"/>
      <c r="F15" s="161"/>
      <c r="G15" s="162" t="s">
        <v>2052</v>
      </c>
    </row>
    <row r="16" spans="1:7" s="134" customFormat="1" ht="13.5" hidden="1" customHeight="1">
      <c r="A16" s="172" t="s">
        <v>1041</v>
      </c>
      <c r="B16" s="158" t="s">
        <v>2044</v>
      </c>
      <c r="C16" s="163"/>
      <c r="D16" s="173"/>
      <c r="E16" s="161"/>
      <c r="F16" s="161"/>
      <c r="G16" s="162"/>
    </row>
    <row r="17" spans="1:7" s="134" customFormat="1" ht="13.5" hidden="1" customHeight="1">
      <c r="A17" s="172" t="s">
        <v>1042</v>
      </c>
      <c r="B17" s="158" t="s">
        <v>2053</v>
      </c>
      <c r="C17" s="175"/>
      <c r="D17" s="176"/>
      <c r="E17" s="175"/>
      <c r="F17" s="175"/>
      <c r="G17" s="162" t="s">
        <v>2052</v>
      </c>
    </row>
    <row r="18" spans="1:7" s="134" customFormat="1" ht="13.5" hidden="1" customHeight="1">
      <c r="A18" s="172" t="s">
        <v>1044</v>
      </c>
      <c r="B18" s="158" t="s">
        <v>2054</v>
      </c>
      <c r="C18" s="163">
        <v>0</v>
      </c>
      <c r="D18" s="173"/>
      <c r="E18" s="161"/>
      <c r="F18" s="164">
        <v>3.0499999999999999E-2</v>
      </c>
      <c r="G18" s="162" t="s">
        <v>2055</v>
      </c>
    </row>
    <row r="19" spans="1:7" s="135" customFormat="1" ht="13.5" customHeight="1">
      <c r="A19" s="177" t="s">
        <v>1420</v>
      </c>
      <c r="B19" s="153" t="s">
        <v>2056</v>
      </c>
      <c r="C19" s="154">
        <f>IF(G19="已包含在土地取得成本中","0",ROUND(D19*E19/10000,0))</f>
        <v>619</v>
      </c>
      <c r="D19" s="178">
        <f>'数据-汇总表'!E3</f>
        <v>34364.589999999997</v>
      </c>
      <c r="E19" s="154">
        <f>'数据-取费表'!B31</f>
        <v>180</v>
      </c>
      <c r="F19" s="179"/>
      <c r="G19" s="166" t="s">
        <v>2057</v>
      </c>
    </row>
    <row r="20" spans="1:7" s="134" customFormat="1" ht="13.5" customHeight="1">
      <c r="A20" s="177" t="s">
        <v>2058</v>
      </c>
      <c r="B20" s="153" t="s">
        <v>2059</v>
      </c>
      <c r="C20" s="180">
        <f>ROUND((C5+C19)*F20,0)</f>
        <v>425</v>
      </c>
      <c r="D20" s="180"/>
      <c r="E20" s="180"/>
      <c r="F20" s="181">
        <f>'数据-取费表'!B37</f>
        <v>0.02</v>
      </c>
      <c r="G20" s="182" t="s">
        <v>2060</v>
      </c>
    </row>
    <row r="21" spans="1:7" s="134" customFormat="1" ht="13.5" customHeight="1">
      <c r="A21" s="177" t="s">
        <v>2061</v>
      </c>
      <c r="B21" s="153" t="s">
        <v>2062</v>
      </c>
      <c r="C21" s="183">
        <f>F21</f>
        <v>0.02</v>
      </c>
      <c r="D21" s="184" t="s">
        <v>2063</v>
      </c>
      <c r="E21" s="180"/>
      <c r="F21" s="181">
        <f>'数据-取费表'!B38</f>
        <v>0.02</v>
      </c>
      <c r="G21" s="185" t="s">
        <v>2064</v>
      </c>
    </row>
    <row r="22" spans="1:7" s="134" customFormat="1" ht="13.5" customHeight="1">
      <c r="A22" s="177" t="s">
        <v>2065</v>
      </c>
      <c r="B22" s="153" t="s">
        <v>2066</v>
      </c>
      <c r="C22" s="186">
        <f ca="1">ROUND(SUM(C23:C25),0)</f>
        <v>0</v>
      </c>
      <c r="D22" s="183">
        <f ca="1">C26</f>
        <v>0</v>
      </c>
      <c r="E22" s="184" t="s">
        <v>2063</v>
      </c>
      <c r="F22" s="187">
        <f ca="1">'数据-取费表'!B40</f>
        <v>4.7500000000000001E-2</v>
      </c>
      <c r="G22" s="182" t="str">
        <f>IF('数据-取费表'!B22&lt;=1,"单利计息","复利计息")</f>
        <v>复利计息</v>
      </c>
    </row>
    <row r="23" spans="1:7" s="134" customFormat="1" ht="13.5" customHeight="1">
      <c r="A23" s="188" t="s">
        <v>1018</v>
      </c>
      <c r="B23" s="158" t="s">
        <v>2067</v>
      </c>
      <c r="C23" s="189">
        <f ca="1">ROUND(IF('数据-取费表'!B22&lt;=1,C5*F22*'数据-取费表'!B23,C5*(POWER((1+F22),'数据-取费表'!B23)-1)),0)</f>
        <v>0</v>
      </c>
      <c r="D23" s="190"/>
      <c r="E23" s="190"/>
      <c r="F23" s="191"/>
      <c r="G23" s="192" t="s">
        <v>2068</v>
      </c>
    </row>
    <row r="24" spans="1:7" s="134" customFormat="1" ht="13.5" customHeight="1">
      <c r="A24" s="188" t="s">
        <v>1020</v>
      </c>
      <c r="B24" s="158" t="s">
        <v>2069</v>
      </c>
      <c r="C24" s="189">
        <f ca="1">ROUND(IF('数据-取费表'!B22&lt;=1,C19*F22*('数据-取费表'!B19/2+'数据-取费表'!B21),C19*(POWER((1+F22),('数据-取费表'!B19/2+'数据-取费表'!B21))-1)),0)</f>
        <v>0</v>
      </c>
      <c r="D24" s="190"/>
      <c r="E24" s="190"/>
      <c r="F24" s="191"/>
      <c r="G24" s="192" t="s">
        <v>2070</v>
      </c>
    </row>
    <row r="25" spans="1:7" s="134" customFormat="1" ht="24">
      <c r="A25" s="188" t="s">
        <v>1022</v>
      </c>
      <c r="B25" s="158" t="s">
        <v>2071</v>
      </c>
      <c r="C25" s="189">
        <f ca="1">ROUND(IF('数据-取费表'!B22&lt;=1,C20*F22*'数据-取费表'!B23/2,C20*(POWER((1+F22),'数据-取费表'!B23/2)-1)),0)</f>
        <v>0</v>
      </c>
      <c r="D25" s="190"/>
      <c r="E25" s="193"/>
      <c r="F25" s="191"/>
      <c r="G25" s="194" t="s">
        <v>2072</v>
      </c>
    </row>
    <row r="26" spans="1:7" s="134" customFormat="1">
      <c r="A26" s="188" t="s">
        <v>1065</v>
      </c>
      <c r="B26" s="158" t="s">
        <v>2073</v>
      </c>
      <c r="C26" s="190">
        <f ca="1">ROUND(IF('数据-取费表'!B22&lt;=1,F21*F22*'数据-取费表'!B23/2,F21*(POWER((1+F22),'数据-取费表'!B23/2)-1)),4)</f>
        <v>0</v>
      </c>
      <c r="D26" s="190"/>
      <c r="E26" s="193"/>
      <c r="F26" s="191"/>
      <c r="G26" s="195"/>
    </row>
    <row r="27" spans="1:7" s="134" customFormat="1" ht="24.75">
      <c r="A27" s="177" t="s">
        <v>2074</v>
      </c>
      <c r="B27" s="196" t="s">
        <v>2075</v>
      </c>
      <c r="C27" s="197">
        <f>C28</f>
        <v>0</v>
      </c>
      <c r="D27" s="183">
        <f>C29</f>
        <v>0</v>
      </c>
      <c r="E27" s="184" t="s">
        <v>2063</v>
      </c>
      <c r="F27" s="198">
        <f>'数据-取费表'!Q16</f>
        <v>0.05</v>
      </c>
      <c r="G27" s="199" t="s">
        <v>2076</v>
      </c>
    </row>
    <row r="28" spans="1:7" s="134" customFormat="1" ht="13.5" customHeight="1">
      <c r="A28" s="188" t="s">
        <v>1018</v>
      </c>
      <c r="B28" s="200" t="s">
        <v>2077</v>
      </c>
      <c r="C28" s="201">
        <f>ROUND((C5+C19+C20)*F27*'数据-取费表'!B21/'数据-取费表'!B20,0)</f>
        <v>0</v>
      </c>
      <c r="D28" s="183"/>
      <c r="E28" s="184"/>
      <c r="F28" s="198"/>
      <c r="G28" s="199"/>
    </row>
    <row r="29" spans="1:7" s="134" customFormat="1" ht="13.5" customHeight="1">
      <c r="A29" s="188" t="s">
        <v>1020</v>
      </c>
      <c r="B29" s="200" t="s">
        <v>2078</v>
      </c>
      <c r="C29" s="190">
        <f>ROUND(C21*F27*'数据-取费表'!B21/'数据-取费表'!B20,4)</f>
        <v>0</v>
      </c>
      <c r="D29" s="183"/>
      <c r="E29" s="184"/>
      <c r="F29" s="198"/>
      <c r="G29" s="199"/>
    </row>
    <row r="30" spans="1:7" s="134" customFormat="1" ht="13.5" customHeight="1">
      <c r="A30" s="177" t="s">
        <v>2079</v>
      </c>
      <c r="B30" s="153" t="s">
        <v>2080</v>
      </c>
      <c r="C30" s="183">
        <f>F30</f>
        <v>5.5E-2</v>
      </c>
      <c r="D30" s="184" t="s">
        <v>2081</v>
      </c>
      <c r="E30" s="193"/>
      <c r="F30" s="187">
        <f>'数据-取费表'!B41</f>
        <v>5.5E-2</v>
      </c>
      <c r="G30" s="185" t="s">
        <v>2082</v>
      </c>
    </row>
    <row r="31" spans="1:7" ht="16.5" customHeight="1">
      <c r="A31" s="202">
        <v>1</v>
      </c>
      <c r="B31" s="153" t="s">
        <v>2083</v>
      </c>
      <c r="C31" s="154">
        <f ca="1">ROUND((C5+C19+C20+C22+C27)/(1-C21-D22-D27-C30/(1+'数据-取费表'!B42)),0)</f>
        <v>23344</v>
      </c>
      <c r="D31" s="203"/>
      <c r="E31" s="154"/>
      <c r="F31" s="204"/>
      <c r="G31" s="185" t="s">
        <v>2084</v>
      </c>
    </row>
    <row r="32" spans="1:7" s="133" customFormat="1" ht="15.75">
      <c r="A32" s="205" t="s">
        <v>2085</v>
      </c>
      <c r="B32" s="206"/>
      <c r="C32" s="206"/>
      <c r="D32" s="206"/>
      <c r="E32" s="206"/>
      <c r="F32" s="206"/>
      <c r="G32" s="207"/>
    </row>
    <row r="33" spans="1:7" s="134" customFormat="1" ht="13.5" customHeight="1">
      <c r="A33" s="152" t="s">
        <v>1014</v>
      </c>
      <c r="B33" s="153" t="s">
        <v>2086</v>
      </c>
      <c r="C33" s="208">
        <f>SUM(C34:C38)</f>
        <v>0</v>
      </c>
      <c r="D33" s="180"/>
      <c r="E33" s="155"/>
      <c r="F33" s="193"/>
      <c r="G33" s="185"/>
    </row>
    <row r="34" spans="1:7" s="136" customFormat="1" ht="13.5" customHeight="1">
      <c r="A34" s="188" t="s">
        <v>1018</v>
      </c>
      <c r="B34" s="158" t="s">
        <v>2087</v>
      </c>
      <c r="C34" s="163">
        <f>IF(F34=100%,'数据-取费表'!M16-SUMIF('数据-取费表'!C:C,"公共配套",'数据-取费表'!M:M),'数据-取费表'!O16-SUMIF('数据-取费表'!C:C,"公共配套",'数据-取费表'!O:O))</f>
        <v>0</v>
      </c>
      <c r="D34" s="160"/>
      <c r="E34" s="163"/>
      <c r="F34" s="209">
        <f>IF('数据-取费表'!B24=0,1,'数据-取费表'!N16)</f>
        <v>0</v>
      </c>
      <c r="G34" s="162" t="s">
        <v>2088</v>
      </c>
    </row>
    <row r="35" spans="1:7" ht="13.5" customHeight="1">
      <c r="A35" s="188" t="s">
        <v>1020</v>
      </c>
      <c r="B35" s="158" t="s">
        <v>2089</v>
      </c>
      <c r="C35" s="163">
        <f>ROUND(C34*F35,0)</f>
        <v>0</v>
      </c>
      <c r="D35" s="163"/>
      <c r="E35" s="163"/>
      <c r="F35" s="210">
        <f>'数据-取费表'!B33</f>
        <v>3.5000000000000003E-2</v>
      </c>
      <c r="G35" s="162" t="s">
        <v>2090</v>
      </c>
    </row>
    <row r="36" spans="1:7" ht="24">
      <c r="A36" s="188" t="s">
        <v>1022</v>
      </c>
      <c r="B36" s="158" t="s">
        <v>2091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2092</v>
      </c>
    </row>
    <row r="37" spans="1:7" s="136" customFormat="1" ht="13.5" customHeight="1">
      <c r="A37" s="188" t="s">
        <v>1065</v>
      </c>
      <c r="B37" s="158" t="s">
        <v>2093</v>
      </c>
      <c r="C37" s="201">
        <f>ROUND(E37*D37*F34/10000,0)</f>
        <v>0</v>
      </c>
      <c r="D37" s="160">
        <f>'数据-汇总表'!E3</f>
        <v>34364.589999999997</v>
      </c>
      <c r="E37" s="201">
        <f>'数据-取费表'!B35</f>
        <v>180</v>
      </c>
      <c r="F37" s="210"/>
      <c r="G37" s="212" t="s">
        <v>2094</v>
      </c>
    </row>
    <row r="38" spans="1:7" ht="13.5" customHeight="1">
      <c r="A38" s="188" t="s">
        <v>1087</v>
      </c>
      <c r="B38" s="158" t="s">
        <v>2048</v>
      </c>
      <c r="C38" s="163">
        <f>ROUND(C34*F38,0)</f>
        <v>0</v>
      </c>
      <c r="D38" s="163"/>
      <c r="E38" s="163"/>
      <c r="F38" s="210">
        <f>'数据-取费表'!B36</f>
        <v>1.4999999999999999E-2</v>
      </c>
      <c r="G38" s="162" t="s">
        <v>2090</v>
      </c>
    </row>
    <row r="39" spans="1:7" s="134" customFormat="1" ht="13.5" customHeight="1">
      <c r="A39" s="177" t="s">
        <v>1420</v>
      </c>
      <c r="B39" s="153" t="s">
        <v>2059</v>
      </c>
      <c r="C39" s="180">
        <f>ROUND(C33*F20,0)</f>
        <v>0</v>
      </c>
      <c r="D39" s="180"/>
      <c r="E39" s="180"/>
      <c r="F39" s="181"/>
      <c r="G39" s="182" t="s">
        <v>2095</v>
      </c>
    </row>
    <row r="40" spans="1:7" s="134" customFormat="1" ht="13.5" customHeight="1">
      <c r="A40" s="177" t="s">
        <v>2058</v>
      </c>
      <c r="B40" s="153" t="s">
        <v>2062</v>
      </c>
      <c r="C40" s="213">
        <f>F21</f>
        <v>0.02</v>
      </c>
      <c r="D40" s="184" t="s">
        <v>2096</v>
      </c>
      <c r="E40" s="180"/>
      <c r="F40" s="181"/>
      <c r="G40" s="185" t="s">
        <v>2097</v>
      </c>
    </row>
    <row r="41" spans="1:7" s="134" customFormat="1" ht="13.5" customHeight="1">
      <c r="A41" s="177" t="s">
        <v>2061</v>
      </c>
      <c r="B41" s="153" t="s">
        <v>2066</v>
      </c>
      <c r="C41" s="180">
        <f ca="1">ROUND(SUM(C42:C43),0)</f>
        <v>0</v>
      </c>
      <c r="D41" s="183">
        <f ca="1">C44</f>
        <v>0</v>
      </c>
      <c r="E41" s="184" t="s">
        <v>2096</v>
      </c>
      <c r="F41" s="187"/>
      <c r="G41" s="182" t="str">
        <f>IF('数据-取费表'!B22&lt;=1,"单利计息","复利计息")</f>
        <v>复利计息</v>
      </c>
    </row>
    <row r="42" spans="1:7" ht="13.5" customHeight="1">
      <c r="A42" s="188" t="s">
        <v>1018</v>
      </c>
      <c r="B42" s="158" t="s">
        <v>2067</v>
      </c>
      <c r="C42" s="190">
        <f ca="1">ROUND(IF('数据-取费表'!B22&lt;=1,C33*F22*'数据-取费表'!B21/2,C33*(POWER((1+F22),'数据-取费表'!B21/2)-1)),0)</f>
        <v>0</v>
      </c>
      <c r="D42" s="190"/>
      <c r="E42" s="190"/>
      <c r="F42" s="191"/>
      <c r="G42" s="3210" t="s">
        <v>2098</v>
      </c>
    </row>
    <row r="43" spans="1:7" ht="13.5" customHeight="1">
      <c r="A43" s="188" t="s">
        <v>1020</v>
      </c>
      <c r="B43" s="158" t="s">
        <v>2069</v>
      </c>
      <c r="C43" s="190">
        <f ca="1">ROUND(IF('数据-取费表'!B22&lt;=1,C39*F22*'数据-取费表'!B21/2,C39*(POWER((1+F22),'数据-取费表'!B21/2)-1)),0)</f>
        <v>0</v>
      </c>
      <c r="D43" s="190"/>
      <c r="E43" s="190"/>
      <c r="F43" s="191"/>
      <c r="G43" s="3211"/>
    </row>
    <row r="44" spans="1:7" ht="13.5" customHeight="1">
      <c r="A44" s="188" t="s">
        <v>1022</v>
      </c>
      <c r="B44" s="158" t="s">
        <v>2071</v>
      </c>
      <c r="C44" s="190">
        <f ca="1">ROUND(IF('数据-取费表'!B22&lt;=1,C40*F22*'数据-取费表'!B21/2,C40*(POWER((1+F22),'数据-取费表'!B21/2)-1)),4)</f>
        <v>0</v>
      </c>
      <c r="D44" s="190"/>
      <c r="E44" s="190"/>
      <c r="F44" s="191"/>
      <c r="G44" s="3212"/>
    </row>
    <row r="45" spans="1:7" s="134" customFormat="1" ht="13.5" customHeight="1">
      <c r="A45" s="177" t="s">
        <v>2065</v>
      </c>
      <c r="B45" s="196" t="s">
        <v>2075</v>
      </c>
      <c r="C45" s="197">
        <f>C46</f>
        <v>0</v>
      </c>
      <c r="D45" s="183">
        <f>C47</f>
        <v>1E-3</v>
      </c>
      <c r="E45" s="184" t="s">
        <v>2096</v>
      </c>
      <c r="F45" s="198"/>
      <c r="G45" s="199" t="s">
        <v>2099</v>
      </c>
    </row>
    <row r="46" spans="1:7" s="134" customFormat="1" ht="13.5" customHeight="1">
      <c r="A46" s="188" t="s">
        <v>1018</v>
      </c>
      <c r="B46" s="200" t="s">
        <v>2100</v>
      </c>
      <c r="C46" s="201">
        <f>ROUND((C33+C39)*F27,0)</f>
        <v>0</v>
      </c>
      <c r="D46" s="214"/>
      <c r="E46" s="184"/>
      <c r="F46" s="198"/>
      <c r="G46" s="199"/>
    </row>
    <row r="47" spans="1:7" s="134" customFormat="1" ht="13.5" customHeight="1">
      <c r="A47" s="188" t="s">
        <v>1020</v>
      </c>
      <c r="B47" s="200" t="s">
        <v>2101</v>
      </c>
      <c r="C47" s="190">
        <f>ROUND(C40*F27,4)</f>
        <v>1E-3</v>
      </c>
      <c r="D47" s="214"/>
      <c r="E47" s="184"/>
      <c r="F47" s="198"/>
      <c r="G47" s="199"/>
    </row>
    <row r="48" spans="1:7" s="134" customFormat="1" ht="13.5" customHeight="1">
      <c r="A48" s="177" t="s">
        <v>2074</v>
      </c>
      <c r="B48" s="153" t="s">
        <v>2080</v>
      </c>
      <c r="C48" s="213">
        <f>F30</f>
        <v>5.5E-2</v>
      </c>
      <c r="D48" s="184" t="s">
        <v>2102</v>
      </c>
      <c r="E48" s="180"/>
      <c r="F48" s="187"/>
      <c r="G48" s="185" t="s">
        <v>2103</v>
      </c>
    </row>
    <row r="49" spans="1:7" ht="16.5" customHeight="1">
      <c r="A49" s="177" t="s">
        <v>2079</v>
      </c>
      <c r="B49" s="153" t="s">
        <v>2104</v>
      </c>
      <c r="C49" s="180">
        <f ca="1">ROUND((C33+C39+C41+C45)/(1-C40-D41-D45-C48/(1+'数据-取费表'!B42)),0)</f>
        <v>0</v>
      </c>
      <c r="D49" s="180"/>
      <c r="E49" s="180"/>
      <c r="F49" s="215"/>
      <c r="G49" s="185" t="s">
        <v>2105</v>
      </c>
    </row>
    <row r="50" spans="1:7" s="136" customFormat="1" ht="24">
      <c r="A50" s="177" t="s">
        <v>2106</v>
      </c>
      <c r="B50" s="153" t="s">
        <v>2107</v>
      </c>
      <c r="C50" s="180"/>
      <c r="D50" s="180"/>
      <c r="E50" s="180"/>
      <c r="F50" s="215">
        <f>IF('数据-取费表'!B24=0,'数据-取费表'!N16,1)</f>
        <v>1</v>
      </c>
      <c r="G50" s="199" t="s">
        <v>2108</v>
      </c>
    </row>
    <row r="51" spans="1:7" ht="16.5" customHeight="1">
      <c r="A51" s="177" t="s">
        <v>2109</v>
      </c>
      <c r="B51" s="153" t="s">
        <v>2110</v>
      </c>
      <c r="C51" s="180">
        <f ca="1">ROUND(C49*F50,0)</f>
        <v>0</v>
      </c>
      <c r="D51" s="180"/>
      <c r="E51" s="180"/>
      <c r="F51" s="215"/>
      <c r="G51" s="185" t="s">
        <v>2111</v>
      </c>
    </row>
    <row r="52" spans="1:7" s="133" customFormat="1" ht="15.75">
      <c r="A52" s="216" t="s">
        <v>2112</v>
      </c>
      <c r="B52" s="217"/>
      <c r="C52" s="218">
        <f ca="1">C31+C51</f>
        <v>23344</v>
      </c>
      <c r="D52" s="217"/>
      <c r="E52" s="217"/>
      <c r="F52" s="217"/>
      <c r="G52" s="219"/>
    </row>
    <row r="55" spans="1:7" ht="15">
      <c r="B55" s="220" t="s">
        <v>2113</v>
      </c>
      <c r="C55" s="221"/>
    </row>
    <row r="56" spans="1:7">
      <c r="B56" s="222" t="s">
        <v>2114</v>
      </c>
      <c r="C56" s="223">
        <f ca="1">ROUND(C51/C52,3)</f>
        <v>0</v>
      </c>
    </row>
    <row r="57" spans="1:7">
      <c r="B57" s="222" t="s">
        <v>2115</v>
      </c>
      <c r="C57" s="224">
        <f ca="1">1-C56</f>
        <v>1</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2" t="s">
        <v>2116</v>
      </c>
      <c r="B1" s="3302"/>
      <c r="C1" s="3302"/>
      <c r="D1" s="3302"/>
      <c r="E1" s="3302"/>
      <c r="F1" s="330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3" t="s">
        <v>2117</v>
      </c>
      <c r="B2" s="3303"/>
      <c r="C2" s="3303"/>
      <c r="D2" s="3303"/>
      <c r="E2" s="3303"/>
      <c r="F2" s="3303"/>
      <c r="H2" s="115" t="s">
        <v>2118</v>
      </c>
      <c r="I2" s="91" t="s">
        <v>2119</v>
      </c>
      <c r="J2" s="91" t="s">
        <v>2120</v>
      </c>
      <c r="K2" s="91" t="s">
        <v>2121</v>
      </c>
      <c r="L2" s="91" t="s">
        <v>2122</v>
      </c>
      <c r="M2" s="91" t="s">
        <v>2123</v>
      </c>
      <c r="N2" s="91" t="s">
        <v>2124</v>
      </c>
      <c r="O2" s="91" t="s">
        <v>2125</v>
      </c>
      <c r="P2" s="91" t="s">
        <v>2126</v>
      </c>
      <c r="Q2" s="91" t="s">
        <v>2127</v>
      </c>
      <c r="R2" s="91" t="s">
        <v>2128</v>
      </c>
      <c r="S2" s="91" t="s">
        <v>2129</v>
      </c>
    </row>
    <row r="3" spans="1:19" s="112" customFormat="1" ht="19.5" customHeight="1">
      <c r="A3" s="3304" t="s">
        <v>2130</v>
      </c>
      <c r="B3" s="116"/>
      <c r="C3" s="117" t="s">
        <v>1713</v>
      </c>
      <c r="D3" s="117" t="s">
        <v>1714</v>
      </c>
      <c r="E3" s="117" t="s">
        <v>1715</v>
      </c>
      <c r="F3" s="117" t="s">
        <v>464</v>
      </c>
      <c r="G3" s="118"/>
      <c r="H3" s="115" t="s">
        <v>2131</v>
      </c>
      <c r="I3" s="91" t="s">
        <v>2132</v>
      </c>
      <c r="J3" s="91" t="s">
        <v>2133</v>
      </c>
      <c r="K3" s="91" t="s">
        <v>2134</v>
      </c>
      <c r="L3" s="91" t="s">
        <v>2135</v>
      </c>
      <c r="M3" s="91" t="s">
        <v>2136</v>
      </c>
      <c r="N3" s="91" t="s">
        <v>2137</v>
      </c>
      <c r="O3" s="91" t="s">
        <v>2138</v>
      </c>
      <c r="P3" s="91" t="s">
        <v>2139</v>
      </c>
      <c r="Q3" s="91" t="s">
        <v>2140</v>
      </c>
      <c r="R3" s="91" t="s">
        <v>2141</v>
      </c>
      <c r="S3" s="91" t="s">
        <v>2142</v>
      </c>
    </row>
    <row r="4" spans="1:19" s="112" customFormat="1" ht="19.5" customHeight="1">
      <c r="A4" s="3305"/>
      <c r="B4" s="119" t="s">
        <v>2143</v>
      </c>
      <c r="C4" s="119" t="s">
        <v>2144</v>
      </c>
      <c r="D4" s="119" t="s">
        <v>2144</v>
      </c>
      <c r="E4" s="119" t="s">
        <v>2144</v>
      </c>
      <c r="F4" s="120" t="s">
        <v>2144</v>
      </c>
      <c r="G4" s="118"/>
      <c r="H4" s="115" t="s">
        <v>2145</v>
      </c>
      <c r="I4" s="91" t="s">
        <v>2146</v>
      </c>
      <c r="J4" s="91" t="s">
        <v>2147</v>
      </c>
      <c r="K4" s="91" t="s">
        <v>2148</v>
      </c>
      <c r="L4" s="91" t="s">
        <v>2149</v>
      </c>
      <c r="M4" s="91" t="s">
        <v>2150</v>
      </c>
      <c r="N4" s="91" t="s">
        <v>2151</v>
      </c>
      <c r="O4" s="91" t="s">
        <v>2152</v>
      </c>
      <c r="P4" s="91" t="s">
        <v>2153</v>
      </c>
      <c r="Q4" s="91" t="s">
        <v>2154</v>
      </c>
      <c r="R4" s="91" t="s">
        <v>2155</v>
      </c>
      <c r="S4" s="91" t="s">
        <v>2156</v>
      </c>
    </row>
    <row r="5" spans="1:19" ht="14.25" customHeight="1">
      <c r="A5" s="87" t="s">
        <v>232</v>
      </c>
      <c r="B5" s="88" t="s">
        <v>2118</v>
      </c>
      <c r="C5" s="88">
        <v>29530</v>
      </c>
      <c r="D5" s="88">
        <v>28130</v>
      </c>
      <c r="E5" s="88">
        <v>27930</v>
      </c>
      <c r="F5" s="121">
        <v>11300</v>
      </c>
      <c r="G5" s="118"/>
      <c r="H5" s="115" t="s">
        <v>2157</v>
      </c>
      <c r="I5" s="91" t="s">
        <v>2158</v>
      </c>
      <c r="J5" s="91" t="s">
        <v>2159</v>
      </c>
      <c r="K5" s="91" t="s">
        <v>2160</v>
      </c>
      <c r="L5" s="91" t="s">
        <v>2161</v>
      </c>
      <c r="M5" s="91" t="s">
        <v>2162</v>
      </c>
      <c r="N5" s="91" t="s">
        <v>2163</v>
      </c>
      <c r="O5" s="91" t="s">
        <v>2164</v>
      </c>
      <c r="P5" s="91" t="s">
        <v>2165</v>
      </c>
      <c r="Q5" s="91" t="s">
        <v>2166</v>
      </c>
      <c r="R5" s="91" t="s">
        <v>2167</v>
      </c>
      <c r="S5" s="91" t="s">
        <v>2168</v>
      </c>
    </row>
    <row r="6" spans="1:19" ht="14.25" customHeight="1">
      <c r="A6" s="87" t="s">
        <v>232</v>
      </c>
      <c r="B6" s="91" t="s">
        <v>2131</v>
      </c>
      <c r="C6" s="91">
        <v>30290</v>
      </c>
      <c r="D6" s="91">
        <v>29210</v>
      </c>
      <c r="E6" s="91">
        <v>28860</v>
      </c>
      <c r="F6" s="122">
        <v>12600</v>
      </c>
      <c r="G6" s="118"/>
      <c r="H6" s="115" t="s">
        <v>2169</v>
      </c>
      <c r="I6" s="91" t="s">
        <v>2170</v>
      </c>
      <c r="J6" s="91" t="s">
        <v>2171</v>
      </c>
      <c r="K6" s="91" t="s">
        <v>2172</v>
      </c>
      <c r="L6" s="91" t="s">
        <v>2173</v>
      </c>
      <c r="M6" s="91" t="s">
        <v>2174</v>
      </c>
      <c r="N6" s="91" t="s">
        <v>2175</v>
      </c>
      <c r="O6" s="91" t="s">
        <v>2176</v>
      </c>
      <c r="P6" s="91" t="s">
        <v>2177</v>
      </c>
      <c r="Q6" s="91" t="s">
        <v>2178</v>
      </c>
      <c r="R6" s="91" t="s">
        <v>2179</v>
      </c>
      <c r="S6" s="91" t="s">
        <v>2180</v>
      </c>
    </row>
    <row r="7" spans="1:19" ht="14.25" customHeight="1">
      <c r="A7" s="87" t="s">
        <v>232</v>
      </c>
      <c r="B7" s="94" t="s">
        <v>2145</v>
      </c>
      <c r="C7" s="91">
        <v>29350</v>
      </c>
      <c r="D7" s="91">
        <v>28410</v>
      </c>
      <c r="E7" s="91">
        <v>27990</v>
      </c>
      <c r="F7" s="122">
        <v>12300</v>
      </c>
      <c r="G7" s="118"/>
      <c r="I7" s="91" t="s">
        <v>2181</v>
      </c>
      <c r="J7" s="91" t="s">
        <v>2182</v>
      </c>
      <c r="K7" s="91" t="s">
        <v>2183</v>
      </c>
      <c r="L7" s="91" t="s">
        <v>2184</v>
      </c>
      <c r="M7" s="91" t="s">
        <v>2185</v>
      </c>
      <c r="N7" s="91" t="s">
        <v>2186</v>
      </c>
      <c r="O7" s="91" t="s">
        <v>2187</v>
      </c>
      <c r="P7" s="91" t="s">
        <v>2188</v>
      </c>
      <c r="Q7" s="91" t="s">
        <v>2189</v>
      </c>
      <c r="R7" s="91" t="s">
        <v>2190</v>
      </c>
      <c r="S7" s="94" t="s">
        <v>2191</v>
      </c>
    </row>
    <row r="8" spans="1:19" ht="14.25" customHeight="1">
      <c r="A8" s="87" t="s">
        <v>232</v>
      </c>
      <c r="B8" s="91" t="s">
        <v>2157</v>
      </c>
      <c r="C8" s="91">
        <v>30890</v>
      </c>
      <c r="D8" s="91">
        <v>29780</v>
      </c>
      <c r="E8" s="91">
        <v>29270</v>
      </c>
      <c r="F8" s="122">
        <v>11600</v>
      </c>
      <c r="G8" s="118"/>
      <c r="I8" s="91" t="s">
        <v>2192</v>
      </c>
      <c r="J8" s="91" t="s">
        <v>2193</v>
      </c>
      <c r="K8" s="91" t="s">
        <v>2194</v>
      </c>
      <c r="L8" s="91" t="s">
        <v>2195</v>
      </c>
      <c r="M8" s="91" t="s">
        <v>2196</v>
      </c>
      <c r="N8" s="91" t="s">
        <v>2197</v>
      </c>
      <c r="O8" s="91" t="s">
        <v>2198</v>
      </c>
      <c r="P8" s="91" t="s">
        <v>2199</v>
      </c>
      <c r="Q8" s="91" t="s">
        <v>2200</v>
      </c>
      <c r="R8" s="91" t="s">
        <v>2201</v>
      </c>
      <c r="S8" s="91" t="s">
        <v>2202</v>
      </c>
    </row>
    <row r="9" spans="1:19" ht="14.25" customHeight="1">
      <c r="A9" s="87" t="s">
        <v>232</v>
      </c>
      <c r="B9" s="96" t="s">
        <v>2169</v>
      </c>
      <c r="C9" s="102">
        <v>28140</v>
      </c>
      <c r="D9" s="102"/>
      <c r="E9" s="102"/>
      <c r="F9" s="123"/>
      <c r="G9" s="118"/>
      <c r="I9" s="91" t="s">
        <v>2203</v>
      </c>
      <c r="J9" s="91" t="s">
        <v>2204</v>
      </c>
      <c r="K9" s="91" t="s">
        <v>2205</v>
      </c>
      <c r="L9" s="91" t="s">
        <v>2206</v>
      </c>
      <c r="M9" s="91" t="s">
        <v>2207</v>
      </c>
      <c r="N9" s="91" t="s">
        <v>2208</v>
      </c>
      <c r="O9" s="91" t="s">
        <v>2209</v>
      </c>
      <c r="P9" s="91" t="s">
        <v>2210</v>
      </c>
      <c r="Q9" s="91" t="s">
        <v>2211</v>
      </c>
      <c r="R9" s="91" t="s">
        <v>2212</v>
      </c>
    </row>
    <row r="10" spans="1:19" ht="14.25" customHeight="1">
      <c r="A10" s="87" t="s">
        <v>243</v>
      </c>
      <c r="B10" s="88" t="s">
        <v>2119</v>
      </c>
      <c r="C10" s="88">
        <v>27450</v>
      </c>
      <c r="D10" s="88">
        <v>26180</v>
      </c>
      <c r="E10" s="88">
        <v>25980</v>
      </c>
      <c r="F10" s="121">
        <v>8910</v>
      </c>
      <c r="G10" s="118"/>
      <c r="I10" s="91" t="s">
        <v>2213</v>
      </c>
      <c r="J10" s="91" t="s">
        <v>2214</v>
      </c>
      <c r="K10" s="91" t="s">
        <v>2215</v>
      </c>
      <c r="L10" s="91" t="s">
        <v>2216</v>
      </c>
      <c r="M10" s="91" t="s">
        <v>2217</v>
      </c>
      <c r="N10" s="91" t="s">
        <v>2218</v>
      </c>
      <c r="O10" s="91" t="s">
        <v>2219</v>
      </c>
      <c r="P10" s="91" t="s">
        <v>2220</v>
      </c>
      <c r="Q10" s="91" t="s">
        <v>2221</v>
      </c>
      <c r="R10" s="91" t="s">
        <v>2222</v>
      </c>
    </row>
    <row r="11" spans="1:19" ht="14.25" customHeight="1">
      <c r="A11" s="87" t="s">
        <v>243</v>
      </c>
      <c r="B11" s="94" t="s">
        <v>2132</v>
      </c>
      <c r="C11" s="91">
        <v>22950</v>
      </c>
      <c r="D11" s="91">
        <v>22630</v>
      </c>
      <c r="E11" s="91">
        <v>22030</v>
      </c>
      <c r="F11" s="124">
        <v>8330</v>
      </c>
      <c r="G11" s="118"/>
      <c r="I11" s="91" t="s">
        <v>2223</v>
      </c>
      <c r="J11" s="91" t="s">
        <v>2224</v>
      </c>
      <c r="K11" s="91" t="s">
        <v>2225</v>
      </c>
      <c r="L11" s="91" t="s">
        <v>2226</v>
      </c>
      <c r="M11" s="91" t="s">
        <v>2227</v>
      </c>
      <c r="N11" s="91" t="s">
        <v>2228</v>
      </c>
      <c r="O11" s="91" t="s">
        <v>2229</v>
      </c>
      <c r="P11" s="91" t="s">
        <v>2230</v>
      </c>
      <c r="Q11" s="91" t="s">
        <v>2231</v>
      </c>
      <c r="R11" s="91" t="s">
        <v>2232</v>
      </c>
    </row>
    <row r="12" spans="1:19" ht="14.25" customHeight="1">
      <c r="A12" s="87" t="s">
        <v>243</v>
      </c>
      <c r="B12" s="94" t="s">
        <v>2146</v>
      </c>
      <c r="C12" s="91">
        <v>24940</v>
      </c>
      <c r="D12" s="91">
        <v>23180</v>
      </c>
      <c r="E12" s="91">
        <v>22910</v>
      </c>
      <c r="F12" s="124">
        <v>7180</v>
      </c>
      <c r="G12" s="118"/>
      <c r="I12" s="91" t="s">
        <v>2233</v>
      </c>
      <c r="J12" s="91" t="s">
        <v>2234</v>
      </c>
      <c r="K12" s="91" t="s">
        <v>2235</v>
      </c>
      <c r="L12" s="91" t="s">
        <v>2236</v>
      </c>
      <c r="M12" s="91" t="s">
        <v>2237</v>
      </c>
      <c r="N12" s="91" t="s">
        <v>2238</v>
      </c>
      <c r="O12" s="91" t="s">
        <v>2239</v>
      </c>
      <c r="P12" s="91" t="s">
        <v>2240</v>
      </c>
      <c r="Q12" s="91" t="s">
        <v>2241</v>
      </c>
      <c r="R12" s="91" t="s">
        <v>2242</v>
      </c>
    </row>
    <row r="13" spans="1:19" ht="14.25" customHeight="1">
      <c r="A13" s="87" t="s">
        <v>243</v>
      </c>
      <c r="B13" s="94" t="s">
        <v>2158</v>
      </c>
      <c r="C13" s="91">
        <v>24140</v>
      </c>
      <c r="D13" s="91">
        <v>22270</v>
      </c>
      <c r="E13" s="91">
        <v>21950</v>
      </c>
      <c r="F13" s="124">
        <v>7600</v>
      </c>
      <c r="G13" s="118"/>
      <c r="I13" s="91" t="s">
        <v>2243</v>
      </c>
      <c r="J13" s="91" t="s">
        <v>2244</v>
      </c>
      <c r="K13" s="91" t="s">
        <v>2245</v>
      </c>
      <c r="L13" s="91" t="s">
        <v>2246</v>
      </c>
      <c r="M13" s="91" t="s">
        <v>2247</v>
      </c>
      <c r="N13" s="91" t="s">
        <v>2248</v>
      </c>
      <c r="O13" s="91" t="s">
        <v>2249</v>
      </c>
      <c r="P13" s="91" t="s">
        <v>2250</v>
      </c>
      <c r="Q13" s="91" t="s">
        <v>2251</v>
      </c>
      <c r="R13" s="91" t="s">
        <v>2252</v>
      </c>
    </row>
    <row r="14" spans="1:19" ht="14.25" customHeight="1">
      <c r="A14" s="87" t="s">
        <v>243</v>
      </c>
      <c r="B14" s="94" t="s">
        <v>2170</v>
      </c>
      <c r="C14" s="91">
        <v>25600</v>
      </c>
      <c r="D14" s="91">
        <v>22260</v>
      </c>
      <c r="E14" s="91">
        <v>22110</v>
      </c>
      <c r="F14" s="124">
        <v>7630</v>
      </c>
      <c r="G14" s="118"/>
      <c r="I14" s="91" t="s">
        <v>2253</v>
      </c>
      <c r="J14" s="91" t="s">
        <v>2254</v>
      </c>
      <c r="K14" s="91" t="s">
        <v>2255</v>
      </c>
      <c r="L14" s="91" t="s">
        <v>2256</v>
      </c>
      <c r="M14" s="91" t="s">
        <v>2257</v>
      </c>
      <c r="N14" s="91" t="s">
        <v>2258</v>
      </c>
      <c r="O14" s="91" t="s">
        <v>2259</v>
      </c>
      <c r="P14" s="91" t="s">
        <v>2260</v>
      </c>
      <c r="Q14" s="91" t="s">
        <v>2261</v>
      </c>
      <c r="R14" s="91" t="s">
        <v>2262</v>
      </c>
    </row>
    <row r="15" spans="1:19" ht="14.25" customHeight="1">
      <c r="A15" s="87" t="s">
        <v>243</v>
      </c>
      <c r="B15" s="94" t="s">
        <v>2181</v>
      </c>
      <c r="C15" s="91">
        <v>24760</v>
      </c>
      <c r="D15" s="91">
        <v>24440</v>
      </c>
      <c r="E15" s="91">
        <v>24130</v>
      </c>
      <c r="F15" s="124">
        <v>9480</v>
      </c>
      <c r="G15" s="118"/>
      <c r="I15" s="91" t="s">
        <v>2263</v>
      </c>
      <c r="J15" s="91" t="s">
        <v>2264</v>
      </c>
      <c r="K15" s="91" t="s">
        <v>2265</v>
      </c>
      <c r="L15" s="91" t="s">
        <v>2266</v>
      </c>
      <c r="M15" s="91" t="s">
        <v>2267</v>
      </c>
      <c r="N15" s="91" t="s">
        <v>2268</v>
      </c>
      <c r="O15" s="91" t="s">
        <v>2269</v>
      </c>
      <c r="P15" s="91" t="s">
        <v>2270</v>
      </c>
      <c r="Q15" s="91" t="s">
        <v>2271</v>
      </c>
      <c r="R15" s="91" t="s">
        <v>2272</v>
      </c>
    </row>
    <row r="16" spans="1:19" ht="14.25" customHeight="1">
      <c r="A16" s="87" t="s">
        <v>243</v>
      </c>
      <c r="B16" s="94" t="s">
        <v>2192</v>
      </c>
      <c r="C16" s="91">
        <v>22220</v>
      </c>
      <c r="D16" s="91">
        <v>22310</v>
      </c>
      <c r="E16" s="91">
        <v>22000</v>
      </c>
      <c r="F16" s="124">
        <v>8900</v>
      </c>
      <c r="G16" s="118"/>
      <c r="I16" s="91" t="s">
        <v>2273</v>
      </c>
      <c r="J16" s="91" t="s">
        <v>2274</v>
      </c>
      <c r="K16" s="91" t="s">
        <v>2275</v>
      </c>
      <c r="L16" s="91" t="s">
        <v>2276</v>
      </c>
      <c r="M16" s="91" t="s">
        <v>2277</v>
      </c>
      <c r="N16" s="91" t="s">
        <v>2278</v>
      </c>
      <c r="O16" s="91" t="s">
        <v>2279</v>
      </c>
      <c r="P16" s="91" t="s">
        <v>2280</v>
      </c>
      <c r="Q16" s="91" t="s">
        <v>2281</v>
      </c>
      <c r="R16" s="91" t="s">
        <v>2282</v>
      </c>
    </row>
    <row r="17" spans="1:18" ht="14.25" customHeight="1">
      <c r="A17" s="87" t="s">
        <v>243</v>
      </c>
      <c r="B17" s="94" t="s">
        <v>2203</v>
      </c>
      <c r="C17" s="91">
        <v>24700</v>
      </c>
      <c r="D17" s="91">
        <v>25150</v>
      </c>
      <c r="E17" s="91">
        <v>24700</v>
      </c>
      <c r="F17" s="125"/>
      <c r="G17" s="118"/>
      <c r="I17" s="91" t="s">
        <v>2283</v>
      </c>
      <c r="J17" s="91" t="s">
        <v>2284</v>
      </c>
      <c r="K17" s="91" t="s">
        <v>2285</v>
      </c>
      <c r="L17" s="91" t="s">
        <v>2286</v>
      </c>
      <c r="M17" s="91" t="s">
        <v>2287</v>
      </c>
      <c r="N17" s="91" t="s">
        <v>2288</v>
      </c>
      <c r="O17" s="91" t="s">
        <v>2289</v>
      </c>
      <c r="P17" s="91" t="s">
        <v>2290</v>
      </c>
      <c r="Q17" s="91" t="s">
        <v>2291</v>
      </c>
      <c r="R17" s="91" t="s">
        <v>2292</v>
      </c>
    </row>
    <row r="18" spans="1:18" ht="14.25" customHeight="1">
      <c r="A18" s="87" t="s">
        <v>243</v>
      </c>
      <c r="B18" s="94" t="s">
        <v>2213</v>
      </c>
      <c r="C18" s="91">
        <v>22350</v>
      </c>
      <c r="D18" s="91">
        <v>24340</v>
      </c>
      <c r="E18" s="91">
        <v>24100</v>
      </c>
      <c r="F18" s="125"/>
      <c r="G18" s="118"/>
      <c r="I18" s="91" t="s">
        <v>2293</v>
      </c>
      <c r="J18" s="91" t="s">
        <v>2294</v>
      </c>
      <c r="K18" s="91" t="s">
        <v>2295</v>
      </c>
      <c r="L18" s="91" t="s">
        <v>2296</v>
      </c>
      <c r="M18" s="91" t="s">
        <v>2297</v>
      </c>
      <c r="N18" s="91" t="s">
        <v>2298</v>
      </c>
      <c r="O18" s="91" t="s">
        <v>2299</v>
      </c>
      <c r="P18" s="91" t="s">
        <v>2300</v>
      </c>
      <c r="Q18" s="91" t="s">
        <v>2301</v>
      </c>
      <c r="R18" s="91" t="s">
        <v>2302</v>
      </c>
    </row>
    <row r="19" spans="1:18" ht="14.25" customHeight="1">
      <c r="A19" s="87" t="s">
        <v>243</v>
      </c>
      <c r="B19" s="94" t="s">
        <v>2223</v>
      </c>
      <c r="C19" s="91">
        <v>23430</v>
      </c>
      <c r="D19" s="91">
        <v>21580</v>
      </c>
      <c r="E19" s="91">
        <v>21350</v>
      </c>
      <c r="F19" s="125"/>
      <c r="G19" s="118"/>
      <c r="I19" s="91" t="s">
        <v>2303</v>
      </c>
      <c r="J19" s="91" t="s">
        <v>2304</v>
      </c>
      <c r="K19" s="91" t="s">
        <v>2305</v>
      </c>
      <c r="L19" s="91" t="s">
        <v>2306</v>
      </c>
      <c r="M19" s="91" t="s">
        <v>2307</v>
      </c>
      <c r="N19" s="91" t="s">
        <v>2308</v>
      </c>
      <c r="O19" s="91" t="s">
        <v>2309</v>
      </c>
      <c r="P19" s="91" t="s">
        <v>2310</v>
      </c>
      <c r="Q19" s="91" t="s">
        <v>2311</v>
      </c>
      <c r="R19" s="91" t="s">
        <v>2312</v>
      </c>
    </row>
    <row r="20" spans="1:18" ht="14.25" customHeight="1">
      <c r="A20" s="87" t="s">
        <v>243</v>
      </c>
      <c r="B20" s="94" t="s">
        <v>2233</v>
      </c>
      <c r="C20" s="91">
        <v>27660</v>
      </c>
      <c r="D20" s="91">
        <v>24240</v>
      </c>
      <c r="E20" s="91">
        <v>24020</v>
      </c>
      <c r="F20" s="125"/>
      <c r="I20" s="91" t="s">
        <v>2313</v>
      </c>
      <c r="J20" s="91" t="s">
        <v>2314</v>
      </c>
      <c r="K20" s="91" t="s">
        <v>2315</v>
      </c>
      <c r="L20" s="91" t="s">
        <v>2316</v>
      </c>
      <c r="M20" s="91" t="s">
        <v>2317</v>
      </c>
      <c r="N20" s="91" t="s">
        <v>2318</v>
      </c>
      <c r="O20" s="91" t="s">
        <v>2319</v>
      </c>
      <c r="P20" s="91" t="s">
        <v>2320</v>
      </c>
      <c r="Q20" s="91" t="s">
        <v>2321</v>
      </c>
      <c r="R20" s="91" t="s">
        <v>2322</v>
      </c>
    </row>
    <row r="21" spans="1:18" ht="14.25" customHeight="1">
      <c r="A21" s="87" t="s">
        <v>243</v>
      </c>
      <c r="B21" s="94" t="s">
        <v>2243</v>
      </c>
      <c r="C21" s="91">
        <v>24720</v>
      </c>
      <c r="D21" s="91">
        <v>21670</v>
      </c>
      <c r="E21" s="91">
        <v>21510</v>
      </c>
      <c r="F21" s="125"/>
      <c r="J21" s="91" t="s">
        <v>2323</v>
      </c>
      <c r="K21" s="91" t="s">
        <v>2324</v>
      </c>
      <c r="L21" s="91" t="s">
        <v>2325</v>
      </c>
      <c r="M21" s="91" t="s">
        <v>2326</v>
      </c>
      <c r="N21" s="91" t="s">
        <v>2327</v>
      </c>
      <c r="O21" s="91" t="s">
        <v>2328</v>
      </c>
      <c r="P21" s="91" t="s">
        <v>2329</v>
      </c>
      <c r="Q21" s="91" t="s">
        <v>2330</v>
      </c>
      <c r="R21" s="91" t="s">
        <v>2331</v>
      </c>
    </row>
    <row r="22" spans="1:18" ht="14.25" customHeight="1">
      <c r="A22" s="87" t="s">
        <v>243</v>
      </c>
      <c r="B22" s="94" t="s">
        <v>2253</v>
      </c>
      <c r="C22" s="91">
        <v>26530</v>
      </c>
      <c r="D22" s="91">
        <v>22980</v>
      </c>
      <c r="E22" s="91">
        <v>22650</v>
      </c>
      <c r="F22" s="125"/>
      <c r="K22" s="91" t="s">
        <v>2332</v>
      </c>
      <c r="L22" s="91" t="s">
        <v>2333</v>
      </c>
      <c r="M22" s="91" t="s">
        <v>2334</v>
      </c>
      <c r="N22" s="91" t="s">
        <v>2335</v>
      </c>
      <c r="O22" s="91" t="s">
        <v>2336</v>
      </c>
      <c r="P22" s="91" t="s">
        <v>2337</v>
      </c>
      <c r="Q22" s="91" t="s">
        <v>2338</v>
      </c>
      <c r="R22" s="94" t="s">
        <v>2339</v>
      </c>
    </row>
    <row r="23" spans="1:18" ht="14.25" customHeight="1">
      <c r="A23" s="87" t="s">
        <v>243</v>
      </c>
      <c r="B23" s="94" t="s">
        <v>2263</v>
      </c>
      <c r="C23" s="91">
        <v>24700</v>
      </c>
      <c r="D23" s="91">
        <v>27290</v>
      </c>
      <c r="E23" s="91">
        <v>26710</v>
      </c>
      <c r="F23" s="125"/>
      <c r="K23" s="91" t="s">
        <v>2340</v>
      </c>
      <c r="L23" s="91" t="s">
        <v>2341</v>
      </c>
      <c r="M23" s="91" t="s">
        <v>2342</v>
      </c>
      <c r="N23" s="91" t="s">
        <v>2343</v>
      </c>
      <c r="O23" s="91" t="s">
        <v>2344</v>
      </c>
      <c r="P23" s="91" t="s">
        <v>2345</v>
      </c>
      <c r="Q23" s="91" t="s">
        <v>2346</v>
      </c>
    </row>
    <row r="24" spans="1:18" ht="14.25" customHeight="1">
      <c r="A24" s="87" t="s">
        <v>243</v>
      </c>
      <c r="B24" s="94" t="s">
        <v>2273</v>
      </c>
      <c r="C24" s="91">
        <v>23070</v>
      </c>
      <c r="D24" s="91">
        <v>24130</v>
      </c>
      <c r="E24" s="91">
        <v>23860</v>
      </c>
      <c r="F24" s="125"/>
      <c r="K24" s="91" t="s">
        <v>2347</v>
      </c>
      <c r="L24" s="91" t="s">
        <v>2348</v>
      </c>
      <c r="M24" s="91" t="s">
        <v>2349</v>
      </c>
      <c r="N24" s="91" t="s">
        <v>2350</v>
      </c>
      <c r="O24" s="91" t="s">
        <v>2351</v>
      </c>
      <c r="P24" s="91" t="s">
        <v>2352</v>
      </c>
      <c r="Q24" s="91" t="s">
        <v>2353</v>
      </c>
    </row>
    <row r="25" spans="1:18" ht="14.25" customHeight="1">
      <c r="A25" s="87" t="s">
        <v>243</v>
      </c>
      <c r="B25" s="94" t="s">
        <v>2283</v>
      </c>
      <c r="C25" s="91">
        <v>27550</v>
      </c>
      <c r="D25" s="91">
        <v>25850</v>
      </c>
      <c r="E25" s="91">
        <v>25340</v>
      </c>
      <c r="F25" s="125"/>
      <c r="K25" s="91" t="s">
        <v>2354</v>
      </c>
      <c r="L25" s="91" t="s">
        <v>2355</v>
      </c>
      <c r="M25" s="91" t="s">
        <v>2356</v>
      </c>
      <c r="N25" s="91" t="s">
        <v>2357</v>
      </c>
      <c r="O25" s="91" t="s">
        <v>2358</v>
      </c>
      <c r="P25" s="91" t="s">
        <v>2359</v>
      </c>
      <c r="Q25" s="91" t="s">
        <v>2360</v>
      </c>
    </row>
    <row r="26" spans="1:18" ht="14.25" customHeight="1">
      <c r="A26" s="87" t="s">
        <v>243</v>
      </c>
      <c r="B26" s="94" t="s">
        <v>2293</v>
      </c>
      <c r="C26" s="91"/>
      <c r="D26" s="91">
        <v>23900</v>
      </c>
      <c r="E26" s="91">
        <v>23590</v>
      </c>
      <c r="F26" s="125"/>
      <c r="K26" s="91" t="s">
        <v>2361</v>
      </c>
      <c r="L26" s="91" t="s">
        <v>2362</v>
      </c>
      <c r="M26" s="91" t="s">
        <v>2363</v>
      </c>
      <c r="N26" s="91" t="s">
        <v>2364</v>
      </c>
      <c r="O26" s="91" t="s">
        <v>2365</v>
      </c>
      <c r="P26" s="91" t="s">
        <v>2366</v>
      </c>
      <c r="Q26" s="91" t="s">
        <v>2367</v>
      </c>
    </row>
    <row r="27" spans="1:18" ht="14.25" customHeight="1">
      <c r="A27" s="87" t="s">
        <v>243</v>
      </c>
      <c r="B27" s="94" t="s">
        <v>2303</v>
      </c>
      <c r="C27" s="91"/>
      <c r="D27" s="91">
        <v>22850</v>
      </c>
      <c r="E27" s="91">
        <v>21920</v>
      </c>
      <c r="F27" s="125"/>
      <c r="K27" s="91" t="s">
        <v>2368</v>
      </c>
      <c r="L27" s="91" t="s">
        <v>2369</v>
      </c>
      <c r="M27" s="91" t="s">
        <v>2370</v>
      </c>
      <c r="N27" s="91" t="s">
        <v>2371</v>
      </c>
      <c r="O27" s="91" t="s">
        <v>2372</v>
      </c>
      <c r="P27" s="91" t="s">
        <v>2373</v>
      </c>
      <c r="Q27" s="91" t="s">
        <v>2374</v>
      </c>
    </row>
    <row r="28" spans="1:18" ht="14.25" customHeight="1">
      <c r="A28" s="95" t="s">
        <v>243</v>
      </c>
      <c r="B28" s="96" t="s">
        <v>2313</v>
      </c>
      <c r="C28" s="102"/>
      <c r="D28" s="102">
        <v>26610</v>
      </c>
      <c r="E28" s="102">
        <v>26370</v>
      </c>
      <c r="F28" s="123"/>
      <c r="K28" s="91" t="s">
        <v>2375</v>
      </c>
      <c r="L28" s="91" t="s">
        <v>2376</v>
      </c>
      <c r="M28" s="91" t="s">
        <v>2377</v>
      </c>
      <c r="N28" s="91" t="s">
        <v>2378</v>
      </c>
      <c r="O28" s="91" t="s">
        <v>2379</v>
      </c>
      <c r="P28" s="91" t="s">
        <v>2380</v>
      </c>
    </row>
    <row r="29" spans="1:18" ht="14.25" customHeight="1">
      <c r="A29" s="87" t="s">
        <v>253</v>
      </c>
      <c r="B29" s="88" t="s">
        <v>2120</v>
      </c>
      <c r="C29" s="88">
        <v>22090</v>
      </c>
      <c r="D29" s="88">
        <v>21860</v>
      </c>
      <c r="E29" s="88">
        <v>19380</v>
      </c>
      <c r="F29" s="121">
        <v>6610</v>
      </c>
      <c r="L29" s="91" t="s">
        <v>2381</v>
      </c>
      <c r="M29" s="91" t="s">
        <v>2382</v>
      </c>
      <c r="N29" s="91" t="s">
        <v>2383</v>
      </c>
      <c r="O29" s="91" t="s">
        <v>2384</v>
      </c>
      <c r="P29" s="91" t="s">
        <v>2385</v>
      </c>
    </row>
    <row r="30" spans="1:18" ht="14.25" customHeight="1">
      <c r="A30" s="87" t="s">
        <v>253</v>
      </c>
      <c r="B30" s="94" t="s">
        <v>2133</v>
      </c>
      <c r="C30" s="91">
        <v>21380</v>
      </c>
      <c r="D30" s="91">
        <v>19930</v>
      </c>
      <c r="E30" s="91">
        <v>19860</v>
      </c>
      <c r="F30" s="124">
        <v>6010</v>
      </c>
      <c r="L30" s="91" t="s">
        <v>2386</v>
      </c>
      <c r="M30" s="91" t="s">
        <v>2387</v>
      </c>
      <c r="N30" s="91" t="s">
        <v>2388</v>
      </c>
      <c r="O30" s="91" t="s">
        <v>2389</v>
      </c>
      <c r="P30" s="91" t="s">
        <v>2390</v>
      </c>
    </row>
    <row r="31" spans="1:18" ht="14.25" customHeight="1">
      <c r="A31" s="87" t="s">
        <v>253</v>
      </c>
      <c r="B31" s="94" t="s">
        <v>2147</v>
      </c>
      <c r="C31" s="91">
        <v>21670</v>
      </c>
      <c r="D31" s="91">
        <v>20660</v>
      </c>
      <c r="E31" s="91">
        <v>20290</v>
      </c>
      <c r="F31" s="124">
        <v>5840</v>
      </c>
      <c r="L31" s="91" t="s">
        <v>2391</v>
      </c>
      <c r="M31" s="91" t="s">
        <v>2392</v>
      </c>
      <c r="N31" s="91" t="s">
        <v>2393</v>
      </c>
      <c r="O31" s="91" t="s">
        <v>2394</v>
      </c>
      <c r="P31" s="91" t="s">
        <v>2395</v>
      </c>
    </row>
    <row r="32" spans="1:18" ht="14.25" customHeight="1">
      <c r="A32" s="87" t="s">
        <v>253</v>
      </c>
      <c r="B32" s="94" t="s">
        <v>2159</v>
      </c>
      <c r="C32" s="91">
        <v>22280</v>
      </c>
      <c r="D32" s="91">
        <v>21800</v>
      </c>
      <c r="E32" s="91">
        <v>17650</v>
      </c>
      <c r="F32" s="124">
        <v>4690</v>
      </c>
      <c r="L32" s="91" t="s">
        <v>2396</v>
      </c>
      <c r="M32" s="91" t="s">
        <v>2397</v>
      </c>
      <c r="N32" s="91" t="s">
        <v>2398</v>
      </c>
      <c r="O32" s="91" t="s">
        <v>2399</v>
      </c>
      <c r="P32" s="91" t="s">
        <v>2400</v>
      </c>
    </row>
    <row r="33" spans="1:16" ht="14.25" customHeight="1">
      <c r="A33" s="87" t="s">
        <v>253</v>
      </c>
      <c r="B33" s="94" t="s">
        <v>2171</v>
      </c>
      <c r="C33" s="91">
        <v>22130</v>
      </c>
      <c r="D33" s="91">
        <v>20460</v>
      </c>
      <c r="E33" s="91">
        <v>18500</v>
      </c>
      <c r="F33" s="124">
        <v>5340</v>
      </c>
      <c r="L33" s="91" t="s">
        <v>2401</v>
      </c>
      <c r="M33" s="91" t="s">
        <v>2402</v>
      </c>
      <c r="N33" s="91" t="s">
        <v>2403</v>
      </c>
      <c r="O33" s="91" t="s">
        <v>2404</v>
      </c>
      <c r="P33" s="91" t="s">
        <v>2405</v>
      </c>
    </row>
    <row r="34" spans="1:16" ht="14.25" customHeight="1">
      <c r="A34" s="87" t="s">
        <v>253</v>
      </c>
      <c r="B34" s="94" t="s">
        <v>2182</v>
      </c>
      <c r="C34" s="91">
        <v>22070</v>
      </c>
      <c r="D34" s="91">
        <v>20110</v>
      </c>
      <c r="E34" s="91">
        <v>18830</v>
      </c>
      <c r="F34" s="124">
        <v>5190</v>
      </c>
      <c r="L34" s="91" t="s">
        <v>2406</v>
      </c>
      <c r="M34" s="91" t="s">
        <v>2407</v>
      </c>
      <c r="N34" s="91" t="s">
        <v>2408</v>
      </c>
      <c r="O34" s="91" t="s">
        <v>2409</v>
      </c>
      <c r="P34" s="91" t="s">
        <v>2410</v>
      </c>
    </row>
    <row r="35" spans="1:16" ht="14.25" customHeight="1">
      <c r="A35" s="87" t="s">
        <v>253</v>
      </c>
      <c r="B35" s="94" t="s">
        <v>2193</v>
      </c>
      <c r="C35" s="91">
        <v>22240</v>
      </c>
      <c r="D35" s="91">
        <v>19550</v>
      </c>
      <c r="E35" s="91">
        <v>19220</v>
      </c>
      <c r="F35" s="124">
        <v>5800</v>
      </c>
      <c r="L35" s="91" t="s">
        <v>2411</v>
      </c>
      <c r="M35" s="91" t="s">
        <v>2412</v>
      </c>
      <c r="N35" s="91" t="s">
        <v>2413</v>
      </c>
      <c r="O35" s="91" t="s">
        <v>2414</v>
      </c>
      <c r="P35" s="91" t="s">
        <v>2415</v>
      </c>
    </row>
    <row r="36" spans="1:16" ht="14.25" customHeight="1">
      <c r="A36" s="87" t="s">
        <v>253</v>
      </c>
      <c r="B36" s="94" t="s">
        <v>2204</v>
      </c>
      <c r="C36" s="91">
        <v>19750</v>
      </c>
      <c r="D36" s="91">
        <v>19790</v>
      </c>
      <c r="E36" s="91">
        <v>18510</v>
      </c>
      <c r="F36" s="124">
        <v>6520</v>
      </c>
      <c r="M36" s="91" t="s">
        <v>2416</v>
      </c>
      <c r="N36" s="91" t="s">
        <v>2417</v>
      </c>
      <c r="O36" s="91" t="s">
        <v>2418</v>
      </c>
      <c r="P36" s="91" t="s">
        <v>2419</v>
      </c>
    </row>
    <row r="37" spans="1:16" ht="14.25" customHeight="1">
      <c r="A37" s="87" t="s">
        <v>253</v>
      </c>
      <c r="B37" s="94" t="s">
        <v>2214</v>
      </c>
      <c r="C37" s="91">
        <v>22380</v>
      </c>
      <c r="D37" s="91">
        <v>18530</v>
      </c>
      <c r="E37" s="91">
        <v>17930</v>
      </c>
      <c r="F37" s="124">
        <v>6270</v>
      </c>
      <c r="M37" s="91" t="s">
        <v>2420</v>
      </c>
      <c r="N37" s="91" t="s">
        <v>2421</v>
      </c>
      <c r="O37" s="91" t="s">
        <v>2422</v>
      </c>
      <c r="P37" s="91" t="s">
        <v>2423</v>
      </c>
    </row>
    <row r="38" spans="1:16" ht="14.25" customHeight="1">
      <c r="A38" s="87" t="s">
        <v>253</v>
      </c>
      <c r="B38" s="94" t="s">
        <v>2224</v>
      </c>
      <c r="C38" s="91">
        <v>20200</v>
      </c>
      <c r="D38" s="91">
        <v>20070</v>
      </c>
      <c r="E38" s="91">
        <v>19950</v>
      </c>
      <c r="F38" s="124"/>
      <c r="M38" s="91" t="s">
        <v>2424</v>
      </c>
      <c r="N38" s="91" t="s">
        <v>2425</v>
      </c>
      <c r="O38" s="91" t="s">
        <v>2426</v>
      </c>
      <c r="P38" s="91" t="s">
        <v>2427</v>
      </c>
    </row>
    <row r="39" spans="1:16" ht="14.25" customHeight="1">
      <c r="A39" s="87" t="s">
        <v>253</v>
      </c>
      <c r="B39" s="94" t="s">
        <v>2234</v>
      </c>
      <c r="C39" s="91">
        <v>19300</v>
      </c>
      <c r="D39" s="91">
        <v>20360</v>
      </c>
      <c r="E39" s="91">
        <v>20230</v>
      </c>
      <c r="F39" s="124"/>
      <c r="M39" s="91" t="s">
        <v>2428</v>
      </c>
      <c r="N39" s="91" t="s">
        <v>2429</v>
      </c>
      <c r="O39" s="91" t="s">
        <v>2430</v>
      </c>
      <c r="P39" s="91" t="s">
        <v>2431</v>
      </c>
    </row>
    <row r="40" spans="1:16" ht="14.25" customHeight="1">
      <c r="A40" s="87" t="s">
        <v>253</v>
      </c>
      <c r="B40" s="94" t="s">
        <v>2244</v>
      </c>
      <c r="C40" s="91">
        <v>20210</v>
      </c>
      <c r="D40" s="91">
        <v>19060</v>
      </c>
      <c r="E40" s="91">
        <v>18890</v>
      </c>
      <c r="F40" s="124"/>
      <c r="M40" s="91" t="s">
        <v>2432</v>
      </c>
      <c r="N40" s="91" t="s">
        <v>2433</v>
      </c>
      <c r="O40" s="91" t="s">
        <v>2434</v>
      </c>
      <c r="P40" s="91" t="s">
        <v>2435</v>
      </c>
    </row>
    <row r="41" spans="1:16" ht="14.25" customHeight="1">
      <c r="A41" s="87" t="s">
        <v>253</v>
      </c>
      <c r="B41" s="94" t="s">
        <v>2254</v>
      </c>
      <c r="C41" s="91">
        <v>20560</v>
      </c>
      <c r="D41" s="91">
        <v>21040</v>
      </c>
      <c r="E41" s="91">
        <v>20740</v>
      </c>
      <c r="F41" s="124"/>
      <c r="M41" s="94" t="s">
        <v>2436</v>
      </c>
      <c r="N41" s="94" t="s">
        <v>2437</v>
      </c>
      <c r="P41" s="94" t="s">
        <v>2438</v>
      </c>
    </row>
    <row r="42" spans="1:16" ht="14.25" customHeight="1">
      <c r="A42" s="87" t="s">
        <v>253</v>
      </c>
      <c r="B42" s="94" t="s">
        <v>2264</v>
      </c>
      <c r="C42" s="91">
        <v>19280</v>
      </c>
      <c r="D42" s="91">
        <v>22940</v>
      </c>
      <c r="E42" s="91">
        <v>22500</v>
      </c>
      <c r="F42" s="124"/>
      <c r="M42" s="91" t="s">
        <v>2439</v>
      </c>
      <c r="N42" s="91" t="s">
        <v>2440</v>
      </c>
      <c r="P42" s="91" t="s">
        <v>2441</v>
      </c>
    </row>
    <row r="43" spans="1:16" ht="14.25" customHeight="1">
      <c r="A43" s="87" t="s">
        <v>253</v>
      </c>
      <c r="B43" s="94" t="s">
        <v>2274</v>
      </c>
      <c r="C43" s="91">
        <v>21520</v>
      </c>
      <c r="D43" s="91">
        <v>19230</v>
      </c>
      <c r="E43" s="91">
        <v>18540</v>
      </c>
      <c r="F43" s="124"/>
      <c r="M43" s="91" t="s">
        <v>2442</v>
      </c>
      <c r="N43" s="91" t="s">
        <v>2443</v>
      </c>
      <c r="P43" s="91" t="s">
        <v>2444</v>
      </c>
    </row>
    <row r="44" spans="1:16" ht="14.25" customHeight="1">
      <c r="A44" s="87" t="s">
        <v>253</v>
      </c>
      <c r="B44" s="94" t="s">
        <v>2284</v>
      </c>
      <c r="C44" s="91">
        <v>23260</v>
      </c>
      <c r="D44" s="91">
        <v>21180</v>
      </c>
      <c r="E44" s="91">
        <v>20730</v>
      </c>
      <c r="F44" s="124"/>
      <c r="M44" s="91" t="s">
        <v>2445</v>
      </c>
      <c r="N44" s="91" t="s">
        <v>2446</v>
      </c>
      <c r="P44" s="91" t="s">
        <v>2447</v>
      </c>
    </row>
    <row r="45" spans="1:16" ht="14.25" customHeight="1">
      <c r="A45" s="87" t="s">
        <v>253</v>
      </c>
      <c r="B45" s="94" t="s">
        <v>2294</v>
      </c>
      <c r="C45" s="91">
        <v>19610</v>
      </c>
      <c r="D45" s="91">
        <v>18090</v>
      </c>
      <c r="E45" s="91">
        <v>17970</v>
      </c>
      <c r="F45" s="124"/>
      <c r="M45" s="91" t="s">
        <v>2448</v>
      </c>
      <c r="N45" s="91" t="s">
        <v>2449</v>
      </c>
      <c r="P45" s="91" t="s">
        <v>2450</v>
      </c>
    </row>
    <row r="46" spans="1:16" ht="14.25" customHeight="1">
      <c r="A46" s="87" t="s">
        <v>253</v>
      </c>
      <c r="B46" s="94" t="s">
        <v>2304</v>
      </c>
      <c r="C46" s="91">
        <v>21660</v>
      </c>
      <c r="D46" s="91">
        <v>19190</v>
      </c>
      <c r="E46" s="91">
        <v>19790</v>
      </c>
      <c r="F46" s="124"/>
      <c r="M46" s="91" t="s">
        <v>2451</v>
      </c>
      <c r="N46" s="91" t="s">
        <v>2452</v>
      </c>
      <c r="P46" s="91" t="s">
        <v>2453</v>
      </c>
    </row>
    <row r="47" spans="1:16" ht="14.25" customHeight="1">
      <c r="A47" s="87" t="s">
        <v>253</v>
      </c>
      <c r="B47" s="94" t="s">
        <v>2314</v>
      </c>
      <c r="C47" s="91">
        <v>18220</v>
      </c>
      <c r="D47" s="91"/>
      <c r="E47" s="91">
        <v>17220</v>
      </c>
      <c r="F47" s="124"/>
      <c r="M47" s="91" t="s">
        <v>2454</v>
      </c>
      <c r="N47" s="91" t="s">
        <v>2455</v>
      </c>
    </row>
    <row r="48" spans="1:16" ht="14.25" customHeight="1">
      <c r="A48" s="87" t="s">
        <v>253</v>
      </c>
      <c r="B48" s="96" t="s">
        <v>2323</v>
      </c>
      <c r="C48" s="102">
        <v>19430</v>
      </c>
      <c r="D48" s="102"/>
      <c r="E48" s="102">
        <v>17830</v>
      </c>
      <c r="F48" s="126"/>
      <c r="M48" s="91" t="s">
        <v>2456</v>
      </c>
      <c r="N48" s="91" t="s">
        <v>2457</v>
      </c>
    </row>
    <row r="49" spans="1:14" ht="14.25" customHeight="1">
      <c r="A49" s="87" t="s">
        <v>261</v>
      </c>
      <c r="B49" s="88" t="s">
        <v>2121</v>
      </c>
      <c r="C49" s="88">
        <v>17090</v>
      </c>
      <c r="D49" s="88">
        <v>16950</v>
      </c>
      <c r="E49" s="88">
        <v>16310</v>
      </c>
      <c r="F49" s="121">
        <v>4540</v>
      </c>
      <c r="M49" s="91" t="s">
        <v>2458</v>
      </c>
      <c r="N49" s="91" t="s">
        <v>2459</v>
      </c>
    </row>
    <row r="50" spans="1:14" ht="14.25" customHeight="1">
      <c r="A50" s="87" t="s">
        <v>261</v>
      </c>
      <c r="B50" s="91" t="s">
        <v>2134</v>
      </c>
      <c r="C50" s="91">
        <v>19040</v>
      </c>
      <c r="D50" s="91">
        <v>16960</v>
      </c>
      <c r="E50" s="91">
        <v>14800</v>
      </c>
      <c r="F50" s="124">
        <v>3940</v>
      </c>
    </row>
    <row r="51" spans="1:14" ht="14.25" customHeight="1">
      <c r="A51" s="87" t="s">
        <v>261</v>
      </c>
      <c r="B51" s="91" t="s">
        <v>2148</v>
      </c>
      <c r="C51" s="91">
        <v>17040</v>
      </c>
      <c r="D51" s="91">
        <v>16930</v>
      </c>
      <c r="E51" s="91">
        <v>15030</v>
      </c>
      <c r="F51" s="124">
        <v>4120</v>
      </c>
    </row>
    <row r="52" spans="1:14" ht="14.25" customHeight="1">
      <c r="A52" s="87" t="s">
        <v>261</v>
      </c>
      <c r="B52" s="91" t="s">
        <v>2160</v>
      </c>
      <c r="C52" s="91">
        <v>17110</v>
      </c>
      <c r="D52" s="91">
        <v>17750</v>
      </c>
      <c r="E52" s="91">
        <v>17310</v>
      </c>
      <c r="F52" s="124">
        <v>3220</v>
      </c>
    </row>
    <row r="53" spans="1:14" ht="14.25" customHeight="1">
      <c r="A53" s="87" t="s">
        <v>261</v>
      </c>
      <c r="B53" s="91" t="s">
        <v>2172</v>
      </c>
      <c r="C53" s="91">
        <v>17810</v>
      </c>
      <c r="D53" s="91">
        <v>17260</v>
      </c>
      <c r="E53" s="91">
        <v>17090</v>
      </c>
      <c r="F53" s="124">
        <v>3520</v>
      </c>
    </row>
    <row r="54" spans="1:14" ht="14.25" customHeight="1">
      <c r="A54" s="87" t="s">
        <v>261</v>
      </c>
      <c r="B54" s="91" t="s">
        <v>2183</v>
      </c>
      <c r="C54" s="91">
        <v>17410</v>
      </c>
      <c r="D54" s="91">
        <v>16780</v>
      </c>
      <c r="E54" s="91">
        <v>16370</v>
      </c>
      <c r="F54" s="124">
        <v>3410</v>
      </c>
    </row>
    <row r="55" spans="1:14" ht="14.25" customHeight="1">
      <c r="A55" s="87" t="s">
        <v>261</v>
      </c>
      <c r="B55" s="91" t="s">
        <v>2194</v>
      </c>
      <c r="C55" s="91">
        <v>16930</v>
      </c>
      <c r="D55" s="91">
        <v>14720</v>
      </c>
      <c r="E55" s="91">
        <v>15000</v>
      </c>
      <c r="F55" s="124">
        <v>3710</v>
      </c>
    </row>
    <row r="56" spans="1:14" ht="14.25" customHeight="1">
      <c r="A56" s="87" t="s">
        <v>261</v>
      </c>
      <c r="B56" s="91" t="s">
        <v>2205</v>
      </c>
      <c r="C56" s="91">
        <v>14930</v>
      </c>
      <c r="D56" s="91">
        <v>15850</v>
      </c>
      <c r="E56" s="91">
        <v>14320</v>
      </c>
      <c r="F56" s="124">
        <v>3960</v>
      </c>
    </row>
    <row r="57" spans="1:14" ht="14.25" customHeight="1">
      <c r="A57" s="87" t="s">
        <v>261</v>
      </c>
      <c r="B57" s="91" t="s">
        <v>2215</v>
      </c>
      <c r="C57" s="91">
        <v>16160</v>
      </c>
      <c r="D57" s="91">
        <v>16190</v>
      </c>
      <c r="E57" s="91">
        <v>15650</v>
      </c>
      <c r="F57" s="124">
        <v>4200</v>
      </c>
    </row>
    <row r="58" spans="1:14" ht="14.25" customHeight="1">
      <c r="A58" s="87" t="s">
        <v>261</v>
      </c>
      <c r="B58" s="91" t="s">
        <v>2225</v>
      </c>
      <c r="C58" s="91">
        <v>16360</v>
      </c>
      <c r="D58" s="91">
        <v>14050</v>
      </c>
      <c r="E58" s="91">
        <v>16070</v>
      </c>
      <c r="F58" s="124">
        <v>3990</v>
      </c>
    </row>
    <row r="59" spans="1:14" ht="14.25" customHeight="1">
      <c r="A59" s="87" t="s">
        <v>261</v>
      </c>
      <c r="B59" s="91" t="s">
        <v>2235</v>
      </c>
      <c r="C59" s="91">
        <v>14160</v>
      </c>
      <c r="D59" s="91">
        <v>16620</v>
      </c>
      <c r="E59" s="91">
        <v>13940</v>
      </c>
      <c r="F59" s="124">
        <v>4260</v>
      </c>
    </row>
    <row r="60" spans="1:14" ht="14.25" customHeight="1">
      <c r="A60" s="87" t="s">
        <v>261</v>
      </c>
      <c r="B60" s="91" t="s">
        <v>2245</v>
      </c>
      <c r="C60" s="91">
        <v>16750</v>
      </c>
      <c r="D60" s="91">
        <v>13910</v>
      </c>
      <c r="E60" s="91">
        <v>16550</v>
      </c>
      <c r="F60" s="124">
        <v>4550</v>
      </c>
    </row>
    <row r="61" spans="1:14" ht="14.25" customHeight="1">
      <c r="A61" s="87" t="s">
        <v>261</v>
      </c>
      <c r="B61" s="91" t="s">
        <v>2255</v>
      </c>
      <c r="C61" s="91">
        <v>14000</v>
      </c>
      <c r="D61" s="91">
        <v>14550</v>
      </c>
      <c r="E61" s="91">
        <v>13860</v>
      </c>
      <c r="F61" s="127"/>
    </row>
    <row r="62" spans="1:14" ht="14.25" customHeight="1">
      <c r="A62" s="87" t="s">
        <v>261</v>
      </c>
      <c r="B62" s="91" t="s">
        <v>2265</v>
      </c>
      <c r="C62" s="91">
        <v>14660</v>
      </c>
      <c r="D62" s="91">
        <v>17450</v>
      </c>
      <c r="E62" s="91">
        <v>14470</v>
      </c>
      <c r="F62" s="127"/>
    </row>
    <row r="63" spans="1:14" ht="14.25" customHeight="1">
      <c r="A63" s="87" t="s">
        <v>261</v>
      </c>
      <c r="B63" s="91" t="s">
        <v>2275</v>
      </c>
      <c r="C63" s="91">
        <v>17610</v>
      </c>
      <c r="D63" s="91">
        <v>16500</v>
      </c>
      <c r="E63" s="91">
        <v>17330</v>
      </c>
      <c r="F63" s="127"/>
    </row>
    <row r="64" spans="1:14" ht="14.25" customHeight="1">
      <c r="A64" s="87" t="s">
        <v>261</v>
      </c>
      <c r="B64" s="91" t="s">
        <v>2285</v>
      </c>
      <c r="C64" s="91">
        <v>16590</v>
      </c>
      <c r="D64" s="91">
        <v>15130</v>
      </c>
      <c r="E64" s="91">
        <v>16420</v>
      </c>
      <c r="F64" s="127"/>
    </row>
    <row r="65" spans="1:6" s="113" customFormat="1" ht="14.25" customHeight="1">
      <c r="A65" s="87" t="s">
        <v>261</v>
      </c>
      <c r="B65" s="91" t="s">
        <v>2295</v>
      </c>
      <c r="C65" s="91">
        <v>15220</v>
      </c>
      <c r="D65" s="91">
        <v>14660</v>
      </c>
      <c r="E65" s="91">
        <v>15060</v>
      </c>
      <c r="F65" s="124"/>
    </row>
    <row r="66" spans="1:6" s="113" customFormat="1" ht="14.25" customHeight="1">
      <c r="A66" s="87" t="s">
        <v>261</v>
      </c>
      <c r="B66" s="91" t="s">
        <v>2305</v>
      </c>
      <c r="C66" s="91">
        <v>14720</v>
      </c>
      <c r="D66" s="91">
        <v>15970</v>
      </c>
      <c r="E66" s="91">
        <v>14610</v>
      </c>
      <c r="F66" s="124"/>
    </row>
    <row r="67" spans="1:6" s="113" customFormat="1" ht="14.25" customHeight="1">
      <c r="A67" s="87" t="s">
        <v>261</v>
      </c>
      <c r="B67" s="91" t="s">
        <v>2315</v>
      </c>
      <c r="C67" s="91">
        <v>16080</v>
      </c>
      <c r="D67" s="91">
        <v>14840</v>
      </c>
      <c r="E67" s="91">
        <v>15630</v>
      </c>
      <c r="F67" s="124"/>
    </row>
    <row r="68" spans="1:6" s="113" customFormat="1" ht="14.25" customHeight="1">
      <c r="A68" s="87" t="s">
        <v>261</v>
      </c>
      <c r="B68" s="91" t="s">
        <v>2324</v>
      </c>
      <c r="C68" s="91">
        <v>14940</v>
      </c>
      <c r="D68" s="91">
        <v>18000</v>
      </c>
      <c r="E68" s="91">
        <v>14040</v>
      </c>
      <c r="F68" s="124"/>
    </row>
    <row r="69" spans="1:6" s="113" customFormat="1" ht="14.25" customHeight="1">
      <c r="A69" s="87" t="s">
        <v>261</v>
      </c>
      <c r="B69" s="91" t="s">
        <v>2332</v>
      </c>
      <c r="C69" s="91">
        <v>18810</v>
      </c>
      <c r="D69" s="91">
        <v>15100</v>
      </c>
      <c r="E69" s="91">
        <v>14710</v>
      </c>
      <c r="F69" s="124"/>
    </row>
    <row r="70" spans="1:6" s="113" customFormat="1" ht="14.25" customHeight="1">
      <c r="A70" s="87" t="s">
        <v>261</v>
      </c>
      <c r="B70" s="91" t="s">
        <v>2340</v>
      </c>
      <c r="C70" s="91">
        <v>18270</v>
      </c>
      <c r="D70" s="91"/>
      <c r="E70" s="91"/>
      <c r="F70" s="124"/>
    </row>
    <row r="71" spans="1:6" s="113" customFormat="1" ht="14.25" customHeight="1">
      <c r="A71" s="87" t="s">
        <v>261</v>
      </c>
      <c r="B71" s="91" t="s">
        <v>2347</v>
      </c>
      <c r="C71" s="91">
        <v>15230</v>
      </c>
      <c r="D71" s="91"/>
      <c r="E71" s="91"/>
      <c r="F71" s="124"/>
    </row>
    <row r="72" spans="1:6" s="113" customFormat="1" ht="14.25" customHeight="1">
      <c r="A72" s="87" t="s">
        <v>261</v>
      </c>
      <c r="B72" s="91" t="s">
        <v>2354</v>
      </c>
      <c r="C72" s="91"/>
      <c r="D72" s="91"/>
      <c r="E72" s="91"/>
      <c r="F72" s="124">
        <v>4120</v>
      </c>
    </row>
    <row r="73" spans="1:6" s="113" customFormat="1" ht="14.25" customHeight="1">
      <c r="A73" s="87" t="s">
        <v>261</v>
      </c>
      <c r="B73" s="91" t="s">
        <v>2361</v>
      </c>
      <c r="C73" s="91"/>
      <c r="D73" s="91"/>
      <c r="E73" s="91"/>
      <c r="F73" s="124">
        <v>3930</v>
      </c>
    </row>
    <row r="74" spans="1:6" s="113" customFormat="1" ht="14.25" customHeight="1">
      <c r="A74" s="87" t="s">
        <v>261</v>
      </c>
      <c r="B74" s="91" t="s">
        <v>2368</v>
      </c>
      <c r="C74" s="91"/>
      <c r="D74" s="91"/>
      <c r="E74" s="91"/>
      <c r="F74" s="124">
        <v>4060</v>
      </c>
    </row>
    <row r="75" spans="1:6" s="113" customFormat="1" ht="14.25" customHeight="1">
      <c r="A75" s="87" t="s">
        <v>261</v>
      </c>
      <c r="B75" s="102" t="s">
        <v>2375</v>
      </c>
      <c r="C75" s="102"/>
      <c r="D75" s="102"/>
      <c r="E75" s="102"/>
      <c r="F75" s="126">
        <v>3750</v>
      </c>
    </row>
    <row r="76" spans="1:6" s="113" customFormat="1" ht="14.25" customHeight="1">
      <c r="A76" s="87" t="s">
        <v>269</v>
      </c>
      <c r="B76" s="88" t="s">
        <v>2122</v>
      </c>
      <c r="C76" s="88">
        <v>14690</v>
      </c>
      <c r="D76" s="88">
        <v>14640</v>
      </c>
      <c r="E76" s="88">
        <v>14590</v>
      </c>
      <c r="F76" s="121">
        <v>3060</v>
      </c>
    </row>
    <row r="77" spans="1:6" s="113" customFormat="1" ht="14.25" customHeight="1">
      <c r="A77" s="87" t="s">
        <v>269</v>
      </c>
      <c r="B77" s="91" t="s">
        <v>2135</v>
      </c>
      <c r="C77" s="91">
        <v>12550</v>
      </c>
      <c r="D77" s="91">
        <v>12480</v>
      </c>
      <c r="E77" s="91">
        <v>12450</v>
      </c>
      <c r="F77" s="124">
        <v>2590</v>
      </c>
    </row>
    <row r="78" spans="1:6" s="113" customFormat="1" ht="14.25" customHeight="1">
      <c r="A78" s="87" t="s">
        <v>269</v>
      </c>
      <c r="B78" s="91" t="s">
        <v>2149</v>
      </c>
      <c r="C78" s="91">
        <v>14360</v>
      </c>
      <c r="D78" s="91">
        <v>14320</v>
      </c>
      <c r="E78" s="91">
        <v>12510</v>
      </c>
      <c r="F78" s="124">
        <v>2700</v>
      </c>
    </row>
    <row r="79" spans="1:6" s="113" customFormat="1" ht="14.25" customHeight="1">
      <c r="A79" s="87" t="s">
        <v>269</v>
      </c>
      <c r="B79" s="91" t="s">
        <v>2161</v>
      </c>
      <c r="C79" s="91">
        <v>12590</v>
      </c>
      <c r="D79" s="91">
        <v>12540</v>
      </c>
      <c r="E79" s="91">
        <v>12350</v>
      </c>
      <c r="F79" s="124">
        <v>2740</v>
      </c>
    </row>
    <row r="80" spans="1:6" s="113" customFormat="1" ht="14.25" customHeight="1">
      <c r="A80" s="87" t="s">
        <v>269</v>
      </c>
      <c r="B80" s="91" t="s">
        <v>2173</v>
      </c>
      <c r="C80" s="91">
        <v>12450</v>
      </c>
      <c r="D80" s="91">
        <v>12370</v>
      </c>
      <c r="E80" s="91">
        <v>10790</v>
      </c>
      <c r="F80" s="124">
        <v>2290</v>
      </c>
    </row>
    <row r="81" spans="1:6" s="113" customFormat="1" ht="14.25" customHeight="1">
      <c r="A81" s="87" t="s">
        <v>269</v>
      </c>
      <c r="B81" s="91" t="s">
        <v>2184</v>
      </c>
      <c r="C81" s="91">
        <v>14210</v>
      </c>
      <c r="D81" s="91">
        <v>14150</v>
      </c>
      <c r="E81" s="91">
        <v>12730</v>
      </c>
      <c r="F81" s="124">
        <v>2240</v>
      </c>
    </row>
    <row r="82" spans="1:6" s="113" customFormat="1" ht="14.25" customHeight="1">
      <c r="A82" s="87" t="s">
        <v>269</v>
      </c>
      <c r="B82" s="91" t="s">
        <v>2195</v>
      </c>
      <c r="C82" s="91">
        <v>10860</v>
      </c>
      <c r="D82" s="91">
        <v>10820</v>
      </c>
      <c r="E82" s="91">
        <v>14720</v>
      </c>
      <c r="F82" s="124">
        <v>2490</v>
      </c>
    </row>
    <row r="83" spans="1:6" s="113" customFormat="1" ht="14.25" customHeight="1">
      <c r="A83" s="87" t="s">
        <v>269</v>
      </c>
      <c r="B83" s="91" t="s">
        <v>2206</v>
      </c>
      <c r="C83" s="91">
        <v>12810</v>
      </c>
      <c r="D83" s="91">
        <v>12760</v>
      </c>
      <c r="E83" s="91">
        <v>14830</v>
      </c>
      <c r="F83" s="124">
        <v>2450</v>
      </c>
    </row>
    <row r="84" spans="1:6" s="113" customFormat="1" ht="14.25" customHeight="1">
      <c r="A84" s="87" t="s">
        <v>269</v>
      </c>
      <c r="B84" s="91" t="s">
        <v>2216</v>
      </c>
      <c r="C84" s="91">
        <v>14950</v>
      </c>
      <c r="D84" s="91">
        <v>14810</v>
      </c>
      <c r="E84" s="91">
        <v>12590</v>
      </c>
      <c r="F84" s="124">
        <v>2540</v>
      </c>
    </row>
    <row r="85" spans="1:6" s="113" customFormat="1" ht="14.25" customHeight="1">
      <c r="A85" s="87" t="s">
        <v>269</v>
      </c>
      <c r="B85" s="91" t="s">
        <v>2226</v>
      </c>
      <c r="C85" s="91">
        <v>14960</v>
      </c>
      <c r="D85" s="91">
        <v>14890</v>
      </c>
      <c r="E85" s="91">
        <v>12840</v>
      </c>
      <c r="F85" s="124">
        <v>2840</v>
      </c>
    </row>
    <row r="86" spans="1:6" s="113" customFormat="1" ht="14.25" customHeight="1">
      <c r="A86" s="87" t="s">
        <v>269</v>
      </c>
      <c r="B86" s="91" t="s">
        <v>2236</v>
      </c>
      <c r="C86" s="91">
        <v>12730</v>
      </c>
      <c r="D86" s="91">
        <v>12660</v>
      </c>
      <c r="E86" s="91">
        <v>13310</v>
      </c>
      <c r="F86" s="124">
        <v>3140</v>
      </c>
    </row>
    <row r="87" spans="1:6" s="113" customFormat="1" ht="14.25" customHeight="1">
      <c r="A87" s="87" t="s">
        <v>269</v>
      </c>
      <c r="B87" s="91" t="s">
        <v>2246</v>
      </c>
      <c r="C87" s="91">
        <v>12940</v>
      </c>
      <c r="D87" s="91">
        <v>12890</v>
      </c>
      <c r="E87" s="91">
        <v>11580</v>
      </c>
      <c r="F87" s="127"/>
    </row>
    <row r="88" spans="1:6" s="113" customFormat="1" ht="14.25" customHeight="1">
      <c r="A88" s="87" t="s">
        <v>269</v>
      </c>
      <c r="B88" s="91" t="s">
        <v>2256</v>
      </c>
      <c r="C88" s="91">
        <v>13430</v>
      </c>
      <c r="D88" s="91">
        <v>13360</v>
      </c>
      <c r="E88" s="91">
        <v>12790</v>
      </c>
      <c r="F88" s="127"/>
    </row>
    <row r="89" spans="1:6" s="113" customFormat="1" ht="14.25" customHeight="1">
      <c r="A89" s="87" t="s">
        <v>269</v>
      </c>
      <c r="B89" s="91" t="s">
        <v>2266</v>
      </c>
      <c r="C89" s="91">
        <v>11680</v>
      </c>
      <c r="D89" s="91">
        <v>11630</v>
      </c>
      <c r="E89" s="91">
        <v>11320</v>
      </c>
      <c r="F89" s="127"/>
    </row>
    <row r="90" spans="1:6" s="113" customFormat="1" ht="14.25" customHeight="1">
      <c r="A90" s="87" t="s">
        <v>269</v>
      </c>
      <c r="B90" s="91" t="s">
        <v>2276</v>
      </c>
      <c r="C90" s="91">
        <v>12890</v>
      </c>
      <c r="D90" s="91">
        <v>12820</v>
      </c>
      <c r="E90" s="91">
        <v>12710</v>
      </c>
      <c r="F90" s="127"/>
    </row>
    <row r="91" spans="1:6" s="113" customFormat="1" ht="14.25" customHeight="1">
      <c r="A91" s="87" t="s">
        <v>269</v>
      </c>
      <c r="B91" s="91" t="s">
        <v>2286</v>
      </c>
      <c r="C91" s="91">
        <v>11410</v>
      </c>
      <c r="D91" s="91">
        <v>11360</v>
      </c>
      <c r="E91" s="91">
        <v>12670</v>
      </c>
      <c r="F91" s="127"/>
    </row>
    <row r="92" spans="1:6" s="113" customFormat="1" ht="14.25" customHeight="1">
      <c r="A92" s="87" t="s">
        <v>269</v>
      </c>
      <c r="B92" s="91" t="s">
        <v>2296</v>
      </c>
      <c r="C92" s="91">
        <v>12770</v>
      </c>
      <c r="D92" s="91">
        <v>12740</v>
      </c>
      <c r="E92" s="91">
        <v>11970</v>
      </c>
      <c r="F92" s="127"/>
    </row>
    <row r="93" spans="1:6" s="113" customFormat="1" ht="14.25" customHeight="1">
      <c r="A93" s="87" t="s">
        <v>269</v>
      </c>
      <c r="B93" s="91" t="s">
        <v>2306</v>
      </c>
      <c r="C93" s="91">
        <v>12740</v>
      </c>
      <c r="D93" s="91">
        <v>12700</v>
      </c>
      <c r="E93" s="91">
        <v>12540</v>
      </c>
      <c r="F93" s="127"/>
    </row>
    <row r="94" spans="1:6" s="113" customFormat="1" ht="14.25" customHeight="1">
      <c r="A94" s="87" t="s">
        <v>269</v>
      </c>
      <c r="B94" s="91" t="s">
        <v>2316</v>
      </c>
      <c r="C94" s="91">
        <v>12020</v>
      </c>
      <c r="D94" s="91">
        <v>11990</v>
      </c>
      <c r="E94" s="91">
        <v>13110</v>
      </c>
      <c r="F94" s="127"/>
    </row>
    <row r="95" spans="1:6" s="113" customFormat="1" ht="14.25" customHeight="1">
      <c r="A95" s="87" t="s">
        <v>269</v>
      </c>
      <c r="B95" s="91" t="s">
        <v>2325</v>
      </c>
      <c r="C95" s="91">
        <v>12620</v>
      </c>
      <c r="D95" s="91">
        <v>12580</v>
      </c>
      <c r="E95" s="91">
        <v>13160</v>
      </c>
      <c r="F95" s="124"/>
    </row>
    <row r="96" spans="1:6" s="113" customFormat="1" ht="14.25" customHeight="1">
      <c r="A96" s="87" t="s">
        <v>269</v>
      </c>
      <c r="B96" s="91" t="s">
        <v>2333</v>
      </c>
      <c r="C96" s="91">
        <v>13200</v>
      </c>
      <c r="D96" s="91">
        <v>13150</v>
      </c>
      <c r="E96" s="91">
        <v>12900</v>
      </c>
      <c r="F96" s="124"/>
    </row>
    <row r="97" spans="1:6" s="113" customFormat="1" ht="14.25" customHeight="1">
      <c r="A97" s="87" t="s">
        <v>269</v>
      </c>
      <c r="B97" s="91" t="s">
        <v>2341</v>
      </c>
      <c r="C97" s="91">
        <v>13270</v>
      </c>
      <c r="D97" s="91">
        <v>13210</v>
      </c>
      <c r="E97" s="91">
        <v>11080</v>
      </c>
      <c r="F97" s="124"/>
    </row>
    <row r="98" spans="1:6" s="113" customFormat="1" ht="14.25" customHeight="1">
      <c r="A98" s="87" t="s">
        <v>269</v>
      </c>
      <c r="B98" s="91" t="s">
        <v>2348</v>
      </c>
      <c r="C98" s="91">
        <v>13010</v>
      </c>
      <c r="D98" s="91">
        <v>12930</v>
      </c>
      <c r="E98" s="91">
        <v>12840</v>
      </c>
      <c r="F98" s="124"/>
    </row>
    <row r="99" spans="1:6" s="113" customFormat="1" ht="14.25" customHeight="1">
      <c r="A99" s="87" t="s">
        <v>269</v>
      </c>
      <c r="B99" s="91" t="s">
        <v>2355</v>
      </c>
      <c r="C99" s="91">
        <v>11190</v>
      </c>
      <c r="D99" s="91">
        <v>11130</v>
      </c>
      <c r="E99" s="91"/>
      <c r="F99" s="124"/>
    </row>
    <row r="100" spans="1:6" s="113" customFormat="1" ht="14.25" customHeight="1">
      <c r="A100" s="87" t="s">
        <v>269</v>
      </c>
      <c r="B100" s="91" t="s">
        <v>2362</v>
      </c>
      <c r="C100" s="91">
        <v>14280</v>
      </c>
      <c r="D100" s="91">
        <v>14180</v>
      </c>
      <c r="E100" s="91"/>
      <c r="F100" s="124"/>
    </row>
    <row r="101" spans="1:6" s="113" customFormat="1" ht="14.25" customHeight="1">
      <c r="A101" s="87" t="s">
        <v>269</v>
      </c>
      <c r="B101" s="91" t="s">
        <v>2369</v>
      </c>
      <c r="C101" s="91">
        <v>12960</v>
      </c>
      <c r="D101" s="91">
        <v>12890</v>
      </c>
      <c r="E101" s="91"/>
      <c r="F101" s="124"/>
    </row>
    <row r="102" spans="1:6" s="113" customFormat="1" ht="14.25" customHeight="1">
      <c r="A102" s="87" t="s">
        <v>269</v>
      </c>
      <c r="B102" s="91" t="s">
        <v>2376</v>
      </c>
      <c r="C102" s="91"/>
      <c r="D102" s="91"/>
      <c r="E102" s="91"/>
      <c r="F102" s="124">
        <v>3100</v>
      </c>
    </row>
    <row r="103" spans="1:6" s="113" customFormat="1" ht="14.25" customHeight="1">
      <c r="A103" s="87" t="s">
        <v>269</v>
      </c>
      <c r="B103" s="91" t="s">
        <v>2381</v>
      </c>
      <c r="C103" s="91"/>
      <c r="D103" s="91"/>
      <c r="E103" s="91"/>
      <c r="F103" s="124">
        <v>2320</v>
      </c>
    </row>
    <row r="104" spans="1:6" s="113" customFormat="1" ht="14.25" customHeight="1">
      <c r="A104" s="87" t="s">
        <v>269</v>
      </c>
      <c r="B104" s="91" t="s">
        <v>2386</v>
      </c>
      <c r="C104" s="91"/>
      <c r="D104" s="91"/>
      <c r="E104" s="91"/>
      <c r="F104" s="124">
        <v>2320</v>
      </c>
    </row>
    <row r="105" spans="1:6" s="113" customFormat="1" ht="14.25" customHeight="1">
      <c r="A105" s="87" t="s">
        <v>269</v>
      </c>
      <c r="B105" s="91" t="s">
        <v>2391</v>
      </c>
      <c r="C105" s="91"/>
      <c r="D105" s="91"/>
      <c r="E105" s="91"/>
      <c r="F105" s="124">
        <v>2320</v>
      </c>
    </row>
    <row r="106" spans="1:6" s="113" customFormat="1" ht="14.25" customHeight="1">
      <c r="A106" s="87" t="s">
        <v>269</v>
      </c>
      <c r="B106" s="91" t="s">
        <v>2396</v>
      </c>
      <c r="C106" s="91"/>
      <c r="D106" s="91"/>
      <c r="E106" s="91"/>
      <c r="F106" s="124">
        <v>2320</v>
      </c>
    </row>
    <row r="107" spans="1:6" s="113" customFormat="1" ht="14.25" customHeight="1">
      <c r="A107" s="87" t="s">
        <v>269</v>
      </c>
      <c r="B107" s="91" t="s">
        <v>2401</v>
      </c>
      <c r="C107" s="91"/>
      <c r="D107" s="91"/>
      <c r="E107" s="91"/>
      <c r="F107" s="124">
        <v>2280</v>
      </c>
    </row>
    <row r="108" spans="1:6" s="113" customFormat="1" ht="14.25" customHeight="1">
      <c r="A108" s="87" t="s">
        <v>269</v>
      </c>
      <c r="B108" s="91" t="s">
        <v>2406</v>
      </c>
      <c r="C108" s="91"/>
      <c r="D108" s="91"/>
      <c r="E108" s="91"/>
      <c r="F108" s="124">
        <v>2280</v>
      </c>
    </row>
    <row r="109" spans="1:6" s="113" customFormat="1" ht="14.25" customHeight="1">
      <c r="A109" s="87" t="s">
        <v>269</v>
      </c>
      <c r="B109" s="102" t="s">
        <v>2411</v>
      </c>
      <c r="C109" s="102"/>
      <c r="D109" s="102"/>
      <c r="E109" s="102"/>
      <c r="F109" s="126">
        <v>2280</v>
      </c>
    </row>
    <row r="110" spans="1:6" s="113" customFormat="1" ht="14.25" customHeight="1">
      <c r="A110" s="87" t="s">
        <v>275</v>
      </c>
      <c r="B110" s="88" t="s">
        <v>2123</v>
      </c>
      <c r="C110" s="88">
        <v>10520</v>
      </c>
      <c r="D110" s="88">
        <v>10490</v>
      </c>
      <c r="E110" s="88">
        <v>10760</v>
      </c>
      <c r="F110" s="121">
        <v>2160</v>
      </c>
    </row>
    <row r="111" spans="1:6" s="113" customFormat="1" ht="14.25" customHeight="1">
      <c r="A111" s="87" t="s">
        <v>275</v>
      </c>
      <c r="B111" s="91" t="s">
        <v>2136</v>
      </c>
      <c r="C111" s="91">
        <v>10090</v>
      </c>
      <c r="D111" s="91">
        <v>10060</v>
      </c>
      <c r="E111" s="91">
        <v>10300</v>
      </c>
      <c r="F111" s="124">
        <v>2010</v>
      </c>
    </row>
    <row r="112" spans="1:6" s="113" customFormat="1" ht="14.25" customHeight="1">
      <c r="A112" s="87" t="s">
        <v>275</v>
      </c>
      <c r="B112" s="91" t="s">
        <v>2150</v>
      </c>
      <c r="C112" s="91">
        <v>9910</v>
      </c>
      <c r="D112" s="91">
        <v>9850</v>
      </c>
      <c r="E112" s="91">
        <v>9960</v>
      </c>
      <c r="F112" s="124">
        <v>2090</v>
      </c>
    </row>
    <row r="113" spans="1:6" s="113" customFormat="1" ht="14.25" customHeight="1">
      <c r="A113" s="87" t="s">
        <v>275</v>
      </c>
      <c r="B113" s="91" t="s">
        <v>2162</v>
      </c>
      <c r="C113" s="91">
        <v>11430</v>
      </c>
      <c r="D113" s="91">
        <v>11400</v>
      </c>
      <c r="E113" s="91">
        <v>11710</v>
      </c>
      <c r="F113" s="124">
        <v>2050</v>
      </c>
    </row>
    <row r="114" spans="1:6" s="113" customFormat="1" ht="14.25" customHeight="1">
      <c r="A114" s="87" t="s">
        <v>275</v>
      </c>
      <c r="B114" s="91" t="s">
        <v>2174</v>
      </c>
      <c r="C114" s="91">
        <v>11390</v>
      </c>
      <c r="D114" s="91">
        <v>11350</v>
      </c>
      <c r="E114" s="91">
        <v>11640</v>
      </c>
      <c r="F114" s="124">
        <v>1620</v>
      </c>
    </row>
    <row r="115" spans="1:6" s="113" customFormat="1" ht="14.25" customHeight="1">
      <c r="A115" s="87" t="s">
        <v>275</v>
      </c>
      <c r="B115" s="91" t="s">
        <v>2185</v>
      </c>
      <c r="C115" s="91">
        <v>9930</v>
      </c>
      <c r="D115" s="91">
        <v>9900</v>
      </c>
      <c r="E115" s="91">
        <v>10160</v>
      </c>
      <c r="F115" s="124">
        <v>1580</v>
      </c>
    </row>
    <row r="116" spans="1:6" s="113" customFormat="1" ht="14.25" customHeight="1">
      <c r="A116" s="87" t="s">
        <v>275</v>
      </c>
      <c r="B116" s="91" t="s">
        <v>2196</v>
      </c>
      <c r="C116" s="91">
        <v>9150</v>
      </c>
      <c r="D116" s="91">
        <v>9120</v>
      </c>
      <c r="E116" s="91">
        <v>9380</v>
      </c>
      <c r="F116" s="124">
        <v>1750</v>
      </c>
    </row>
    <row r="117" spans="1:6" s="113" customFormat="1" ht="14.25" customHeight="1">
      <c r="A117" s="87" t="s">
        <v>275</v>
      </c>
      <c r="B117" s="91" t="s">
        <v>2207</v>
      </c>
      <c r="C117" s="91">
        <v>10680</v>
      </c>
      <c r="D117" s="91">
        <v>10650</v>
      </c>
      <c r="E117" s="91">
        <v>10970</v>
      </c>
      <c r="F117" s="124">
        <v>1730</v>
      </c>
    </row>
    <row r="118" spans="1:6" s="113" customFormat="1" ht="14.25" customHeight="1">
      <c r="A118" s="87" t="s">
        <v>275</v>
      </c>
      <c r="B118" s="91" t="s">
        <v>2217</v>
      </c>
      <c r="C118" s="91">
        <v>10080</v>
      </c>
      <c r="D118" s="91">
        <v>10050</v>
      </c>
      <c r="E118" s="91">
        <v>10350</v>
      </c>
      <c r="F118" s="124">
        <v>1920</v>
      </c>
    </row>
    <row r="119" spans="1:6" s="113" customFormat="1" ht="14.25" customHeight="1">
      <c r="A119" s="87" t="s">
        <v>275</v>
      </c>
      <c r="B119" s="91" t="s">
        <v>2227</v>
      </c>
      <c r="C119" s="91">
        <v>9450</v>
      </c>
      <c r="D119" s="91">
        <v>9410</v>
      </c>
      <c r="E119" s="91">
        <v>9680</v>
      </c>
      <c r="F119" s="124">
        <v>1880</v>
      </c>
    </row>
    <row r="120" spans="1:6" s="113" customFormat="1" ht="14.25" customHeight="1">
      <c r="A120" s="87" t="s">
        <v>275</v>
      </c>
      <c r="B120" s="91" t="s">
        <v>2237</v>
      </c>
      <c r="C120" s="91">
        <v>8730</v>
      </c>
      <c r="D120" s="91">
        <v>8700</v>
      </c>
      <c r="E120" s="91">
        <v>8950</v>
      </c>
      <c r="F120" s="124">
        <v>1830</v>
      </c>
    </row>
    <row r="121" spans="1:6" s="113" customFormat="1" ht="14.25" customHeight="1">
      <c r="A121" s="87" t="s">
        <v>275</v>
      </c>
      <c r="B121" s="91" t="s">
        <v>2247</v>
      </c>
      <c r="C121" s="91">
        <v>10070</v>
      </c>
      <c r="D121" s="91">
        <v>10040</v>
      </c>
      <c r="E121" s="91">
        <v>10270</v>
      </c>
      <c r="F121" s="124">
        <v>1960</v>
      </c>
    </row>
    <row r="122" spans="1:6" s="113" customFormat="1" ht="14.25" customHeight="1">
      <c r="A122" s="87" t="s">
        <v>275</v>
      </c>
      <c r="B122" s="91" t="s">
        <v>2257</v>
      </c>
      <c r="C122" s="91">
        <v>10500</v>
      </c>
      <c r="D122" s="91">
        <v>10470</v>
      </c>
      <c r="E122" s="91">
        <v>10780</v>
      </c>
      <c r="F122" s="124">
        <v>2180</v>
      </c>
    </row>
    <row r="123" spans="1:6" s="113" customFormat="1" ht="14.25" customHeight="1">
      <c r="A123" s="87" t="s">
        <v>275</v>
      </c>
      <c r="B123" s="91" t="s">
        <v>2267</v>
      </c>
      <c r="C123" s="91">
        <v>10390</v>
      </c>
      <c r="D123" s="91">
        <v>10360</v>
      </c>
      <c r="E123" s="91">
        <v>10660</v>
      </c>
      <c r="F123" s="124">
        <v>2040</v>
      </c>
    </row>
    <row r="124" spans="1:6" s="113" customFormat="1" ht="14.25" customHeight="1">
      <c r="A124" s="87" t="s">
        <v>275</v>
      </c>
      <c r="B124" s="91" t="s">
        <v>2277</v>
      </c>
      <c r="C124" s="91">
        <v>10390</v>
      </c>
      <c r="D124" s="91">
        <v>10360</v>
      </c>
      <c r="E124" s="91">
        <v>10680</v>
      </c>
      <c r="F124" s="127"/>
    </row>
    <row r="125" spans="1:6" s="113" customFormat="1" ht="14.25" customHeight="1">
      <c r="A125" s="87" t="s">
        <v>275</v>
      </c>
      <c r="B125" s="91" t="s">
        <v>2287</v>
      </c>
      <c r="C125" s="91">
        <v>10440</v>
      </c>
      <c r="D125" s="91">
        <v>10410</v>
      </c>
      <c r="E125" s="91">
        <v>10710</v>
      </c>
      <c r="F125" s="127"/>
    </row>
    <row r="126" spans="1:6" s="113" customFormat="1" ht="14.25" customHeight="1">
      <c r="A126" s="87" t="s">
        <v>275</v>
      </c>
      <c r="B126" s="91" t="s">
        <v>2297</v>
      </c>
      <c r="C126" s="91">
        <v>10780</v>
      </c>
      <c r="D126" s="91">
        <v>10750</v>
      </c>
      <c r="E126" s="91">
        <v>11080</v>
      </c>
      <c r="F126" s="127"/>
    </row>
    <row r="127" spans="1:6" s="113" customFormat="1" ht="14.25" customHeight="1">
      <c r="A127" s="87" t="s">
        <v>275</v>
      </c>
      <c r="B127" s="91" t="s">
        <v>2307</v>
      </c>
      <c r="C127" s="91">
        <v>10100</v>
      </c>
      <c r="D127" s="91">
        <v>10070</v>
      </c>
      <c r="E127" s="91">
        <v>10350</v>
      </c>
      <c r="F127" s="127"/>
    </row>
    <row r="128" spans="1:6" s="113" customFormat="1" ht="14.25" customHeight="1">
      <c r="A128" s="87" t="s">
        <v>275</v>
      </c>
      <c r="B128" s="91" t="s">
        <v>2317</v>
      </c>
      <c r="C128" s="91">
        <v>9200</v>
      </c>
      <c r="D128" s="91">
        <v>9160</v>
      </c>
      <c r="E128" s="91">
        <v>9660</v>
      </c>
      <c r="F128" s="127"/>
    </row>
    <row r="129" spans="1:6" s="113" customFormat="1" ht="14.25" customHeight="1">
      <c r="A129" s="87" t="s">
        <v>275</v>
      </c>
      <c r="B129" s="91" t="s">
        <v>2326</v>
      </c>
      <c r="C129" s="91">
        <v>10340</v>
      </c>
      <c r="D129" s="91">
        <v>10310</v>
      </c>
      <c r="E129" s="91">
        <v>10580</v>
      </c>
      <c r="F129" s="127"/>
    </row>
    <row r="130" spans="1:6" s="113" customFormat="1" ht="14.25" customHeight="1">
      <c r="A130" s="87" t="s">
        <v>275</v>
      </c>
      <c r="B130" s="91" t="s">
        <v>2334</v>
      </c>
      <c r="C130" s="91">
        <v>9680</v>
      </c>
      <c r="D130" s="91">
        <v>9660</v>
      </c>
      <c r="E130" s="91">
        <v>9950</v>
      </c>
      <c r="F130" s="127"/>
    </row>
    <row r="131" spans="1:6" s="113" customFormat="1" ht="14.25" customHeight="1">
      <c r="A131" s="87" t="s">
        <v>275</v>
      </c>
      <c r="B131" s="91" t="s">
        <v>2342</v>
      </c>
      <c r="C131" s="91">
        <v>9540</v>
      </c>
      <c r="D131" s="91">
        <v>9510</v>
      </c>
      <c r="E131" s="91">
        <v>9790</v>
      </c>
      <c r="F131" s="127"/>
    </row>
    <row r="132" spans="1:6" s="113" customFormat="1" ht="14.25" customHeight="1">
      <c r="A132" s="87" t="s">
        <v>275</v>
      </c>
      <c r="B132" s="91" t="s">
        <v>2349</v>
      </c>
      <c r="C132" s="91">
        <v>9320</v>
      </c>
      <c r="D132" s="91">
        <v>9290</v>
      </c>
      <c r="E132" s="91">
        <v>9570</v>
      </c>
      <c r="F132" s="127"/>
    </row>
    <row r="133" spans="1:6" s="113" customFormat="1" ht="14.25" customHeight="1">
      <c r="A133" s="87" t="s">
        <v>275</v>
      </c>
      <c r="B133" s="91" t="s">
        <v>2356</v>
      </c>
      <c r="C133" s="91">
        <v>10310</v>
      </c>
      <c r="D133" s="91">
        <v>10280</v>
      </c>
      <c r="E133" s="91">
        <v>10530</v>
      </c>
      <c r="F133" s="127"/>
    </row>
    <row r="134" spans="1:6" s="113" customFormat="1" ht="14.25" customHeight="1">
      <c r="A134" s="87" t="s">
        <v>275</v>
      </c>
      <c r="B134" s="91" t="s">
        <v>2363</v>
      </c>
      <c r="C134" s="91">
        <v>10370</v>
      </c>
      <c r="D134" s="91">
        <v>10310</v>
      </c>
      <c r="E134" s="91">
        <v>10240</v>
      </c>
      <c r="F134" s="124">
        <v>2060</v>
      </c>
    </row>
    <row r="135" spans="1:6" s="113" customFormat="1" ht="14.25" customHeight="1">
      <c r="A135" s="87" t="s">
        <v>275</v>
      </c>
      <c r="B135" s="91" t="s">
        <v>2370</v>
      </c>
      <c r="C135" s="91">
        <v>9300</v>
      </c>
      <c r="D135" s="91">
        <v>9270</v>
      </c>
      <c r="E135" s="91">
        <v>9350</v>
      </c>
      <c r="F135" s="127"/>
    </row>
    <row r="136" spans="1:6" s="113" customFormat="1" ht="14.25" customHeight="1">
      <c r="A136" s="87" t="s">
        <v>275</v>
      </c>
      <c r="B136" s="91" t="s">
        <v>2377</v>
      </c>
      <c r="C136" s="91">
        <v>10160</v>
      </c>
      <c r="D136" s="91">
        <v>10110</v>
      </c>
      <c r="E136" s="91">
        <v>10080</v>
      </c>
      <c r="F136" s="127"/>
    </row>
    <row r="137" spans="1:6" s="113" customFormat="1" ht="14.25" customHeight="1">
      <c r="A137" s="87" t="s">
        <v>275</v>
      </c>
      <c r="B137" s="91" t="s">
        <v>2382</v>
      </c>
      <c r="C137" s="91">
        <v>9200</v>
      </c>
      <c r="D137" s="91">
        <v>9170</v>
      </c>
      <c r="E137" s="91">
        <v>9450</v>
      </c>
      <c r="F137" s="127"/>
    </row>
    <row r="138" spans="1:6" s="113" customFormat="1" ht="14.25" customHeight="1">
      <c r="A138" s="87" t="s">
        <v>275</v>
      </c>
      <c r="B138" s="91" t="s">
        <v>2387</v>
      </c>
      <c r="C138" s="91">
        <v>9690</v>
      </c>
      <c r="D138" s="91">
        <v>9660</v>
      </c>
      <c r="E138" s="91">
        <v>9840</v>
      </c>
      <c r="F138" s="127"/>
    </row>
    <row r="139" spans="1:6" s="113" customFormat="1" ht="14.25" customHeight="1">
      <c r="A139" s="87" t="s">
        <v>275</v>
      </c>
      <c r="B139" s="91" t="s">
        <v>2392</v>
      </c>
      <c r="C139" s="91">
        <v>10290</v>
      </c>
      <c r="D139" s="91">
        <v>10260</v>
      </c>
      <c r="E139" s="91">
        <v>10550</v>
      </c>
      <c r="F139" s="124">
        <v>1700</v>
      </c>
    </row>
    <row r="140" spans="1:6" s="113" customFormat="1" ht="14.25" customHeight="1">
      <c r="A140" s="87" t="s">
        <v>275</v>
      </c>
      <c r="B140" s="91" t="s">
        <v>2397</v>
      </c>
      <c r="C140" s="91">
        <v>9740</v>
      </c>
      <c r="D140" s="91">
        <v>9710</v>
      </c>
      <c r="E140" s="91">
        <v>10000</v>
      </c>
      <c r="F140" s="124">
        <v>2000</v>
      </c>
    </row>
    <row r="141" spans="1:6" s="113" customFormat="1" ht="14.25" customHeight="1">
      <c r="A141" s="87" t="s">
        <v>275</v>
      </c>
      <c r="B141" s="91" t="s">
        <v>2402</v>
      </c>
      <c r="C141" s="91">
        <v>9810</v>
      </c>
      <c r="D141" s="91">
        <v>9770</v>
      </c>
      <c r="E141" s="91">
        <v>10060</v>
      </c>
      <c r="F141" s="127"/>
    </row>
    <row r="142" spans="1:6" s="113" customFormat="1" ht="14.25" customHeight="1">
      <c r="A142" s="87" t="s">
        <v>275</v>
      </c>
      <c r="B142" s="91" t="s">
        <v>2407</v>
      </c>
      <c r="C142" s="91">
        <v>9300</v>
      </c>
      <c r="D142" s="91">
        <v>9270</v>
      </c>
      <c r="E142" s="91">
        <v>9530</v>
      </c>
      <c r="F142" s="127"/>
    </row>
    <row r="143" spans="1:6" s="113" customFormat="1" ht="14.25" customHeight="1">
      <c r="A143" s="87" t="s">
        <v>275</v>
      </c>
      <c r="B143" s="91" t="s">
        <v>2412</v>
      </c>
      <c r="C143" s="91">
        <v>10080</v>
      </c>
      <c r="D143" s="91">
        <v>10050</v>
      </c>
      <c r="E143" s="91">
        <v>10340</v>
      </c>
      <c r="F143" s="127"/>
    </row>
    <row r="144" spans="1:6" s="113" customFormat="1" ht="14.25" customHeight="1">
      <c r="A144" s="87" t="s">
        <v>275</v>
      </c>
      <c r="B144" s="91" t="s">
        <v>2416</v>
      </c>
      <c r="C144" s="91">
        <v>9820</v>
      </c>
      <c r="D144" s="91">
        <v>9750</v>
      </c>
      <c r="E144" s="91">
        <v>9900</v>
      </c>
      <c r="F144" s="127"/>
    </row>
    <row r="145" spans="1:6" s="113" customFormat="1" ht="14.25" customHeight="1">
      <c r="A145" s="87" t="s">
        <v>275</v>
      </c>
      <c r="B145" s="91" t="s">
        <v>2420</v>
      </c>
      <c r="C145" s="91"/>
      <c r="D145" s="91"/>
      <c r="E145" s="91"/>
      <c r="F145" s="124">
        <v>1740</v>
      </c>
    </row>
    <row r="146" spans="1:6" s="113" customFormat="1" ht="14.25" customHeight="1">
      <c r="A146" s="87" t="s">
        <v>275</v>
      </c>
      <c r="B146" s="91" t="s">
        <v>2424</v>
      </c>
      <c r="C146" s="91"/>
      <c r="D146" s="91"/>
      <c r="E146" s="91"/>
      <c r="F146" s="124">
        <v>1740</v>
      </c>
    </row>
    <row r="147" spans="1:6" s="113" customFormat="1" ht="14.25" customHeight="1">
      <c r="A147" s="87" t="s">
        <v>275</v>
      </c>
      <c r="B147" s="91" t="s">
        <v>2428</v>
      </c>
      <c r="C147" s="91"/>
      <c r="D147" s="91"/>
      <c r="E147" s="91"/>
      <c r="F147" s="124">
        <v>1740</v>
      </c>
    </row>
    <row r="148" spans="1:6" s="113" customFormat="1" ht="14.25" customHeight="1">
      <c r="A148" s="87" t="s">
        <v>275</v>
      </c>
      <c r="B148" s="91" t="s">
        <v>2432</v>
      </c>
      <c r="C148" s="91"/>
      <c r="D148" s="91"/>
      <c r="E148" s="91"/>
      <c r="F148" s="124">
        <v>1740</v>
      </c>
    </row>
    <row r="149" spans="1:6" s="113" customFormat="1" ht="14.25" customHeight="1">
      <c r="A149" s="87" t="s">
        <v>275</v>
      </c>
      <c r="B149" s="91" t="s">
        <v>2436</v>
      </c>
      <c r="C149" s="91"/>
      <c r="D149" s="91"/>
      <c r="E149" s="91"/>
      <c r="F149" s="124">
        <v>1740</v>
      </c>
    </row>
    <row r="150" spans="1:6" s="113" customFormat="1" ht="14.25" customHeight="1">
      <c r="A150" s="87" t="s">
        <v>275</v>
      </c>
      <c r="B150" s="91" t="s">
        <v>2439</v>
      </c>
      <c r="C150" s="91"/>
      <c r="D150" s="91"/>
      <c r="E150" s="91"/>
      <c r="F150" s="124">
        <v>1610</v>
      </c>
    </row>
    <row r="151" spans="1:6" s="113" customFormat="1" ht="14.25" customHeight="1">
      <c r="A151" s="87" t="s">
        <v>275</v>
      </c>
      <c r="B151" s="91" t="s">
        <v>2442</v>
      </c>
      <c r="C151" s="91"/>
      <c r="D151" s="91"/>
      <c r="E151" s="91"/>
      <c r="F151" s="124">
        <v>1610</v>
      </c>
    </row>
    <row r="152" spans="1:6" s="113" customFormat="1" ht="14.25" customHeight="1">
      <c r="A152" s="87" t="s">
        <v>275</v>
      </c>
      <c r="B152" s="91" t="s">
        <v>2445</v>
      </c>
      <c r="C152" s="91"/>
      <c r="D152" s="91"/>
      <c r="E152" s="91"/>
      <c r="F152" s="124">
        <v>1610</v>
      </c>
    </row>
    <row r="153" spans="1:6" s="113" customFormat="1" ht="14.25" customHeight="1">
      <c r="A153" s="87" t="s">
        <v>275</v>
      </c>
      <c r="B153" s="91" t="s">
        <v>2448</v>
      </c>
      <c r="C153" s="91"/>
      <c r="D153" s="91"/>
      <c r="E153" s="91"/>
      <c r="F153" s="124">
        <v>1610</v>
      </c>
    </row>
    <row r="154" spans="1:6" s="113" customFormat="1" ht="14.25" customHeight="1">
      <c r="A154" s="87" t="s">
        <v>275</v>
      </c>
      <c r="B154" s="91" t="s">
        <v>2451</v>
      </c>
      <c r="C154" s="91"/>
      <c r="D154" s="91"/>
      <c r="E154" s="91"/>
      <c r="F154" s="124">
        <v>1610</v>
      </c>
    </row>
    <row r="155" spans="1:6" s="113" customFormat="1" ht="14.25" customHeight="1">
      <c r="A155" s="87" t="s">
        <v>275</v>
      </c>
      <c r="B155" s="91" t="s">
        <v>2454</v>
      </c>
      <c r="C155" s="91"/>
      <c r="D155" s="91"/>
      <c r="E155" s="91"/>
      <c r="F155" s="124">
        <v>1800</v>
      </c>
    </row>
    <row r="156" spans="1:6" s="113" customFormat="1" ht="14.25" customHeight="1">
      <c r="A156" s="87" t="s">
        <v>275</v>
      </c>
      <c r="B156" s="91" t="s">
        <v>2456</v>
      </c>
      <c r="C156" s="91"/>
      <c r="D156" s="91"/>
      <c r="E156" s="91"/>
      <c r="F156" s="124">
        <v>1910</v>
      </c>
    </row>
    <row r="157" spans="1:6" s="113" customFormat="1" ht="14.25" customHeight="1">
      <c r="A157" s="87" t="s">
        <v>275</v>
      </c>
      <c r="B157" s="102" t="s">
        <v>2458</v>
      </c>
      <c r="C157" s="102"/>
      <c r="D157" s="102"/>
      <c r="E157" s="102"/>
      <c r="F157" s="126">
        <v>1500</v>
      </c>
    </row>
    <row r="158" spans="1:6" s="113" customFormat="1" ht="14.25" customHeight="1">
      <c r="A158" s="87" t="s">
        <v>280</v>
      </c>
      <c r="B158" s="88" t="s">
        <v>2124</v>
      </c>
      <c r="C158" s="88">
        <v>8170</v>
      </c>
      <c r="D158" s="88">
        <v>8140</v>
      </c>
      <c r="E158" s="88">
        <v>8590</v>
      </c>
      <c r="F158" s="121">
        <v>1450</v>
      </c>
    </row>
    <row r="159" spans="1:6" s="113" customFormat="1" ht="14.25" customHeight="1">
      <c r="A159" s="87" t="s">
        <v>280</v>
      </c>
      <c r="B159" s="91" t="s">
        <v>2137</v>
      </c>
      <c r="C159" s="91">
        <v>7410</v>
      </c>
      <c r="D159" s="91">
        <v>7370</v>
      </c>
      <c r="E159" s="91">
        <v>8030</v>
      </c>
      <c r="F159" s="124">
        <v>1510</v>
      </c>
    </row>
    <row r="160" spans="1:6" s="113" customFormat="1" ht="14.25" customHeight="1">
      <c r="A160" s="87" t="s">
        <v>280</v>
      </c>
      <c r="B160" s="91" t="s">
        <v>2151</v>
      </c>
      <c r="C160" s="91">
        <v>7240</v>
      </c>
      <c r="D160" s="91">
        <v>7210</v>
      </c>
      <c r="E160" s="91">
        <v>7860</v>
      </c>
      <c r="F160" s="124">
        <v>1370</v>
      </c>
    </row>
    <row r="161" spans="1:6" s="113" customFormat="1" ht="14.25" customHeight="1">
      <c r="A161" s="87" t="s">
        <v>280</v>
      </c>
      <c r="B161" s="91" t="s">
        <v>2163</v>
      </c>
      <c r="C161" s="91">
        <v>7720</v>
      </c>
      <c r="D161" s="91">
        <v>7690</v>
      </c>
      <c r="E161" s="91">
        <v>8200</v>
      </c>
      <c r="F161" s="124">
        <v>1190</v>
      </c>
    </row>
    <row r="162" spans="1:6" s="113" customFormat="1" ht="14.25" customHeight="1">
      <c r="A162" s="87" t="s">
        <v>280</v>
      </c>
      <c r="B162" s="91" t="s">
        <v>2175</v>
      </c>
      <c r="C162" s="91">
        <v>6900</v>
      </c>
      <c r="D162" s="91">
        <v>6870</v>
      </c>
      <c r="E162" s="91">
        <v>7500</v>
      </c>
      <c r="F162" s="124">
        <v>1390</v>
      </c>
    </row>
    <row r="163" spans="1:6" s="113" customFormat="1" ht="14.25" customHeight="1">
      <c r="A163" s="87" t="s">
        <v>280</v>
      </c>
      <c r="B163" s="91" t="s">
        <v>2186</v>
      </c>
      <c r="C163" s="91">
        <v>7120</v>
      </c>
      <c r="D163" s="91">
        <v>7090</v>
      </c>
      <c r="E163" s="91">
        <v>7690</v>
      </c>
      <c r="F163" s="124">
        <v>1230</v>
      </c>
    </row>
    <row r="164" spans="1:6" s="113" customFormat="1" ht="14.25" customHeight="1">
      <c r="A164" s="87" t="s">
        <v>280</v>
      </c>
      <c r="B164" s="91" t="s">
        <v>2197</v>
      </c>
      <c r="C164" s="91">
        <v>6560</v>
      </c>
      <c r="D164" s="91">
        <v>6530</v>
      </c>
      <c r="E164" s="91">
        <v>7110</v>
      </c>
      <c r="F164" s="124">
        <v>1340</v>
      </c>
    </row>
    <row r="165" spans="1:6" s="113" customFormat="1" ht="14.25" customHeight="1">
      <c r="A165" s="87" t="s">
        <v>280</v>
      </c>
      <c r="B165" s="91" t="s">
        <v>2208</v>
      </c>
      <c r="C165" s="91">
        <v>7450</v>
      </c>
      <c r="D165" s="91">
        <v>7430</v>
      </c>
      <c r="E165" s="91">
        <v>8110</v>
      </c>
      <c r="F165" s="124">
        <v>1290</v>
      </c>
    </row>
    <row r="166" spans="1:6" s="113" customFormat="1" ht="14.25" customHeight="1">
      <c r="A166" s="87" t="s">
        <v>280</v>
      </c>
      <c r="B166" s="91" t="s">
        <v>2218</v>
      </c>
      <c r="C166" s="91">
        <v>7490</v>
      </c>
      <c r="D166" s="91">
        <v>7460</v>
      </c>
      <c r="E166" s="91">
        <v>8150</v>
      </c>
      <c r="F166" s="124">
        <v>1350</v>
      </c>
    </row>
    <row r="167" spans="1:6" s="113" customFormat="1" ht="14.25" customHeight="1">
      <c r="A167" s="87" t="s">
        <v>280</v>
      </c>
      <c r="B167" s="91" t="s">
        <v>2228</v>
      </c>
      <c r="C167" s="91">
        <v>7540</v>
      </c>
      <c r="D167" s="91">
        <v>7510</v>
      </c>
      <c r="E167" s="91">
        <v>8030</v>
      </c>
      <c r="F167" s="127"/>
    </row>
    <row r="168" spans="1:6" s="113" customFormat="1" ht="14.25" customHeight="1">
      <c r="A168" s="87" t="s">
        <v>280</v>
      </c>
      <c r="B168" s="91" t="s">
        <v>2238</v>
      </c>
      <c r="C168" s="91">
        <v>7210</v>
      </c>
      <c r="D168" s="91">
        <v>7180</v>
      </c>
      <c r="E168" s="91">
        <v>7830</v>
      </c>
      <c r="F168" s="127"/>
    </row>
    <row r="169" spans="1:6" s="113" customFormat="1" ht="14.25" customHeight="1">
      <c r="A169" s="87" t="s">
        <v>280</v>
      </c>
      <c r="B169" s="91" t="s">
        <v>2248</v>
      </c>
      <c r="C169" s="91">
        <v>7040</v>
      </c>
      <c r="D169" s="91">
        <v>7020</v>
      </c>
      <c r="E169" s="91">
        <v>7670</v>
      </c>
      <c r="F169" s="127"/>
    </row>
    <row r="170" spans="1:6" s="113" customFormat="1" ht="14.25" customHeight="1">
      <c r="A170" s="87" t="s">
        <v>280</v>
      </c>
      <c r="B170" s="91" t="s">
        <v>2258</v>
      </c>
      <c r="C170" s="91">
        <v>8040</v>
      </c>
      <c r="D170" s="91">
        <v>7190</v>
      </c>
      <c r="E170" s="91">
        <v>7850</v>
      </c>
      <c r="F170" s="127"/>
    </row>
    <row r="171" spans="1:6" s="113" customFormat="1" ht="14.25" customHeight="1">
      <c r="A171" s="87" t="s">
        <v>280</v>
      </c>
      <c r="B171" s="91" t="s">
        <v>2268</v>
      </c>
      <c r="C171" s="91">
        <v>7860</v>
      </c>
      <c r="D171" s="91">
        <v>7720</v>
      </c>
      <c r="E171" s="91">
        <v>8150</v>
      </c>
      <c r="F171" s="124">
        <v>1110</v>
      </c>
    </row>
    <row r="172" spans="1:6" s="113" customFormat="1" ht="14.25" customHeight="1">
      <c r="A172" s="87" t="s">
        <v>280</v>
      </c>
      <c r="B172" s="91" t="s">
        <v>2278</v>
      </c>
      <c r="C172" s="91">
        <v>7210</v>
      </c>
      <c r="D172" s="91">
        <v>7170</v>
      </c>
      <c r="E172" s="91">
        <v>7320</v>
      </c>
      <c r="F172" s="127"/>
    </row>
    <row r="173" spans="1:6" s="113" customFormat="1" ht="14.25" customHeight="1">
      <c r="A173" s="87" t="s">
        <v>280</v>
      </c>
      <c r="B173" s="91" t="s">
        <v>2288</v>
      </c>
      <c r="C173" s="91">
        <v>6860</v>
      </c>
      <c r="D173" s="91">
        <v>6810</v>
      </c>
      <c r="E173" s="91">
        <v>7440</v>
      </c>
      <c r="F173" s="127"/>
    </row>
    <row r="174" spans="1:6" s="113" customFormat="1" ht="14.25" customHeight="1">
      <c r="A174" s="87" t="s">
        <v>280</v>
      </c>
      <c r="B174" s="91" t="s">
        <v>2298</v>
      </c>
      <c r="C174" s="91">
        <v>7120</v>
      </c>
      <c r="D174" s="91">
        <v>7090</v>
      </c>
      <c r="E174" s="91">
        <v>7500</v>
      </c>
      <c r="F174" s="124">
        <v>1490</v>
      </c>
    </row>
    <row r="175" spans="1:6" s="113" customFormat="1" ht="14.25" customHeight="1">
      <c r="A175" s="87" t="s">
        <v>280</v>
      </c>
      <c r="B175" s="91" t="s">
        <v>2308</v>
      </c>
      <c r="C175" s="91">
        <v>7850</v>
      </c>
      <c r="D175" s="91">
        <v>7820</v>
      </c>
      <c r="E175" s="91">
        <v>8120</v>
      </c>
      <c r="F175" s="124">
        <v>1530</v>
      </c>
    </row>
    <row r="176" spans="1:6" s="113" customFormat="1" ht="14.25" customHeight="1">
      <c r="A176" s="87" t="s">
        <v>280</v>
      </c>
      <c r="B176" s="91" t="s">
        <v>2318</v>
      </c>
      <c r="C176" s="91">
        <v>7620</v>
      </c>
      <c r="D176" s="91">
        <v>7570</v>
      </c>
      <c r="E176" s="91">
        <v>7990</v>
      </c>
      <c r="F176" s="124">
        <v>1480</v>
      </c>
    </row>
    <row r="177" spans="1:6" s="113" customFormat="1" ht="14.25" customHeight="1">
      <c r="A177" s="87" t="s">
        <v>280</v>
      </c>
      <c r="B177" s="91" t="s">
        <v>2327</v>
      </c>
      <c r="C177" s="91">
        <v>8590</v>
      </c>
      <c r="D177" s="91">
        <v>8570</v>
      </c>
      <c r="E177" s="91">
        <v>8740</v>
      </c>
      <c r="F177" s="124">
        <v>1540</v>
      </c>
    </row>
    <row r="178" spans="1:6" s="113" customFormat="1" ht="14.25" customHeight="1">
      <c r="A178" s="87" t="s">
        <v>280</v>
      </c>
      <c r="B178" s="91" t="s">
        <v>2335</v>
      </c>
      <c r="C178" s="91">
        <v>7510</v>
      </c>
      <c r="D178" s="91">
        <v>7470</v>
      </c>
      <c r="E178" s="91">
        <v>8090</v>
      </c>
      <c r="F178" s="124">
        <v>1320</v>
      </c>
    </row>
    <row r="179" spans="1:6" s="113" customFormat="1" ht="14.25" customHeight="1">
      <c r="A179" s="87" t="s">
        <v>280</v>
      </c>
      <c r="B179" s="91" t="s">
        <v>2343</v>
      </c>
      <c r="C179" s="91">
        <v>6380</v>
      </c>
      <c r="D179" s="91">
        <v>6340</v>
      </c>
      <c r="E179" s="91">
        <v>6810</v>
      </c>
      <c r="F179" s="127"/>
    </row>
    <row r="180" spans="1:6" s="113" customFormat="1" ht="14.25" customHeight="1">
      <c r="A180" s="87" t="s">
        <v>280</v>
      </c>
      <c r="B180" s="91" t="s">
        <v>2350</v>
      </c>
      <c r="C180" s="91">
        <v>7830</v>
      </c>
      <c r="D180" s="91">
        <v>7800</v>
      </c>
      <c r="E180" s="91">
        <v>7780</v>
      </c>
      <c r="F180" s="124">
        <v>1440</v>
      </c>
    </row>
    <row r="181" spans="1:6" s="113" customFormat="1" ht="14.25" customHeight="1">
      <c r="A181" s="87" t="s">
        <v>280</v>
      </c>
      <c r="B181" s="91" t="s">
        <v>2357</v>
      </c>
      <c r="C181" s="91">
        <v>7110</v>
      </c>
      <c r="D181" s="91">
        <v>7080</v>
      </c>
      <c r="E181" s="91">
        <v>7730</v>
      </c>
      <c r="F181" s="124">
        <v>1350</v>
      </c>
    </row>
    <row r="182" spans="1:6" s="113" customFormat="1" ht="14.25" customHeight="1">
      <c r="A182" s="87" t="s">
        <v>280</v>
      </c>
      <c r="B182" s="91" t="s">
        <v>2364</v>
      </c>
      <c r="C182" s="91">
        <v>7310</v>
      </c>
      <c r="D182" s="91">
        <v>7280</v>
      </c>
      <c r="E182" s="91">
        <v>7950</v>
      </c>
      <c r="F182" s="124">
        <v>1220</v>
      </c>
    </row>
    <row r="183" spans="1:6" s="113" customFormat="1" ht="14.25" customHeight="1">
      <c r="A183" s="87" t="s">
        <v>280</v>
      </c>
      <c r="B183" s="91" t="s">
        <v>2371</v>
      </c>
      <c r="C183" s="91">
        <v>7470</v>
      </c>
      <c r="D183" s="91">
        <v>7440</v>
      </c>
      <c r="E183" s="91">
        <v>7880</v>
      </c>
      <c r="F183" s="127"/>
    </row>
    <row r="184" spans="1:6" s="113" customFormat="1" ht="14.25" customHeight="1">
      <c r="A184" s="87" t="s">
        <v>280</v>
      </c>
      <c r="B184" s="91" t="s">
        <v>2378</v>
      </c>
      <c r="C184" s="91">
        <v>6960</v>
      </c>
      <c r="D184" s="91">
        <v>6930</v>
      </c>
      <c r="E184" s="91">
        <v>7570</v>
      </c>
      <c r="F184" s="127"/>
    </row>
    <row r="185" spans="1:6" s="113" customFormat="1" ht="14.25" customHeight="1">
      <c r="A185" s="87" t="s">
        <v>280</v>
      </c>
      <c r="B185" s="91" t="s">
        <v>2383</v>
      </c>
      <c r="C185" s="91">
        <v>7260</v>
      </c>
      <c r="D185" s="91">
        <v>7230</v>
      </c>
      <c r="E185" s="91">
        <v>7710</v>
      </c>
      <c r="F185" s="124">
        <v>1360</v>
      </c>
    </row>
    <row r="186" spans="1:6" s="113" customFormat="1" ht="14.25" customHeight="1">
      <c r="A186" s="87" t="s">
        <v>280</v>
      </c>
      <c r="B186" s="91" t="s">
        <v>2388</v>
      </c>
      <c r="C186" s="91"/>
      <c r="D186" s="91"/>
      <c r="E186" s="91"/>
      <c r="F186" s="124">
        <v>1560</v>
      </c>
    </row>
    <row r="187" spans="1:6" s="113" customFormat="1" ht="14.25" customHeight="1">
      <c r="A187" s="87" t="s">
        <v>280</v>
      </c>
      <c r="B187" s="91" t="s">
        <v>2393</v>
      </c>
      <c r="C187" s="91"/>
      <c r="D187" s="91"/>
      <c r="E187" s="91"/>
      <c r="F187" s="124">
        <v>1560</v>
      </c>
    </row>
    <row r="188" spans="1:6" s="113" customFormat="1" ht="14.25" customHeight="1">
      <c r="A188" s="87" t="s">
        <v>280</v>
      </c>
      <c r="B188" s="91" t="s">
        <v>2398</v>
      </c>
      <c r="C188" s="91"/>
      <c r="D188" s="91"/>
      <c r="E188" s="91"/>
      <c r="F188" s="124">
        <v>1560</v>
      </c>
    </row>
    <row r="189" spans="1:6" s="113" customFormat="1" ht="14.25" customHeight="1">
      <c r="A189" s="87" t="s">
        <v>280</v>
      </c>
      <c r="B189" s="91" t="s">
        <v>2403</v>
      </c>
      <c r="C189" s="91"/>
      <c r="D189" s="91"/>
      <c r="E189" s="91"/>
      <c r="F189" s="124">
        <v>1320</v>
      </c>
    </row>
    <row r="190" spans="1:6" s="113" customFormat="1" ht="14.25" customHeight="1">
      <c r="A190" s="87" t="s">
        <v>280</v>
      </c>
      <c r="B190" s="91" t="s">
        <v>2408</v>
      </c>
      <c r="C190" s="91"/>
      <c r="D190" s="91"/>
      <c r="E190" s="91"/>
      <c r="F190" s="124">
        <v>1320</v>
      </c>
    </row>
    <row r="191" spans="1:6" s="113" customFormat="1" ht="14.25" customHeight="1">
      <c r="A191" s="87" t="s">
        <v>280</v>
      </c>
      <c r="B191" s="91" t="s">
        <v>2413</v>
      </c>
      <c r="C191" s="91"/>
      <c r="D191" s="91"/>
      <c r="E191" s="91"/>
      <c r="F191" s="124">
        <v>1320</v>
      </c>
    </row>
    <row r="192" spans="1:6" s="113" customFormat="1" ht="14.25" customHeight="1">
      <c r="A192" s="87" t="s">
        <v>280</v>
      </c>
      <c r="B192" s="91" t="s">
        <v>2417</v>
      </c>
      <c r="C192" s="91"/>
      <c r="D192" s="91"/>
      <c r="E192" s="91"/>
      <c r="F192" s="124">
        <v>1100</v>
      </c>
    </row>
    <row r="193" spans="1:6" s="113" customFormat="1" ht="14.25" customHeight="1">
      <c r="A193" s="87" t="s">
        <v>280</v>
      </c>
      <c r="B193" s="91" t="s">
        <v>2421</v>
      </c>
      <c r="C193" s="91"/>
      <c r="D193" s="91"/>
      <c r="E193" s="91"/>
      <c r="F193" s="124">
        <v>1100</v>
      </c>
    </row>
    <row r="194" spans="1:6" s="113" customFormat="1" ht="14.25" customHeight="1">
      <c r="A194" s="87" t="s">
        <v>280</v>
      </c>
      <c r="B194" s="91" t="s">
        <v>2425</v>
      </c>
      <c r="C194" s="91"/>
      <c r="D194" s="91"/>
      <c r="E194" s="91"/>
      <c r="F194" s="124">
        <v>1080</v>
      </c>
    </row>
    <row r="195" spans="1:6" s="113" customFormat="1" ht="14.25" customHeight="1">
      <c r="A195" s="87" t="s">
        <v>280</v>
      </c>
      <c r="B195" s="91" t="s">
        <v>2429</v>
      </c>
      <c r="C195" s="91"/>
      <c r="D195" s="91"/>
      <c r="E195" s="91"/>
      <c r="F195" s="124">
        <v>1270</v>
      </c>
    </row>
    <row r="196" spans="1:6" s="113" customFormat="1" ht="14.25" customHeight="1">
      <c r="A196" s="87" t="s">
        <v>280</v>
      </c>
      <c r="B196" s="91" t="s">
        <v>2433</v>
      </c>
      <c r="C196" s="91"/>
      <c r="D196" s="91"/>
      <c r="E196" s="91"/>
      <c r="F196" s="124">
        <v>1150</v>
      </c>
    </row>
    <row r="197" spans="1:6" s="113" customFormat="1" ht="14.25" customHeight="1">
      <c r="A197" s="87" t="s">
        <v>280</v>
      </c>
      <c r="B197" s="91" t="s">
        <v>2437</v>
      </c>
      <c r="C197" s="91"/>
      <c r="D197" s="91"/>
      <c r="E197" s="91"/>
      <c r="F197" s="124">
        <v>1330</v>
      </c>
    </row>
    <row r="198" spans="1:6" s="113" customFormat="1" ht="14.25" customHeight="1">
      <c r="A198" s="87" t="s">
        <v>280</v>
      </c>
      <c r="B198" s="91" t="s">
        <v>2440</v>
      </c>
      <c r="C198" s="91"/>
      <c r="D198" s="91"/>
      <c r="E198" s="91"/>
      <c r="F198" s="124">
        <v>1170</v>
      </c>
    </row>
    <row r="199" spans="1:6" s="113" customFormat="1" ht="14.25" customHeight="1">
      <c r="A199" s="87" t="s">
        <v>280</v>
      </c>
      <c r="B199" s="91" t="s">
        <v>2443</v>
      </c>
      <c r="C199" s="91"/>
      <c r="D199" s="91"/>
      <c r="E199" s="91"/>
      <c r="F199" s="124">
        <v>1120</v>
      </c>
    </row>
    <row r="200" spans="1:6" s="113" customFormat="1" ht="14.25" customHeight="1">
      <c r="A200" s="87" t="s">
        <v>280</v>
      </c>
      <c r="B200" s="91" t="s">
        <v>2446</v>
      </c>
      <c r="C200" s="91"/>
      <c r="D200" s="91"/>
      <c r="E200" s="91"/>
      <c r="F200" s="124">
        <v>1120</v>
      </c>
    </row>
    <row r="201" spans="1:6" s="113" customFormat="1" ht="14.25" customHeight="1">
      <c r="A201" s="87" t="s">
        <v>280</v>
      </c>
      <c r="B201" s="91" t="s">
        <v>2449</v>
      </c>
      <c r="C201" s="91"/>
      <c r="D201" s="91"/>
      <c r="E201" s="91"/>
      <c r="F201" s="124">
        <v>1540</v>
      </c>
    </row>
    <row r="202" spans="1:6" s="113" customFormat="1" ht="14.25" customHeight="1">
      <c r="A202" s="87" t="s">
        <v>280</v>
      </c>
      <c r="B202" s="91" t="s">
        <v>2452</v>
      </c>
      <c r="C202" s="91"/>
      <c r="D202" s="91"/>
      <c r="E202" s="91"/>
      <c r="F202" s="124">
        <v>1310</v>
      </c>
    </row>
    <row r="203" spans="1:6" s="113" customFormat="1" ht="14.25" customHeight="1">
      <c r="A203" s="87" t="s">
        <v>280</v>
      </c>
      <c r="B203" s="91" t="s">
        <v>2455</v>
      </c>
      <c r="C203" s="91"/>
      <c r="D203" s="91"/>
      <c r="E203" s="91"/>
      <c r="F203" s="124">
        <v>1310</v>
      </c>
    </row>
    <row r="204" spans="1:6" s="113" customFormat="1" ht="14.25" customHeight="1">
      <c r="A204" s="87" t="s">
        <v>280</v>
      </c>
      <c r="B204" s="91" t="s">
        <v>2457</v>
      </c>
      <c r="C204" s="91"/>
      <c r="D204" s="91"/>
      <c r="E204" s="91"/>
      <c r="F204" s="124">
        <v>1080</v>
      </c>
    </row>
    <row r="205" spans="1:6" s="113" customFormat="1" ht="14.25" customHeight="1">
      <c r="A205" s="87" t="s">
        <v>280</v>
      </c>
      <c r="B205" s="91" t="s">
        <v>2459</v>
      </c>
      <c r="C205" s="91"/>
      <c r="D205" s="91"/>
      <c r="E205" s="91"/>
      <c r="F205" s="124">
        <v>1080</v>
      </c>
    </row>
    <row r="206" spans="1:6" s="113" customFormat="1" ht="14.25" customHeight="1">
      <c r="A206" s="87" t="s">
        <v>285</v>
      </c>
      <c r="B206" s="88" t="s">
        <v>2125</v>
      </c>
      <c r="C206" s="88">
        <v>5450</v>
      </c>
      <c r="D206" s="88">
        <v>5430</v>
      </c>
      <c r="E206" s="88">
        <v>5700</v>
      </c>
      <c r="F206" s="121">
        <v>1020</v>
      </c>
    </row>
    <row r="207" spans="1:6" s="113" customFormat="1" ht="14.25" customHeight="1">
      <c r="A207" s="87" t="s">
        <v>285</v>
      </c>
      <c r="B207" s="91" t="s">
        <v>2138</v>
      </c>
      <c r="C207" s="91">
        <v>5860</v>
      </c>
      <c r="D207" s="91">
        <v>5820</v>
      </c>
      <c r="E207" s="91">
        <v>6050</v>
      </c>
      <c r="F207" s="124">
        <v>1080</v>
      </c>
    </row>
    <row r="208" spans="1:6" s="113" customFormat="1" ht="14.25" customHeight="1">
      <c r="A208" s="87" t="s">
        <v>285</v>
      </c>
      <c r="B208" s="91" t="s">
        <v>2152</v>
      </c>
      <c r="C208" s="91">
        <v>4630</v>
      </c>
      <c r="D208" s="91">
        <v>4600</v>
      </c>
      <c r="E208" s="91">
        <v>4840</v>
      </c>
      <c r="F208" s="124">
        <v>900</v>
      </c>
    </row>
    <row r="209" spans="1:6" s="113" customFormat="1" ht="14.25" customHeight="1">
      <c r="A209" s="87" t="s">
        <v>285</v>
      </c>
      <c r="B209" s="91" t="s">
        <v>2164</v>
      </c>
      <c r="C209" s="91">
        <v>5320</v>
      </c>
      <c r="D209" s="91">
        <v>5270</v>
      </c>
      <c r="E209" s="91">
        <v>5540</v>
      </c>
      <c r="F209" s="124">
        <v>980</v>
      </c>
    </row>
    <row r="210" spans="1:6" s="113" customFormat="1" ht="14.25" customHeight="1">
      <c r="A210" s="87" t="s">
        <v>285</v>
      </c>
      <c r="B210" s="91" t="s">
        <v>2176</v>
      </c>
      <c r="C210" s="91">
        <v>5760</v>
      </c>
      <c r="D210" s="91">
        <v>5710</v>
      </c>
      <c r="E210" s="91">
        <v>6010</v>
      </c>
      <c r="F210" s="124">
        <v>870</v>
      </c>
    </row>
    <row r="211" spans="1:6" s="113" customFormat="1" ht="14.25" customHeight="1">
      <c r="A211" s="87" t="s">
        <v>285</v>
      </c>
      <c r="B211" s="91" t="s">
        <v>2187</v>
      </c>
      <c r="C211" s="91">
        <v>4160</v>
      </c>
      <c r="D211" s="91">
        <v>4100</v>
      </c>
      <c r="E211" s="91">
        <v>4270</v>
      </c>
      <c r="F211" s="124">
        <v>790</v>
      </c>
    </row>
    <row r="212" spans="1:6" s="113" customFormat="1" ht="14.25" customHeight="1">
      <c r="A212" s="87" t="s">
        <v>285</v>
      </c>
      <c r="B212" s="91" t="s">
        <v>2198</v>
      </c>
      <c r="C212" s="91">
        <v>4880</v>
      </c>
      <c r="D212" s="91">
        <v>4850</v>
      </c>
      <c r="E212" s="91">
        <v>5110</v>
      </c>
      <c r="F212" s="124">
        <v>940</v>
      </c>
    </row>
    <row r="213" spans="1:6" s="113" customFormat="1" ht="14.25" customHeight="1">
      <c r="A213" s="87" t="s">
        <v>285</v>
      </c>
      <c r="B213" s="91" t="s">
        <v>2209</v>
      </c>
      <c r="C213" s="91">
        <v>4640</v>
      </c>
      <c r="D213" s="91">
        <v>4590</v>
      </c>
      <c r="E213" s="91">
        <v>4700</v>
      </c>
      <c r="F213" s="124">
        <v>1030</v>
      </c>
    </row>
    <row r="214" spans="1:6" s="113" customFormat="1" ht="14.25" customHeight="1">
      <c r="A214" s="87" t="s">
        <v>285</v>
      </c>
      <c r="B214" s="91" t="s">
        <v>2219</v>
      </c>
      <c r="C214" s="91">
        <v>4540</v>
      </c>
      <c r="D214" s="91">
        <v>4490</v>
      </c>
      <c r="E214" s="91">
        <v>4610</v>
      </c>
      <c r="F214" s="127"/>
    </row>
    <row r="215" spans="1:6" s="113" customFormat="1" ht="14.25" customHeight="1">
      <c r="A215" s="87" t="s">
        <v>285</v>
      </c>
      <c r="B215" s="91" t="s">
        <v>2229</v>
      </c>
      <c r="C215" s="91">
        <v>5280</v>
      </c>
      <c r="D215" s="91">
        <v>5250</v>
      </c>
      <c r="E215" s="91">
        <v>5520</v>
      </c>
      <c r="F215" s="124">
        <v>1000</v>
      </c>
    </row>
    <row r="216" spans="1:6" s="113" customFormat="1" ht="14.25" customHeight="1">
      <c r="A216" s="87" t="s">
        <v>285</v>
      </c>
      <c r="B216" s="91" t="s">
        <v>2239</v>
      </c>
      <c r="C216" s="91">
        <v>5100</v>
      </c>
      <c r="D216" s="91">
        <v>5050</v>
      </c>
      <c r="E216" s="91">
        <v>5300</v>
      </c>
      <c r="F216" s="124">
        <v>950</v>
      </c>
    </row>
    <row r="217" spans="1:6" s="113" customFormat="1" ht="14.25" customHeight="1">
      <c r="A217" s="87" t="s">
        <v>285</v>
      </c>
      <c r="B217" s="91" t="s">
        <v>2249</v>
      </c>
      <c r="C217" s="91">
        <v>5370</v>
      </c>
      <c r="D217" s="91">
        <v>5320</v>
      </c>
      <c r="E217" s="91">
        <v>5410</v>
      </c>
      <c r="F217" s="124">
        <v>950</v>
      </c>
    </row>
    <row r="218" spans="1:6" s="113" customFormat="1" ht="14.25" customHeight="1">
      <c r="A218" s="87" t="s">
        <v>285</v>
      </c>
      <c r="B218" s="91" t="s">
        <v>2259</v>
      </c>
      <c r="C218" s="91">
        <v>5540</v>
      </c>
      <c r="D218" s="91">
        <v>5480</v>
      </c>
      <c r="E218" s="91">
        <v>5740</v>
      </c>
      <c r="F218" s="124">
        <v>1020</v>
      </c>
    </row>
    <row r="219" spans="1:6" s="113" customFormat="1" ht="14.25" customHeight="1">
      <c r="A219" s="87" t="s">
        <v>285</v>
      </c>
      <c r="B219" s="91" t="s">
        <v>2269</v>
      </c>
      <c r="C219" s="91">
        <v>5140</v>
      </c>
      <c r="D219" s="91">
        <v>5100</v>
      </c>
      <c r="E219" s="91">
        <v>5350</v>
      </c>
      <c r="F219" s="124">
        <v>1120</v>
      </c>
    </row>
    <row r="220" spans="1:6" s="113" customFormat="1" ht="14.25" customHeight="1">
      <c r="A220" s="87" t="s">
        <v>285</v>
      </c>
      <c r="B220" s="91" t="s">
        <v>2279</v>
      </c>
      <c r="C220" s="91">
        <v>5040</v>
      </c>
      <c r="D220" s="91">
        <v>5000</v>
      </c>
      <c r="E220" s="91">
        <v>5240</v>
      </c>
      <c r="F220" s="124">
        <v>980</v>
      </c>
    </row>
    <row r="221" spans="1:6" s="113" customFormat="1" ht="14.25" customHeight="1">
      <c r="A221" s="87" t="s">
        <v>285</v>
      </c>
      <c r="B221" s="91" t="s">
        <v>2289</v>
      </c>
      <c r="C221" s="130"/>
      <c r="D221" s="130"/>
      <c r="E221" s="130"/>
      <c r="F221" s="124">
        <v>1070</v>
      </c>
    </row>
    <row r="222" spans="1:6" s="113" customFormat="1" ht="14.25" customHeight="1">
      <c r="A222" s="87" t="s">
        <v>285</v>
      </c>
      <c r="B222" s="91" t="s">
        <v>2299</v>
      </c>
      <c r="C222" s="130"/>
      <c r="D222" s="130"/>
      <c r="E222" s="130"/>
      <c r="F222" s="124">
        <v>870</v>
      </c>
    </row>
    <row r="223" spans="1:6" s="113" customFormat="1" ht="14.25" customHeight="1">
      <c r="A223" s="87" t="s">
        <v>285</v>
      </c>
      <c r="B223" s="91" t="s">
        <v>2309</v>
      </c>
      <c r="C223" s="130"/>
      <c r="D223" s="130"/>
      <c r="E223" s="130"/>
      <c r="F223" s="124">
        <v>940</v>
      </c>
    </row>
    <row r="224" spans="1:6" s="113" customFormat="1" ht="14.25" customHeight="1">
      <c r="A224" s="87" t="s">
        <v>285</v>
      </c>
      <c r="B224" s="91" t="s">
        <v>2319</v>
      </c>
      <c r="C224" s="130"/>
      <c r="D224" s="130"/>
      <c r="E224" s="130"/>
      <c r="F224" s="124">
        <v>990</v>
      </c>
    </row>
    <row r="225" spans="1:6" s="113" customFormat="1" ht="14.25" customHeight="1">
      <c r="A225" s="87" t="s">
        <v>285</v>
      </c>
      <c r="B225" s="91" t="s">
        <v>2328</v>
      </c>
      <c r="C225" s="91">
        <v>5730</v>
      </c>
      <c r="D225" s="91">
        <v>5680</v>
      </c>
      <c r="E225" s="91">
        <v>6020</v>
      </c>
      <c r="F225" s="124">
        <v>1000</v>
      </c>
    </row>
    <row r="226" spans="1:6" s="113" customFormat="1" ht="14.25" customHeight="1">
      <c r="A226" s="87" t="s">
        <v>285</v>
      </c>
      <c r="B226" s="91" t="s">
        <v>2336</v>
      </c>
      <c r="C226" s="91">
        <v>4970</v>
      </c>
      <c r="D226" s="91">
        <v>4940</v>
      </c>
      <c r="E226" s="91">
        <v>5180</v>
      </c>
      <c r="F226" s="124">
        <v>960</v>
      </c>
    </row>
    <row r="227" spans="1:6" s="113" customFormat="1" ht="14.25" customHeight="1">
      <c r="A227" s="87" t="s">
        <v>285</v>
      </c>
      <c r="B227" s="91" t="s">
        <v>2344</v>
      </c>
      <c r="C227" s="91">
        <v>5550</v>
      </c>
      <c r="D227" s="91">
        <v>5500</v>
      </c>
      <c r="E227" s="91">
        <v>5780</v>
      </c>
      <c r="F227" s="124">
        <v>940</v>
      </c>
    </row>
    <row r="228" spans="1:6" s="113" customFormat="1" ht="14.25" customHeight="1">
      <c r="A228" s="87" t="s">
        <v>285</v>
      </c>
      <c r="B228" s="91" t="s">
        <v>2351</v>
      </c>
      <c r="C228" s="91">
        <v>5460</v>
      </c>
      <c r="D228" s="91">
        <v>5420</v>
      </c>
      <c r="E228" s="91">
        <v>5690</v>
      </c>
      <c r="F228" s="124">
        <v>910</v>
      </c>
    </row>
    <row r="229" spans="1:6" s="113" customFormat="1" ht="14.25" customHeight="1">
      <c r="A229" s="87" t="s">
        <v>285</v>
      </c>
      <c r="B229" s="91" t="s">
        <v>2358</v>
      </c>
      <c r="C229" s="91">
        <v>5310</v>
      </c>
      <c r="D229" s="91">
        <v>5270</v>
      </c>
      <c r="E229" s="91">
        <v>5510</v>
      </c>
      <c r="F229" s="127"/>
    </row>
    <row r="230" spans="1:6" s="113" customFormat="1" ht="14.25" customHeight="1">
      <c r="A230" s="87" t="s">
        <v>285</v>
      </c>
      <c r="B230" s="91" t="s">
        <v>2365</v>
      </c>
      <c r="C230" s="91">
        <v>4540</v>
      </c>
      <c r="D230" s="91">
        <v>4500</v>
      </c>
      <c r="E230" s="91">
        <v>4730</v>
      </c>
      <c r="F230" s="127"/>
    </row>
    <row r="231" spans="1:6" s="113" customFormat="1" ht="14.25" customHeight="1">
      <c r="A231" s="87" t="s">
        <v>285</v>
      </c>
      <c r="B231" s="91" t="s">
        <v>2372</v>
      </c>
      <c r="C231" s="91">
        <v>4480</v>
      </c>
      <c r="D231" s="91">
        <v>4410</v>
      </c>
      <c r="E231" s="91">
        <v>4640</v>
      </c>
      <c r="F231" s="127"/>
    </row>
    <row r="232" spans="1:6" s="113" customFormat="1" ht="14.25" customHeight="1">
      <c r="A232" s="87" t="s">
        <v>285</v>
      </c>
      <c r="B232" s="91" t="s">
        <v>2379</v>
      </c>
      <c r="C232" s="91">
        <v>5670</v>
      </c>
      <c r="D232" s="91">
        <v>5600</v>
      </c>
      <c r="E232" s="91">
        <v>5890</v>
      </c>
      <c r="F232" s="124">
        <v>1150</v>
      </c>
    </row>
    <row r="233" spans="1:6" s="113" customFormat="1" ht="14.25" customHeight="1">
      <c r="A233" s="87" t="s">
        <v>285</v>
      </c>
      <c r="B233" s="91" t="s">
        <v>2384</v>
      </c>
      <c r="C233" s="91">
        <v>4590</v>
      </c>
      <c r="D233" s="91">
        <v>4500</v>
      </c>
      <c r="E233" s="91">
        <v>4600</v>
      </c>
      <c r="F233" s="127"/>
    </row>
    <row r="234" spans="1:6" s="113" customFormat="1" ht="14.25" customHeight="1">
      <c r="A234" s="87" t="s">
        <v>285</v>
      </c>
      <c r="B234" s="91" t="s">
        <v>2389</v>
      </c>
      <c r="C234" s="91">
        <v>3990</v>
      </c>
      <c r="D234" s="91">
        <v>3950</v>
      </c>
      <c r="E234" s="91">
        <v>4180</v>
      </c>
      <c r="F234" s="127"/>
    </row>
    <row r="235" spans="1:6" s="113" customFormat="1" ht="14.25" customHeight="1">
      <c r="A235" s="87" t="s">
        <v>285</v>
      </c>
      <c r="B235" s="91" t="s">
        <v>2394</v>
      </c>
      <c r="C235" s="91">
        <v>5590</v>
      </c>
      <c r="D235" s="91">
        <v>5540</v>
      </c>
      <c r="E235" s="91">
        <v>5810</v>
      </c>
      <c r="F235" s="124">
        <v>970</v>
      </c>
    </row>
    <row r="236" spans="1:6" s="113" customFormat="1" ht="14.25" customHeight="1">
      <c r="A236" s="87" t="s">
        <v>285</v>
      </c>
      <c r="B236" s="91" t="s">
        <v>2399</v>
      </c>
      <c r="C236" s="91"/>
      <c r="D236" s="91"/>
      <c r="E236" s="91"/>
      <c r="F236" s="124">
        <v>1020</v>
      </c>
    </row>
    <row r="237" spans="1:6" s="113" customFormat="1" ht="14.25" customHeight="1">
      <c r="A237" s="87" t="s">
        <v>285</v>
      </c>
      <c r="B237" s="91" t="s">
        <v>2404</v>
      </c>
      <c r="C237" s="91"/>
      <c r="D237" s="91"/>
      <c r="E237" s="91"/>
      <c r="F237" s="124">
        <v>960</v>
      </c>
    </row>
    <row r="238" spans="1:6" s="113" customFormat="1" ht="14.25" customHeight="1">
      <c r="A238" s="87" t="s">
        <v>285</v>
      </c>
      <c r="B238" s="91" t="s">
        <v>2409</v>
      </c>
      <c r="C238" s="91"/>
      <c r="D238" s="91"/>
      <c r="E238" s="91"/>
      <c r="F238" s="124">
        <v>960</v>
      </c>
    </row>
    <row r="239" spans="1:6" s="113" customFormat="1" ht="14.25" customHeight="1">
      <c r="A239" s="87" t="s">
        <v>285</v>
      </c>
      <c r="B239" s="91" t="s">
        <v>2414</v>
      </c>
      <c r="C239" s="91"/>
      <c r="D239" s="91"/>
      <c r="E239" s="91"/>
      <c r="F239" s="124">
        <v>960</v>
      </c>
    </row>
    <row r="240" spans="1:6" s="113" customFormat="1" ht="14.25" customHeight="1">
      <c r="A240" s="87" t="s">
        <v>285</v>
      </c>
      <c r="B240" s="91" t="s">
        <v>2418</v>
      </c>
      <c r="C240" s="91"/>
      <c r="D240" s="91"/>
      <c r="E240" s="91"/>
      <c r="F240" s="124">
        <v>990</v>
      </c>
    </row>
    <row r="241" spans="1:6" s="113" customFormat="1" ht="14.25" customHeight="1">
      <c r="A241" s="87" t="s">
        <v>285</v>
      </c>
      <c r="B241" s="91" t="s">
        <v>2422</v>
      </c>
      <c r="C241" s="91"/>
      <c r="D241" s="91"/>
      <c r="E241" s="91"/>
      <c r="F241" s="124">
        <v>1000</v>
      </c>
    </row>
    <row r="242" spans="1:6" s="113" customFormat="1" ht="14.25" customHeight="1">
      <c r="A242" s="87" t="s">
        <v>285</v>
      </c>
      <c r="B242" s="91" t="s">
        <v>2426</v>
      </c>
      <c r="C242" s="91"/>
      <c r="D242" s="91"/>
      <c r="E242" s="91"/>
      <c r="F242" s="124">
        <v>980</v>
      </c>
    </row>
    <row r="243" spans="1:6" s="113" customFormat="1" ht="14.25" customHeight="1">
      <c r="A243" s="87" t="s">
        <v>285</v>
      </c>
      <c r="B243" s="91" t="s">
        <v>2430</v>
      </c>
      <c r="C243" s="91"/>
      <c r="D243" s="91"/>
      <c r="E243" s="91"/>
      <c r="F243" s="124">
        <v>970</v>
      </c>
    </row>
    <row r="244" spans="1:6" s="113" customFormat="1" ht="14.25" customHeight="1">
      <c r="A244" s="87" t="s">
        <v>285</v>
      </c>
      <c r="B244" s="102" t="s">
        <v>2434</v>
      </c>
      <c r="C244" s="102"/>
      <c r="D244" s="102"/>
      <c r="E244" s="102"/>
      <c r="F244" s="126">
        <v>970</v>
      </c>
    </row>
    <row r="245" spans="1:6" s="113" customFormat="1" ht="14.25" customHeight="1">
      <c r="A245" s="87" t="s">
        <v>288</v>
      </c>
      <c r="B245" s="88" t="s">
        <v>2126</v>
      </c>
      <c r="C245" s="88">
        <v>4050</v>
      </c>
      <c r="D245" s="88">
        <v>4020</v>
      </c>
      <c r="E245" s="88">
        <v>4160</v>
      </c>
      <c r="F245" s="121">
        <v>840</v>
      </c>
    </row>
    <row r="246" spans="1:6" s="113" customFormat="1" ht="14.25" customHeight="1">
      <c r="A246" s="87" t="s">
        <v>288</v>
      </c>
      <c r="B246" s="91" t="s">
        <v>2139</v>
      </c>
      <c r="C246" s="91">
        <v>4010</v>
      </c>
      <c r="D246" s="91">
        <v>3960</v>
      </c>
      <c r="E246" s="91">
        <v>4130</v>
      </c>
      <c r="F246" s="124">
        <v>840</v>
      </c>
    </row>
    <row r="247" spans="1:6" s="113" customFormat="1" ht="14.25" customHeight="1">
      <c r="A247" s="87" t="s">
        <v>288</v>
      </c>
      <c r="B247" s="91" t="s">
        <v>2153</v>
      </c>
      <c r="C247" s="91">
        <v>3170</v>
      </c>
      <c r="D247" s="91">
        <v>3140</v>
      </c>
      <c r="E247" s="91">
        <v>3270</v>
      </c>
      <c r="F247" s="124">
        <v>640</v>
      </c>
    </row>
    <row r="248" spans="1:6" s="113" customFormat="1" ht="14.25" customHeight="1">
      <c r="A248" s="87" t="s">
        <v>288</v>
      </c>
      <c r="B248" s="91" t="s">
        <v>2165</v>
      </c>
      <c r="C248" s="91">
        <v>3140</v>
      </c>
      <c r="D248" s="91">
        <v>3120</v>
      </c>
      <c r="E248" s="91">
        <v>3240</v>
      </c>
      <c r="F248" s="124">
        <v>620</v>
      </c>
    </row>
    <row r="249" spans="1:6" s="113" customFormat="1" ht="14.25" customHeight="1">
      <c r="A249" s="87" t="s">
        <v>288</v>
      </c>
      <c r="B249" s="91" t="s">
        <v>2177</v>
      </c>
      <c r="C249" s="91">
        <v>3200</v>
      </c>
      <c r="D249" s="91">
        <v>3100</v>
      </c>
      <c r="E249" s="91">
        <v>3230</v>
      </c>
      <c r="F249" s="124">
        <v>750</v>
      </c>
    </row>
    <row r="250" spans="1:6" s="113" customFormat="1" ht="14.25" customHeight="1">
      <c r="A250" s="87" t="s">
        <v>288</v>
      </c>
      <c r="B250" s="91" t="s">
        <v>2188</v>
      </c>
      <c r="C250" s="91">
        <v>4060</v>
      </c>
      <c r="D250" s="91">
        <v>4000</v>
      </c>
      <c r="E250" s="91">
        <v>4140</v>
      </c>
      <c r="F250" s="124">
        <v>790</v>
      </c>
    </row>
    <row r="251" spans="1:6" s="113" customFormat="1" ht="14.25" customHeight="1">
      <c r="A251" s="87" t="s">
        <v>288</v>
      </c>
      <c r="B251" s="91" t="s">
        <v>2199</v>
      </c>
      <c r="C251" s="91">
        <v>3990</v>
      </c>
      <c r="D251" s="91">
        <v>3970</v>
      </c>
      <c r="E251" s="91">
        <v>4110</v>
      </c>
      <c r="F251" s="124">
        <v>730</v>
      </c>
    </row>
    <row r="252" spans="1:6" s="113" customFormat="1" ht="14.25" customHeight="1">
      <c r="A252" s="87" t="s">
        <v>288</v>
      </c>
      <c r="B252" s="91" t="s">
        <v>2210</v>
      </c>
      <c r="C252" s="91">
        <v>3560</v>
      </c>
      <c r="D252" s="91">
        <v>3530</v>
      </c>
      <c r="E252" s="91">
        <v>3650</v>
      </c>
      <c r="F252" s="124">
        <v>750</v>
      </c>
    </row>
    <row r="253" spans="1:6" s="113" customFormat="1" ht="14.25" customHeight="1">
      <c r="A253" s="87" t="s">
        <v>288</v>
      </c>
      <c r="B253" s="91" t="s">
        <v>2220</v>
      </c>
      <c r="C253" s="91">
        <v>3780</v>
      </c>
      <c r="D253" s="91">
        <v>3750</v>
      </c>
      <c r="E253" s="91">
        <v>3870</v>
      </c>
      <c r="F253" s="124">
        <v>770</v>
      </c>
    </row>
    <row r="254" spans="1:6" s="113" customFormat="1" ht="14.25" customHeight="1">
      <c r="A254" s="87" t="s">
        <v>288</v>
      </c>
      <c r="B254" s="91" t="s">
        <v>2230</v>
      </c>
      <c r="C254" s="130"/>
      <c r="D254" s="130"/>
      <c r="E254" s="130"/>
      <c r="F254" s="124">
        <v>740</v>
      </c>
    </row>
    <row r="255" spans="1:6" s="113" customFormat="1" ht="14.25" customHeight="1">
      <c r="A255" s="87" t="s">
        <v>288</v>
      </c>
      <c r="B255" s="91" t="s">
        <v>2240</v>
      </c>
      <c r="C255" s="130"/>
      <c r="D255" s="130"/>
      <c r="E255" s="130"/>
      <c r="F255" s="124">
        <v>760</v>
      </c>
    </row>
    <row r="256" spans="1:6" s="113" customFormat="1" ht="14.25" customHeight="1">
      <c r="A256" s="87" t="s">
        <v>288</v>
      </c>
      <c r="B256" s="91" t="s">
        <v>2250</v>
      </c>
      <c r="C256" s="91">
        <v>3760</v>
      </c>
      <c r="D256" s="91">
        <v>3730</v>
      </c>
      <c r="E256" s="91">
        <v>3870</v>
      </c>
      <c r="F256" s="124">
        <v>830</v>
      </c>
    </row>
    <row r="257" spans="1:6" s="113" customFormat="1" ht="14.25" customHeight="1">
      <c r="A257" s="87" t="s">
        <v>288</v>
      </c>
      <c r="B257" s="91" t="s">
        <v>2260</v>
      </c>
      <c r="C257" s="91">
        <v>3570</v>
      </c>
      <c r="D257" s="91">
        <v>3540</v>
      </c>
      <c r="E257" s="91">
        <v>3650</v>
      </c>
      <c r="F257" s="124">
        <v>790</v>
      </c>
    </row>
    <row r="258" spans="1:6" s="113" customFormat="1" ht="14.25" customHeight="1">
      <c r="A258" s="87" t="s">
        <v>288</v>
      </c>
      <c r="B258" s="91" t="s">
        <v>2270</v>
      </c>
      <c r="C258" s="91">
        <v>3410</v>
      </c>
      <c r="D258" s="91">
        <v>3380</v>
      </c>
      <c r="E258" s="91">
        <v>3500</v>
      </c>
      <c r="F258" s="124">
        <v>830</v>
      </c>
    </row>
    <row r="259" spans="1:6" s="113" customFormat="1" ht="14.25" customHeight="1">
      <c r="A259" s="87" t="s">
        <v>288</v>
      </c>
      <c r="B259" s="91" t="s">
        <v>2280</v>
      </c>
      <c r="C259" s="91">
        <v>3870</v>
      </c>
      <c r="D259" s="91">
        <v>3840</v>
      </c>
      <c r="E259" s="91">
        <v>3970</v>
      </c>
      <c r="F259" s="124">
        <v>830</v>
      </c>
    </row>
    <row r="260" spans="1:6" s="113" customFormat="1" ht="14.25" customHeight="1">
      <c r="A260" s="87" t="s">
        <v>288</v>
      </c>
      <c r="B260" s="91" t="s">
        <v>2290</v>
      </c>
      <c r="C260" s="91">
        <v>3700</v>
      </c>
      <c r="D260" s="91">
        <v>3660</v>
      </c>
      <c r="E260" s="91">
        <v>3810</v>
      </c>
      <c r="F260" s="124">
        <v>790</v>
      </c>
    </row>
    <row r="261" spans="1:6" s="113" customFormat="1" ht="14.25" customHeight="1">
      <c r="A261" s="87" t="s">
        <v>288</v>
      </c>
      <c r="B261" s="91" t="s">
        <v>2300</v>
      </c>
      <c r="C261" s="91">
        <v>3470</v>
      </c>
      <c r="D261" s="91">
        <v>3430</v>
      </c>
      <c r="E261" s="91">
        <v>3640</v>
      </c>
      <c r="F261" s="124">
        <v>760</v>
      </c>
    </row>
    <row r="262" spans="1:6" s="113" customFormat="1" ht="14.25" customHeight="1">
      <c r="A262" s="87" t="s">
        <v>288</v>
      </c>
      <c r="B262" s="91" t="s">
        <v>2310</v>
      </c>
      <c r="C262" s="91">
        <v>3510</v>
      </c>
      <c r="D262" s="91">
        <v>3470</v>
      </c>
      <c r="E262" s="91">
        <v>3680</v>
      </c>
      <c r="F262" s="127"/>
    </row>
    <row r="263" spans="1:6" s="113" customFormat="1" ht="14.25" customHeight="1">
      <c r="A263" s="87" t="s">
        <v>288</v>
      </c>
      <c r="B263" s="91" t="s">
        <v>2320</v>
      </c>
      <c r="C263" s="91">
        <v>3960</v>
      </c>
      <c r="D263" s="91">
        <v>3930</v>
      </c>
      <c r="E263" s="91">
        <v>4070</v>
      </c>
      <c r="F263" s="124">
        <v>830</v>
      </c>
    </row>
    <row r="264" spans="1:6" s="113" customFormat="1" ht="14.25" customHeight="1">
      <c r="A264" s="87" t="s">
        <v>288</v>
      </c>
      <c r="B264" s="91" t="s">
        <v>2329</v>
      </c>
      <c r="C264" s="91">
        <v>4010</v>
      </c>
      <c r="D264" s="91">
        <v>3980</v>
      </c>
      <c r="E264" s="91">
        <v>4150</v>
      </c>
      <c r="F264" s="124">
        <v>760</v>
      </c>
    </row>
    <row r="265" spans="1:6" s="113" customFormat="1" ht="14.25" customHeight="1">
      <c r="A265" s="87" t="s">
        <v>288</v>
      </c>
      <c r="B265" s="91" t="s">
        <v>2337</v>
      </c>
      <c r="C265" s="91">
        <v>3910</v>
      </c>
      <c r="D265" s="91">
        <v>3890</v>
      </c>
      <c r="E265" s="91">
        <v>4040</v>
      </c>
      <c r="F265" s="124">
        <v>780</v>
      </c>
    </row>
    <row r="266" spans="1:6" s="113" customFormat="1" ht="14.25" customHeight="1">
      <c r="A266" s="87" t="s">
        <v>288</v>
      </c>
      <c r="B266" s="91" t="s">
        <v>2345</v>
      </c>
      <c r="C266" s="91">
        <v>3930</v>
      </c>
      <c r="D266" s="91">
        <v>3900</v>
      </c>
      <c r="E266" s="91">
        <v>4080</v>
      </c>
      <c r="F266" s="124">
        <v>770</v>
      </c>
    </row>
    <row r="267" spans="1:6" s="113" customFormat="1" ht="14.25" customHeight="1">
      <c r="A267" s="87" t="s">
        <v>288</v>
      </c>
      <c r="B267" s="91" t="s">
        <v>2352</v>
      </c>
      <c r="C267" s="91">
        <v>3800</v>
      </c>
      <c r="D267" s="91">
        <v>3780</v>
      </c>
      <c r="E267" s="91">
        <v>3930</v>
      </c>
      <c r="F267" s="127"/>
    </row>
    <row r="268" spans="1:6" s="113" customFormat="1" ht="14.25" customHeight="1">
      <c r="A268" s="87" t="s">
        <v>288</v>
      </c>
      <c r="B268" s="91" t="s">
        <v>2359</v>
      </c>
      <c r="C268" s="91">
        <v>3460</v>
      </c>
      <c r="D268" s="91">
        <v>3430</v>
      </c>
      <c r="E268" s="91">
        <v>3560</v>
      </c>
      <c r="F268" s="124">
        <v>840</v>
      </c>
    </row>
    <row r="269" spans="1:6" s="113" customFormat="1" ht="14.25" customHeight="1">
      <c r="A269" s="87" t="s">
        <v>288</v>
      </c>
      <c r="B269" s="91" t="s">
        <v>2366</v>
      </c>
      <c r="C269" s="91">
        <v>3210</v>
      </c>
      <c r="D269" s="91">
        <v>3190</v>
      </c>
      <c r="E269" s="91">
        <v>3310</v>
      </c>
      <c r="F269" s="124">
        <v>730</v>
      </c>
    </row>
    <row r="270" spans="1:6" s="113" customFormat="1" ht="14.25" customHeight="1">
      <c r="A270" s="87" t="s">
        <v>288</v>
      </c>
      <c r="B270" s="91" t="s">
        <v>2373</v>
      </c>
      <c r="C270" s="91">
        <v>3240</v>
      </c>
      <c r="D270" s="91">
        <v>3210</v>
      </c>
      <c r="E270" s="91">
        <v>3390</v>
      </c>
      <c r="F270" s="124">
        <v>820</v>
      </c>
    </row>
    <row r="271" spans="1:6" s="113" customFormat="1" ht="14.25" customHeight="1">
      <c r="A271" s="87" t="s">
        <v>288</v>
      </c>
      <c r="B271" s="91" t="s">
        <v>2380</v>
      </c>
      <c r="C271" s="91">
        <v>3300</v>
      </c>
      <c r="D271" s="91">
        <v>3270</v>
      </c>
      <c r="E271" s="91">
        <v>3380</v>
      </c>
      <c r="F271" s="124">
        <v>750</v>
      </c>
    </row>
    <row r="272" spans="1:6" s="113" customFormat="1" ht="14.25" customHeight="1">
      <c r="A272" s="87" t="s">
        <v>288</v>
      </c>
      <c r="B272" s="91" t="s">
        <v>2385</v>
      </c>
      <c r="C272" s="130"/>
      <c r="D272" s="130"/>
      <c r="E272" s="130"/>
      <c r="F272" s="124">
        <v>740</v>
      </c>
    </row>
    <row r="273" spans="1:6" s="113" customFormat="1" ht="14.25" customHeight="1">
      <c r="A273" s="87" t="s">
        <v>288</v>
      </c>
      <c r="B273" s="91" t="s">
        <v>2390</v>
      </c>
      <c r="C273" s="91">
        <v>3130</v>
      </c>
      <c r="D273" s="91">
        <v>3100</v>
      </c>
      <c r="E273" s="91">
        <v>3230</v>
      </c>
      <c r="F273" s="124">
        <v>700</v>
      </c>
    </row>
    <row r="274" spans="1:6" s="113" customFormat="1" ht="14.25" customHeight="1">
      <c r="A274" s="87" t="s">
        <v>288</v>
      </c>
      <c r="B274" s="91" t="s">
        <v>2395</v>
      </c>
      <c r="C274" s="91">
        <v>3460</v>
      </c>
      <c r="D274" s="91">
        <v>3430</v>
      </c>
      <c r="E274" s="91">
        <v>3560</v>
      </c>
      <c r="F274" s="124">
        <v>690</v>
      </c>
    </row>
    <row r="275" spans="1:6" s="113" customFormat="1" ht="14.25" customHeight="1">
      <c r="A275" s="87" t="s">
        <v>288</v>
      </c>
      <c r="B275" s="91" t="s">
        <v>2400</v>
      </c>
      <c r="C275" s="91">
        <v>4040</v>
      </c>
      <c r="D275" s="91">
        <v>4020</v>
      </c>
      <c r="E275" s="91">
        <v>4160</v>
      </c>
      <c r="F275" s="124">
        <v>820</v>
      </c>
    </row>
    <row r="276" spans="1:6" s="113" customFormat="1" ht="14.25" customHeight="1">
      <c r="A276" s="87" t="s">
        <v>288</v>
      </c>
      <c r="B276" s="91" t="s">
        <v>2405</v>
      </c>
      <c r="C276" s="91">
        <v>3270</v>
      </c>
      <c r="D276" s="91">
        <v>3240</v>
      </c>
      <c r="E276" s="91">
        <v>3350</v>
      </c>
      <c r="F276" s="124">
        <v>680</v>
      </c>
    </row>
    <row r="277" spans="1:6" s="113" customFormat="1" ht="14.25" customHeight="1">
      <c r="A277" s="87" t="s">
        <v>288</v>
      </c>
      <c r="B277" s="91" t="s">
        <v>2410</v>
      </c>
      <c r="C277" s="91">
        <v>2930</v>
      </c>
      <c r="D277" s="91">
        <v>2900</v>
      </c>
      <c r="E277" s="91">
        <v>3000</v>
      </c>
      <c r="F277" s="124">
        <v>640</v>
      </c>
    </row>
    <row r="278" spans="1:6" s="113" customFormat="1" ht="14.25" customHeight="1">
      <c r="A278" s="87" t="s">
        <v>288</v>
      </c>
      <c r="B278" s="91" t="s">
        <v>2415</v>
      </c>
      <c r="C278" s="91">
        <v>4080</v>
      </c>
      <c r="D278" s="91">
        <v>4030</v>
      </c>
      <c r="E278" s="91">
        <v>4140</v>
      </c>
      <c r="F278" s="124">
        <v>850</v>
      </c>
    </row>
    <row r="279" spans="1:6" s="113" customFormat="1" ht="14.25" customHeight="1">
      <c r="A279" s="87" t="s">
        <v>288</v>
      </c>
      <c r="B279" s="91" t="s">
        <v>2419</v>
      </c>
      <c r="C279" s="91"/>
      <c r="D279" s="91"/>
      <c r="E279" s="91"/>
      <c r="F279" s="124">
        <v>760</v>
      </c>
    </row>
    <row r="280" spans="1:6" s="113" customFormat="1" ht="14.25" customHeight="1">
      <c r="A280" s="87" t="s">
        <v>288</v>
      </c>
      <c r="B280" s="91" t="s">
        <v>2423</v>
      </c>
      <c r="C280" s="91"/>
      <c r="D280" s="91"/>
      <c r="E280" s="91"/>
      <c r="F280" s="124">
        <v>760</v>
      </c>
    </row>
    <row r="281" spans="1:6" s="113" customFormat="1" ht="14.25" customHeight="1">
      <c r="A281" s="87" t="s">
        <v>288</v>
      </c>
      <c r="B281" s="91" t="s">
        <v>2427</v>
      </c>
      <c r="C281" s="91"/>
      <c r="D281" s="91"/>
      <c r="E281" s="91"/>
      <c r="F281" s="124">
        <v>780</v>
      </c>
    </row>
    <row r="282" spans="1:6" s="113" customFormat="1" ht="14.25" customHeight="1">
      <c r="A282" s="87" t="s">
        <v>288</v>
      </c>
      <c r="B282" s="91" t="s">
        <v>2431</v>
      </c>
      <c r="C282" s="91"/>
      <c r="D282" s="91"/>
      <c r="E282" s="91"/>
      <c r="F282" s="124">
        <v>730</v>
      </c>
    </row>
    <row r="283" spans="1:6" s="113" customFormat="1" ht="14.25" customHeight="1">
      <c r="A283" s="87" t="s">
        <v>288</v>
      </c>
      <c r="B283" s="91" t="s">
        <v>2435</v>
      </c>
      <c r="C283" s="91"/>
      <c r="D283" s="91"/>
      <c r="E283" s="91"/>
      <c r="F283" s="124">
        <v>770</v>
      </c>
    </row>
    <row r="284" spans="1:6" s="113" customFormat="1" ht="14.25" customHeight="1">
      <c r="A284" s="87" t="s">
        <v>288</v>
      </c>
      <c r="B284" s="91" t="s">
        <v>2438</v>
      </c>
      <c r="C284" s="91"/>
      <c r="D284" s="91"/>
      <c r="E284" s="91"/>
      <c r="F284" s="124">
        <v>640</v>
      </c>
    </row>
    <row r="285" spans="1:6" s="113" customFormat="1" ht="14.25" customHeight="1">
      <c r="A285" s="87" t="s">
        <v>288</v>
      </c>
      <c r="B285" s="91" t="s">
        <v>2441</v>
      </c>
      <c r="C285" s="91"/>
      <c r="D285" s="91"/>
      <c r="E285" s="91"/>
      <c r="F285" s="124">
        <v>640</v>
      </c>
    </row>
    <row r="286" spans="1:6" s="113" customFormat="1" ht="14.25" customHeight="1">
      <c r="A286" s="87" t="s">
        <v>288</v>
      </c>
      <c r="B286" s="91" t="s">
        <v>2444</v>
      </c>
      <c r="C286" s="91"/>
      <c r="D286" s="91"/>
      <c r="E286" s="91"/>
      <c r="F286" s="124">
        <v>850</v>
      </c>
    </row>
    <row r="287" spans="1:6" s="113" customFormat="1" ht="14.25" customHeight="1">
      <c r="A287" s="87" t="s">
        <v>288</v>
      </c>
      <c r="B287" s="91" t="s">
        <v>2447</v>
      </c>
      <c r="C287" s="91"/>
      <c r="D287" s="91"/>
      <c r="E287" s="91"/>
      <c r="F287" s="124">
        <v>760</v>
      </c>
    </row>
    <row r="288" spans="1:6" s="113" customFormat="1" ht="14.25" customHeight="1">
      <c r="A288" s="87" t="s">
        <v>288</v>
      </c>
      <c r="B288" s="91" t="s">
        <v>2450</v>
      </c>
      <c r="C288" s="91"/>
      <c r="D288" s="91"/>
      <c r="E288" s="91"/>
      <c r="F288" s="124">
        <v>830</v>
      </c>
    </row>
    <row r="289" spans="1:6" s="113" customFormat="1" ht="14.25" customHeight="1">
      <c r="A289" s="87" t="s">
        <v>288</v>
      </c>
      <c r="B289" s="102" t="s">
        <v>2453</v>
      </c>
      <c r="C289" s="102"/>
      <c r="D289" s="102"/>
      <c r="E289" s="102"/>
      <c r="F289" s="126">
        <v>680</v>
      </c>
    </row>
    <row r="290" spans="1:6" s="113" customFormat="1" ht="14.25" customHeight="1">
      <c r="A290" s="87" t="s">
        <v>291</v>
      </c>
      <c r="B290" s="88" t="s">
        <v>2127</v>
      </c>
      <c r="C290" s="88">
        <v>2770</v>
      </c>
      <c r="D290" s="88">
        <v>2740</v>
      </c>
      <c r="E290" s="88">
        <v>2720</v>
      </c>
      <c r="F290" s="131"/>
    </row>
    <row r="291" spans="1:6" s="113" customFormat="1" ht="14.25" customHeight="1">
      <c r="A291" s="87" t="s">
        <v>291</v>
      </c>
      <c r="B291" s="91" t="s">
        <v>2140</v>
      </c>
      <c r="C291" s="91">
        <v>2670</v>
      </c>
      <c r="D291" s="91">
        <v>2640</v>
      </c>
      <c r="E291" s="91">
        <v>2620</v>
      </c>
      <c r="F291" s="127"/>
    </row>
    <row r="292" spans="1:6" s="113" customFormat="1" ht="14.25" customHeight="1">
      <c r="A292" s="87" t="s">
        <v>291</v>
      </c>
      <c r="B292" s="91" t="s">
        <v>2154</v>
      </c>
      <c r="C292" s="91">
        <v>2180</v>
      </c>
      <c r="D292" s="91">
        <v>2140</v>
      </c>
      <c r="E292" s="91">
        <v>2120</v>
      </c>
      <c r="F292" s="124">
        <v>490</v>
      </c>
    </row>
    <row r="293" spans="1:6" s="113" customFormat="1" ht="14.25" customHeight="1">
      <c r="A293" s="87" t="s">
        <v>291</v>
      </c>
      <c r="B293" s="91" t="s">
        <v>2460</v>
      </c>
      <c r="C293" s="91"/>
      <c r="D293" s="91"/>
      <c r="E293" s="91"/>
      <c r="F293" s="124">
        <v>470</v>
      </c>
    </row>
    <row r="294" spans="1:6" s="113" customFormat="1" ht="14.25" customHeight="1">
      <c r="A294" s="87" t="s">
        <v>291</v>
      </c>
      <c r="B294" s="91" t="s">
        <v>2166</v>
      </c>
      <c r="C294" s="91">
        <v>2730</v>
      </c>
      <c r="D294" s="91">
        <v>2700</v>
      </c>
      <c r="E294" s="91">
        <v>2680</v>
      </c>
      <c r="F294" s="124">
        <v>490</v>
      </c>
    </row>
    <row r="295" spans="1:6" s="113" customFormat="1" ht="14.25" customHeight="1">
      <c r="A295" s="87" t="s">
        <v>291</v>
      </c>
      <c r="B295" s="91" t="s">
        <v>2178</v>
      </c>
      <c r="C295" s="91">
        <v>2380</v>
      </c>
      <c r="D295" s="91">
        <v>2350</v>
      </c>
      <c r="E295" s="91">
        <v>2330</v>
      </c>
      <c r="F295" s="124">
        <v>530</v>
      </c>
    </row>
    <row r="296" spans="1:6" s="113" customFormat="1" ht="14.25" customHeight="1">
      <c r="A296" s="87" t="s">
        <v>291</v>
      </c>
      <c r="B296" s="91" t="s">
        <v>2189</v>
      </c>
      <c r="C296" s="91">
        <v>2650</v>
      </c>
      <c r="D296" s="91">
        <v>2620</v>
      </c>
      <c r="E296" s="91">
        <v>2590</v>
      </c>
      <c r="F296" s="124">
        <v>590</v>
      </c>
    </row>
    <row r="297" spans="1:6" s="113" customFormat="1" ht="14.25" customHeight="1">
      <c r="A297" s="87" t="s">
        <v>291</v>
      </c>
      <c r="B297" s="91" t="s">
        <v>2200</v>
      </c>
      <c r="C297" s="91">
        <v>2700</v>
      </c>
      <c r="D297" s="91">
        <v>2670</v>
      </c>
      <c r="E297" s="91">
        <v>2650</v>
      </c>
      <c r="F297" s="124">
        <v>630</v>
      </c>
    </row>
    <row r="298" spans="1:6" s="113" customFormat="1" ht="14.25" customHeight="1">
      <c r="A298" s="87" t="s">
        <v>291</v>
      </c>
      <c r="B298" s="91" t="s">
        <v>2211</v>
      </c>
      <c r="C298" s="91">
        <v>2650</v>
      </c>
      <c r="D298" s="91">
        <v>2620</v>
      </c>
      <c r="E298" s="91">
        <v>2590</v>
      </c>
      <c r="F298" s="124">
        <v>640</v>
      </c>
    </row>
    <row r="299" spans="1:6" s="113" customFormat="1" ht="14.25" customHeight="1">
      <c r="A299" s="87" t="s">
        <v>291</v>
      </c>
      <c r="B299" s="91" t="s">
        <v>2221</v>
      </c>
      <c r="C299" s="91">
        <v>2500</v>
      </c>
      <c r="D299" s="91">
        <v>2480</v>
      </c>
      <c r="E299" s="91">
        <v>2460</v>
      </c>
      <c r="F299" s="127"/>
    </row>
    <row r="300" spans="1:6" s="113" customFormat="1" ht="14.25" customHeight="1">
      <c r="A300" s="87" t="s">
        <v>291</v>
      </c>
      <c r="B300" s="91" t="s">
        <v>2231</v>
      </c>
      <c r="C300" s="91">
        <v>2760</v>
      </c>
      <c r="D300" s="91">
        <v>2730</v>
      </c>
      <c r="E300" s="91">
        <v>2700</v>
      </c>
      <c r="F300" s="124">
        <v>630</v>
      </c>
    </row>
    <row r="301" spans="1:6" s="113" customFormat="1" ht="14.25" customHeight="1">
      <c r="A301" s="87" t="s">
        <v>291</v>
      </c>
      <c r="B301" s="91" t="s">
        <v>2241</v>
      </c>
      <c r="C301" s="91">
        <v>2510</v>
      </c>
      <c r="D301" s="91">
        <v>2480</v>
      </c>
      <c r="E301" s="91">
        <v>2460</v>
      </c>
      <c r="F301" s="127"/>
    </row>
    <row r="302" spans="1:6" s="113" customFormat="1" ht="14.25" customHeight="1">
      <c r="A302" s="87" t="s">
        <v>291</v>
      </c>
      <c r="B302" s="91" t="s">
        <v>2251</v>
      </c>
      <c r="C302" s="91">
        <v>2480</v>
      </c>
      <c r="D302" s="91">
        <v>2450</v>
      </c>
      <c r="E302" s="91">
        <v>2420</v>
      </c>
      <c r="F302" s="124">
        <v>600</v>
      </c>
    </row>
    <row r="303" spans="1:6" s="113" customFormat="1" ht="14.25" customHeight="1">
      <c r="A303" s="87" t="s">
        <v>291</v>
      </c>
      <c r="B303" s="91" t="s">
        <v>2261</v>
      </c>
      <c r="C303" s="91">
        <v>2270</v>
      </c>
      <c r="D303" s="91">
        <v>2240</v>
      </c>
      <c r="E303" s="91">
        <v>2210</v>
      </c>
      <c r="F303" s="124">
        <v>540</v>
      </c>
    </row>
    <row r="304" spans="1:6" s="113" customFormat="1" ht="14.25" customHeight="1">
      <c r="A304" s="87" t="s">
        <v>291</v>
      </c>
      <c r="B304" s="91" t="s">
        <v>2271</v>
      </c>
      <c r="C304" s="91">
        <v>2310</v>
      </c>
      <c r="D304" s="91">
        <v>2290</v>
      </c>
      <c r="E304" s="91">
        <v>2270</v>
      </c>
      <c r="F304" s="127"/>
    </row>
    <row r="305" spans="1:6" s="113" customFormat="1" ht="14.25" customHeight="1">
      <c r="A305" s="87" t="s">
        <v>291</v>
      </c>
      <c r="B305" s="91" t="s">
        <v>2281</v>
      </c>
      <c r="C305" s="91">
        <v>2490</v>
      </c>
      <c r="D305" s="91">
        <v>2470</v>
      </c>
      <c r="E305" s="91">
        <v>2440</v>
      </c>
      <c r="F305" s="124">
        <v>560</v>
      </c>
    </row>
    <row r="306" spans="1:6" s="113" customFormat="1" ht="14.25" customHeight="1">
      <c r="A306" s="87" t="s">
        <v>291</v>
      </c>
      <c r="B306" s="91" t="s">
        <v>2291</v>
      </c>
      <c r="C306" s="91">
        <v>2420</v>
      </c>
      <c r="D306" s="91">
        <v>2400</v>
      </c>
      <c r="E306" s="91">
        <v>2380</v>
      </c>
      <c r="F306" s="127"/>
    </row>
    <row r="307" spans="1:6" s="113" customFormat="1" ht="14.25" customHeight="1">
      <c r="A307" s="87" t="s">
        <v>291</v>
      </c>
      <c r="B307" s="91" t="s">
        <v>2301</v>
      </c>
      <c r="C307" s="91">
        <v>2770</v>
      </c>
      <c r="D307" s="91">
        <v>2740</v>
      </c>
      <c r="E307" s="91">
        <v>2710</v>
      </c>
      <c r="F307" s="124">
        <v>650</v>
      </c>
    </row>
    <row r="308" spans="1:6" s="113" customFormat="1" ht="14.25" customHeight="1">
      <c r="A308" s="87" t="s">
        <v>291</v>
      </c>
      <c r="B308" s="91" t="s">
        <v>2311</v>
      </c>
      <c r="C308" s="91">
        <v>2610</v>
      </c>
      <c r="D308" s="91">
        <v>2580</v>
      </c>
      <c r="E308" s="91">
        <v>2550</v>
      </c>
      <c r="F308" s="124">
        <v>580</v>
      </c>
    </row>
    <row r="309" spans="1:6" s="113" customFormat="1" ht="14.25" customHeight="1">
      <c r="A309" s="87" t="s">
        <v>291</v>
      </c>
      <c r="B309" s="91" t="s">
        <v>2321</v>
      </c>
      <c r="C309" s="91">
        <v>2690</v>
      </c>
      <c r="D309" s="91">
        <v>2670</v>
      </c>
      <c r="E309" s="91">
        <v>2650</v>
      </c>
      <c r="F309" s="127"/>
    </row>
    <row r="310" spans="1:6" s="113" customFormat="1" ht="14.25" customHeight="1">
      <c r="A310" s="87" t="s">
        <v>291</v>
      </c>
      <c r="B310" s="91" t="s">
        <v>2330</v>
      </c>
      <c r="C310" s="91">
        <v>2360</v>
      </c>
      <c r="D310" s="91">
        <v>2330</v>
      </c>
      <c r="E310" s="91">
        <v>2310</v>
      </c>
      <c r="F310" s="124">
        <v>560</v>
      </c>
    </row>
    <row r="311" spans="1:6" s="113" customFormat="1" ht="14.25" customHeight="1">
      <c r="A311" s="87" t="s">
        <v>291</v>
      </c>
      <c r="B311" s="91" t="s">
        <v>2338</v>
      </c>
      <c r="C311" s="91">
        <v>1970</v>
      </c>
      <c r="D311" s="91">
        <v>1950</v>
      </c>
      <c r="E311" s="91">
        <v>1920</v>
      </c>
      <c r="F311" s="124">
        <v>470</v>
      </c>
    </row>
    <row r="312" spans="1:6" s="113" customFormat="1" ht="14.25" customHeight="1">
      <c r="A312" s="87" t="s">
        <v>291</v>
      </c>
      <c r="B312" s="91" t="s">
        <v>2346</v>
      </c>
      <c r="C312" s="91">
        <v>2230</v>
      </c>
      <c r="D312" s="91">
        <v>2200</v>
      </c>
      <c r="E312" s="91">
        <v>2170</v>
      </c>
      <c r="F312" s="124">
        <v>460</v>
      </c>
    </row>
    <row r="313" spans="1:6" s="113" customFormat="1" ht="14.25" customHeight="1">
      <c r="A313" s="87" t="s">
        <v>291</v>
      </c>
      <c r="B313" s="91" t="s">
        <v>2353</v>
      </c>
      <c r="C313" s="91">
        <v>2770</v>
      </c>
      <c r="D313" s="91">
        <v>2740</v>
      </c>
      <c r="E313" s="91">
        <v>2710</v>
      </c>
      <c r="F313" s="124">
        <v>610</v>
      </c>
    </row>
    <row r="314" spans="1:6" s="113" customFormat="1" ht="14.25" customHeight="1">
      <c r="A314" s="87" t="s">
        <v>291</v>
      </c>
      <c r="B314" s="91" t="s">
        <v>2360</v>
      </c>
      <c r="C314" s="91"/>
      <c r="D314" s="91"/>
      <c r="E314" s="91"/>
      <c r="F314" s="124">
        <v>490</v>
      </c>
    </row>
    <row r="315" spans="1:6" s="113" customFormat="1" ht="14.25" customHeight="1">
      <c r="A315" s="87" t="s">
        <v>291</v>
      </c>
      <c r="B315" s="91" t="s">
        <v>2367</v>
      </c>
      <c r="C315" s="91"/>
      <c r="D315" s="91"/>
      <c r="E315" s="91"/>
      <c r="F315" s="124">
        <v>520</v>
      </c>
    </row>
    <row r="316" spans="1:6" s="113" customFormat="1" ht="14.25" customHeight="1">
      <c r="A316" s="87" t="s">
        <v>291</v>
      </c>
      <c r="B316" s="102" t="s">
        <v>2374</v>
      </c>
      <c r="C316" s="102"/>
      <c r="D316" s="102"/>
      <c r="E316" s="102"/>
      <c r="F316" s="126">
        <v>460</v>
      </c>
    </row>
    <row r="317" spans="1:6" s="113" customFormat="1" ht="14.25" customHeight="1">
      <c r="A317" s="87" t="s">
        <v>294</v>
      </c>
      <c r="B317" s="88" t="s">
        <v>2128</v>
      </c>
      <c r="C317" s="88">
        <v>1200</v>
      </c>
      <c r="D317" s="88">
        <v>1180</v>
      </c>
      <c r="E317" s="88">
        <v>1160</v>
      </c>
      <c r="F317" s="121">
        <v>370</v>
      </c>
    </row>
    <row r="318" spans="1:6" s="113" customFormat="1" ht="14.25" customHeight="1">
      <c r="A318" s="87" t="s">
        <v>294</v>
      </c>
      <c r="B318" s="91" t="s">
        <v>2141</v>
      </c>
      <c r="C318" s="91">
        <v>1090</v>
      </c>
      <c r="D318" s="91">
        <v>1060</v>
      </c>
      <c r="E318" s="91">
        <v>1040</v>
      </c>
      <c r="F318" s="127"/>
    </row>
    <row r="319" spans="1:6" s="113" customFormat="1" ht="14.25" customHeight="1">
      <c r="A319" s="87" t="s">
        <v>294</v>
      </c>
      <c r="B319" s="91" t="s">
        <v>2155</v>
      </c>
      <c r="C319" s="91">
        <v>1520</v>
      </c>
      <c r="D319" s="91">
        <v>1470</v>
      </c>
      <c r="E319" s="91">
        <v>1440</v>
      </c>
      <c r="F319" s="124">
        <v>370</v>
      </c>
    </row>
    <row r="320" spans="1:6" s="113" customFormat="1" ht="14.25" customHeight="1">
      <c r="A320" s="87" t="s">
        <v>294</v>
      </c>
      <c r="B320" s="91" t="s">
        <v>2167</v>
      </c>
      <c r="C320" s="91">
        <v>1360</v>
      </c>
      <c r="D320" s="91">
        <v>1300</v>
      </c>
      <c r="E320" s="91">
        <v>1270</v>
      </c>
      <c r="F320" s="127"/>
    </row>
    <row r="321" spans="1:6" s="113" customFormat="1" ht="14.25" customHeight="1">
      <c r="A321" s="87" t="s">
        <v>294</v>
      </c>
      <c r="B321" s="91" t="s">
        <v>2179</v>
      </c>
      <c r="C321" s="91">
        <v>1750</v>
      </c>
      <c r="D321" s="91">
        <v>1690</v>
      </c>
      <c r="E321" s="91">
        <v>1660</v>
      </c>
      <c r="F321" s="127"/>
    </row>
    <row r="322" spans="1:6" s="113" customFormat="1" ht="14.25" customHeight="1">
      <c r="A322" s="87" t="s">
        <v>294</v>
      </c>
      <c r="B322" s="91" t="s">
        <v>2190</v>
      </c>
      <c r="C322" s="91">
        <v>1650</v>
      </c>
      <c r="D322" s="91">
        <v>1610</v>
      </c>
      <c r="E322" s="91">
        <v>1580</v>
      </c>
      <c r="F322" s="124">
        <v>500</v>
      </c>
    </row>
    <row r="323" spans="1:6" s="113" customFormat="1" ht="14.25" customHeight="1">
      <c r="A323" s="87" t="s">
        <v>294</v>
      </c>
      <c r="B323" s="91" t="s">
        <v>2201</v>
      </c>
      <c r="C323" s="91">
        <v>1780</v>
      </c>
      <c r="D323" s="91">
        <v>1740</v>
      </c>
      <c r="E323" s="91">
        <v>1720</v>
      </c>
      <c r="F323" s="127"/>
    </row>
    <row r="324" spans="1:6" s="113" customFormat="1" ht="14.25" customHeight="1">
      <c r="A324" s="87" t="s">
        <v>294</v>
      </c>
      <c r="B324" s="91" t="s">
        <v>2212</v>
      </c>
      <c r="C324" s="91">
        <v>1650</v>
      </c>
      <c r="D324" s="91">
        <v>1610</v>
      </c>
      <c r="E324" s="91">
        <v>1580</v>
      </c>
      <c r="F324" s="127"/>
    </row>
    <row r="325" spans="1:6" s="113" customFormat="1" ht="14.25" customHeight="1">
      <c r="A325" s="87" t="s">
        <v>294</v>
      </c>
      <c r="B325" s="91" t="s">
        <v>2222</v>
      </c>
      <c r="C325" s="91">
        <v>1330</v>
      </c>
      <c r="D325" s="91">
        <v>1270</v>
      </c>
      <c r="E325" s="91">
        <v>1240</v>
      </c>
      <c r="F325" s="124">
        <v>430</v>
      </c>
    </row>
    <row r="326" spans="1:6" s="113" customFormat="1" ht="14.25" customHeight="1">
      <c r="A326" s="87" t="s">
        <v>294</v>
      </c>
      <c r="B326" s="91" t="s">
        <v>2232</v>
      </c>
      <c r="C326" s="91">
        <v>1470</v>
      </c>
      <c r="D326" s="91">
        <v>1430</v>
      </c>
      <c r="E326" s="91">
        <v>1400</v>
      </c>
      <c r="F326" s="127"/>
    </row>
    <row r="327" spans="1:6" s="113" customFormat="1" ht="14.25" customHeight="1">
      <c r="A327" s="87" t="s">
        <v>294</v>
      </c>
      <c r="B327" s="91" t="s">
        <v>2242</v>
      </c>
      <c r="C327" s="91">
        <v>1420</v>
      </c>
      <c r="D327" s="91">
        <v>1380</v>
      </c>
      <c r="E327" s="91">
        <v>1360</v>
      </c>
      <c r="F327" s="124">
        <v>420</v>
      </c>
    </row>
    <row r="328" spans="1:6" s="113" customFormat="1" ht="14.25" customHeight="1">
      <c r="A328" s="87" t="s">
        <v>294</v>
      </c>
      <c r="B328" s="91" t="s">
        <v>2252</v>
      </c>
      <c r="C328" s="91">
        <v>1400</v>
      </c>
      <c r="D328" s="91">
        <v>1360</v>
      </c>
      <c r="E328" s="91">
        <v>1330</v>
      </c>
      <c r="F328" s="124">
        <v>460</v>
      </c>
    </row>
    <row r="329" spans="1:6" s="113" customFormat="1" ht="14.25" customHeight="1">
      <c r="A329" s="87" t="s">
        <v>294</v>
      </c>
      <c r="B329" s="91" t="s">
        <v>2262</v>
      </c>
      <c r="C329" s="91">
        <v>1640</v>
      </c>
      <c r="D329" s="91">
        <v>1610</v>
      </c>
      <c r="E329" s="91">
        <v>1580</v>
      </c>
      <c r="F329" s="124">
        <v>410</v>
      </c>
    </row>
    <row r="330" spans="1:6" s="113" customFormat="1" ht="14.25" customHeight="1">
      <c r="A330" s="87" t="s">
        <v>294</v>
      </c>
      <c r="B330" s="91" t="s">
        <v>2272</v>
      </c>
      <c r="C330" s="91">
        <v>1260</v>
      </c>
      <c r="D330" s="91">
        <v>1220</v>
      </c>
      <c r="E330" s="91">
        <v>1200</v>
      </c>
      <c r="F330" s="127"/>
    </row>
    <row r="331" spans="1:6" s="113" customFormat="1" ht="14.25" customHeight="1">
      <c r="A331" s="87" t="s">
        <v>294</v>
      </c>
      <c r="B331" s="91" t="s">
        <v>2282</v>
      </c>
      <c r="C331" s="91">
        <v>1620</v>
      </c>
      <c r="D331" s="91">
        <v>1560</v>
      </c>
      <c r="E331" s="91">
        <v>1530</v>
      </c>
      <c r="F331" s="124">
        <v>490</v>
      </c>
    </row>
    <row r="332" spans="1:6" s="113" customFormat="1" ht="14.25" customHeight="1">
      <c r="A332" s="87" t="s">
        <v>294</v>
      </c>
      <c r="B332" s="91" t="s">
        <v>2292</v>
      </c>
      <c r="C332" s="91">
        <v>1520</v>
      </c>
      <c r="D332" s="91">
        <v>1470</v>
      </c>
      <c r="E332" s="91">
        <v>1440</v>
      </c>
      <c r="F332" s="124">
        <v>440</v>
      </c>
    </row>
    <row r="333" spans="1:6" s="113" customFormat="1" ht="14.25" customHeight="1">
      <c r="A333" s="87" t="s">
        <v>294</v>
      </c>
      <c r="B333" s="91" t="s">
        <v>2302</v>
      </c>
      <c r="C333" s="91">
        <v>1370</v>
      </c>
      <c r="D333" s="91">
        <v>1320</v>
      </c>
      <c r="E333" s="91">
        <v>1300</v>
      </c>
      <c r="F333" s="124">
        <v>460</v>
      </c>
    </row>
    <row r="334" spans="1:6" s="113" customFormat="1" ht="14.25" customHeight="1">
      <c r="A334" s="87" t="s">
        <v>294</v>
      </c>
      <c r="B334" s="91" t="s">
        <v>2312</v>
      </c>
      <c r="C334" s="91">
        <v>1410</v>
      </c>
      <c r="D334" s="91">
        <v>1340</v>
      </c>
      <c r="E334" s="91">
        <v>1310</v>
      </c>
      <c r="F334" s="124">
        <v>410</v>
      </c>
    </row>
    <row r="335" spans="1:6" s="113" customFormat="1" ht="14.25" customHeight="1">
      <c r="A335" s="87" t="s">
        <v>294</v>
      </c>
      <c r="B335" s="91" t="s">
        <v>2322</v>
      </c>
      <c r="C335" s="91">
        <v>1260</v>
      </c>
      <c r="D335" s="91">
        <v>1220</v>
      </c>
      <c r="E335" s="91">
        <v>1200</v>
      </c>
      <c r="F335" s="127"/>
    </row>
    <row r="336" spans="1:6" s="113" customFormat="1" ht="14.25" customHeight="1">
      <c r="A336" s="87" t="s">
        <v>294</v>
      </c>
      <c r="B336" s="91" t="s">
        <v>2331</v>
      </c>
      <c r="C336" s="91">
        <v>1160</v>
      </c>
      <c r="D336" s="91">
        <v>1140</v>
      </c>
      <c r="E336" s="91">
        <v>1120</v>
      </c>
      <c r="F336" s="124">
        <v>430</v>
      </c>
    </row>
    <row r="337" spans="1:6" s="113" customFormat="1" ht="14.25" customHeight="1">
      <c r="A337" s="87" t="s">
        <v>294</v>
      </c>
      <c r="B337" s="102" t="s">
        <v>2339</v>
      </c>
      <c r="C337" s="102"/>
      <c r="D337" s="102"/>
      <c r="E337" s="102"/>
      <c r="F337" s="126">
        <v>380</v>
      </c>
    </row>
    <row r="338" spans="1:6" s="113" customFormat="1" ht="14.25" customHeight="1">
      <c r="A338" s="87" t="s">
        <v>297</v>
      </c>
      <c r="B338" s="88" t="s">
        <v>2129</v>
      </c>
      <c r="C338" s="88">
        <v>880</v>
      </c>
      <c r="D338" s="88">
        <v>850</v>
      </c>
      <c r="E338" s="88">
        <v>830</v>
      </c>
      <c r="F338" s="131"/>
    </row>
    <row r="339" spans="1:6" s="113" customFormat="1" ht="14.25" customHeight="1">
      <c r="A339" s="87" t="s">
        <v>297</v>
      </c>
      <c r="B339" s="91" t="s">
        <v>2142</v>
      </c>
      <c r="C339" s="91">
        <v>830</v>
      </c>
      <c r="D339" s="91">
        <v>800</v>
      </c>
      <c r="E339" s="91">
        <v>780</v>
      </c>
      <c r="F339" s="127"/>
    </row>
    <row r="340" spans="1:6" s="113" customFormat="1" ht="14.25" customHeight="1">
      <c r="A340" s="87" t="s">
        <v>297</v>
      </c>
      <c r="B340" s="91" t="s">
        <v>2156</v>
      </c>
      <c r="C340" s="91">
        <v>980</v>
      </c>
      <c r="D340" s="91">
        <v>950</v>
      </c>
      <c r="E340" s="91">
        <v>920</v>
      </c>
      <c r="F340" s="127"/>
    </row>
    <row r="341" spans="1:6" s="113" customFormat="1" ht="14.25" customHeight="1">
      <c r="A341" s="87" t="s">
        <v>297</v>
      </c>
      <c r="B341" s="91" t="s">
        <v>2168</v>
      </c>
      <c r="C341" s="91">
        <v>760</v>
      </c>
      <c r="D341" s="91">
        <v>720</v>
      </c>
      <c r="E341" s="91">
        <v>690</v>
      </c>
      <c r="F341" s="124">
        <v>350</v>
      </c>
    </row>
    <row r="342" spans="1:6" s="113" customFormat="1" ht="14.25" customHeight="1">
      <c r="A342" s="87" t="s">
        <v>297</v>
      </c>
      <c r="B342" s="91" t="s">
        <v>2180</v>
      </c>
      <c r="C342" s="91">
        <v>910</v>
      </c>
      <c r="D342" s="91">
        <v>870</v>
      </c>
      <c r="E342" s="91">
        <v>850</v>
      </c>
      <c r="F342" s="124">
        <v>370</v>
      </c>
    </row>
    <row r="343" spans="1:6" s="113" customFormat="1" ht="14.25" customHeight="1">
      <c r="A343" s="87" t="s">
        <v>297</v>
      </c>
      <c r="B343" s="91" t="s">
        <v>2191</v>
      </c>
      <c r="C343" s="91">
        <v>800</v>
      </c>
      <c r="D343" s="91">
        <v>760</v>
      </c>
      <c r="E343" s="91">
        <v>730</v>
      </c>
      <c r="F343" s="124">
        <v>340</v>
      </c>
    </row>
    <row r="344" spans="1:6" s="113" customFormat="1" ht="14.25" customHeight="1">
      <c r="A344" s="87" t="s">
        <v>297</v>
      </c>
      <c r="B344" s="102" t="s">
        <v>2202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2" t="s">
        <v>2461</v>
      </c>
      <c r="B1" s="3302"/>
    </row>
    <row r="2" spans="1:6">
      <c r="A2" s="83"/>
      <c r="B2" s="83"/>
    </row>
    <row r="3" spans="1:6">
      <c r="A3" s="83"/>
      <c r="B3" s="83"/>
      <c r="C3" s="84" t="s">
        <v>1713</v>
      </c>
      <c r="D3" s="84" t="s">
        <v>1714</v>
      </c>
      <c r="E3" s="84" t="s">
        <v>1715</v>
      </c>
      <c r="F3" s="84" t="s">
        <v>464</v>
      </c>
    </row>
    <row r="4" spans="1:6">
      <c r="A4" s="85" t="s">
        <v>2130</v>
      </c>
      <c r="B4" s="86" t="s">
        <v>2143</v>
      </c>
      <c r="C4" s="84"/>
      <c r="D4" s="84"/>
      <c r="E4" s="84"/>
      <c r="F4" s="84"/>
    </row>
    <row r="5" spans="1:6">
      <c r="A5" s="87" t="s">
        <v>232</v>
      </c>
      <c r="B5" s="88" t="s">
        <v>2118</v>
      </c>
      <c r="C5" s="89">
        <v>8.8999999999999996E-2</v>
      </c>
      <c r="D5" s="89">
        <v>7.3999999999999996E-2</v>
      </c>
      <c r="E5" s="89">
        <v>7.4999999999999997E-2</v>
      </c>
      <c r="F5" s="90">
        <v>0.1</v>
      </c>
    </row>
    <row r="6" spans="1:6">
      <c r="A6" s="87" t="s">
        <v>232</v>
      </c>
      <c r="B6" s="91" t="s">
        <v>2131</v>
      </c>
      <c r="C6" s="92">
        <v>0.1</v>
      </c>
      <c r="D6" s="92">
        <v>9.0999999999999998E-2</v>
      </c>
      <c r="E6" s="92">
        <v>9.0999999999999998E-2</v>
      </c>
      <c r="F6" s="93">
        <v>0.1</v>
      </c>
    </row>
    <row r="7" spans="1:6">
      <c r="A7" s="87" t="s">
        <v>232</v>
      </c>
      <c r="B7" s="94" t="s">
        <v>2145</v>
      </c>
      <c r="C7" s="92">
        <v>8.5999999999999993E-2</v>
      </c>
      <c r="D7" s="92">
        <v>9.6000000000000002E-2</v>
      </c>
      <c r="E7" s="92">
        <v>7.5999999999999998E-2</v>
      </c>
      <c r="F7" s="93">
        <v>0.1</v>
      </c>
    </row>
    <row r="8" spans="1:6">
      <c r="A8" s="87" t="s">
        <v>232</v>
      </c>
      <c r="B8" s="91" t="s">
        <v>2157</v>
      </c>
      <c r="C8" s="92">
        <v>9.9000000000000005E-2</v>
      </c>
      <c r="D8" s="92">
        <v>9.8000000000000004E-2</v>
      </c>
      <c r="E8" s="92">
        <v>9.8000000000000004E-2</v>
      </c>
      <c r="F8" s="93">
        <v>0.1</v>
      </c>
    </row>
    <row r="9" spans="1:6">
      <c r="A9" s="95" t="s">
        <v>232</v>
      </c>
      <c r="B9" s="96" t="s">
        <v>2169</v>
      </c>
      <c r="C9" s="97">
        <v>0.05</v>
      </c>
      <c r="D9" s="98"/>
      <c r="E9" s="98"/>
      <c r="F9" s="99"/>
    </row>
    <row r="10" spans="1:6">
      <c r="A10" s="87" t="s">
        <v>243</v>
      </c>
      <c r="B10" s="88" t="s">
        <v>2119</v>
      </c>
      <c r="C10" s="89">
        <v>8.8999999999999996E-2</v>
      </c>
      <c r="D10" s="89">
        <v>7.2999999999999995E-2</v>
      </c>
      <c r="E10" s="89">
        <v>8.2000000000000003E-2</v>
      </c>
      <c r="F10" s="90">
        <v>0.1</v>
      </c>
    </row>
    <row r="11" spans="1:6">
      <c r="A11" s="87" t="s">
        <v>243</v>
      </c>
      <c r="B11" s="94" t="s">
        <v>2132</v>
      </c>
      <c r="C11" s="92">
        <v>8.8999999999999996E-2</v>
      </c>
      <c r="D11" s="92">
        <v>7.2999999999999995E-2</v>
      </c>
      <c r="E11" s="92">
        <v>8.2000000000000003E-2</v>
      </c>
      <c r="F11" s="93">
        <v>0.1</v>
      </c>
    </row>
    <row r="12" spans="1:6">
      <c r="A12" s="87" t="s">
        <v>243</v>
      </c>
      <c r="B12" s="94" t="s">
        <v>2146</v>
      </c>
      <c r="C12" s="92">
        <v>6.0999999999999999E-2</v>
      </c>
      <c r="D12" s="92">
        <v>7.0999999999999994E-2</v>
      </c>
      <c r="E12" s="92">
        <v>9.6000000000000002E-2</v>
      </c>
      <c r="F12" s="93">
        <v>0.1</v>
      </c>
    </row>
    <row r="13" spans="1:6">
      <c r="A13" s="87" t="s">
        <v>243</v>
      </c>
      <c r="B13" s="94" t="s">
        <v>2158</v>
      </c>
      <c r="C13" s="92">
        <v>6.9000000000000006E-2</v>
      </c>
      <c r="D13" s="92">
        <v>6.5000000000000002E-2</v>
      </c>
      <c r="E13" s="92">
        <v>6.6000000000000003E-2</v>
      </c>
      <c r="F13" s="93">
        <v>0.1</v>
      </c>
    </row>
    <row r="14" spans="1:6">
      <c r="A14" s="87" t="s">
        <v>243</v>
      </c>
      <c r="B14" s="94" t="s">
        <v>2170</v>
      </c>
      <c r="C14" s="92">
        <v>0.1</v>
      </c>
      <c r="D14" s="92">
        <v>6.5000000000000002E-2</v>
      </c>
      <c r="E14" s="92">
        <v>7.0000000000000007E-2</v>
      </c>
      <c r="F14" s="93">
        <v>0.1</v>
      </c>
    </row>
    <row r="15" spans="1:6">
      <c r="A15" s="87" t="s">
        <v>243</v>
      </c>
      <c r="B15" s="94" t="s">
        <v>2181</v>
      </c>
      <c r="C15" s="92">
        <v>9.8000000000000004E-2</v>
      </c>
      <c r="D15" s="92">
        <v>8.8999999999999996E-2</v>
      </c>
      <c r="E15" s="92">
        <v>8.8999999999999996E-2</v>
      </c>
      <c r="F15" s="93">
        <v>0.1</v>
      </c>
    </row>
    <row r="16" spans="1:6">
      <c r="A16" s="87" t="s">
        <v>243</v>
      </c>
      <c r="B16" s="94" t="s">
        <v>2192</v>
      </c>
      <c r="C16" s="92">
        <v>7.0000000000000007E-2</v>
      </c>
      <c r="D16" s="92">
        <v>9.2999999999999999E-2</v>
      </c>
      <c r="E16" s="92">
        <v>9.6000000000000002E-2</v>
      </c>
      <c r="F16" s="93">
        <v>0.1</v>
      </c>
    </row>
    <row r="17" spans="1:6">
      <c r="A17" s="87" t="s">
        <v>243</v>
      </c>
      <c r="B17" s="94" t="s">
        <v>2203</v>
      </c>
      <c r="C17" s="92">
        <v>9.5000000000000001E-2</v>
      </c>
      <c r="D17" s="92">
        <v>0.1</v>
      </c>
      <c r="E17" s="92">
        <v>0.1</v>
      </c>
      <c r="F17" s="100"/>
    </row>
    <row r="18" spans="1:6">
      <c r="A18" s="87" t="s">
        <v>243</v>
      </c>
      <c r="B18" s="94" t="s">
        <v>2213</v>
      </c>
      <c r="C18" s="92">
        <v>7.3999999999999996E-2</v>
      </c>
      <c r="D18" s="92">
        <v>9.9000000000000005E-2</v>
      </c>
      <c r="E18" s="92">
        <v>0.1</v>
      </c>
      <c r="F18" s="100"/>
    </row>
    <row r="19" spans="1:6">
      <c r="A19" s="87" t="s">
        <v>243</v>
      </c>
      <c r="B19" s="94" t="s">
        <v>2223</v>
      </c>
      <c r="C19" s="92">
        <v>9.9000000000000005E-2</v>
      </c>
      <c r="D19" s="92">
        <v>7.5999999999999998E-2</v>
      </c>
      <c r="E19" s="92">
        <v>8.6999999999999994E-2</v>
      </c>
      <c r="F19" s="100"/>
    </row>
    <row r="20" spans="1:6">
      <c r="A20" s="87" t="s">
        <v>243</v>
      </c>
      <c r="B20" s="94" t="s">
        <v>2233</v>
      </c>
      <c r="C20" s="92">
        <v>9.8000000000000004E-2</v>
      </c>
      <c r="D20" s="92">
        <v>8.5000000000000006E-2</v>
      </c>
      <c r="E20" s="92">
        <v>8.2000000000000003E-2</v>
      </c>
      <c r="F20" s="100"/>
    </row>
    <row r="21" spans="1:6">
      <c r="A21" s="87" t="s">
        <v>243</v>
      </c>
      <c r="B21" s="94" t="s">
        <v>2243</v>
      </c>
      <c r="C21" s="92">
        <v>6.6000000000000003E-2</v>
      </c>
      <c r="D21" s="92">
        <v>6.4000000000000001E-2</v>
      </c>
      <c r="E21" s="92">
        <v>6.5000000000000002E-2</v>
      </c>
      <c r="F21" s="100"/>
    </row>
    <row r="22" spans="1:6">
      <c r="A22" s="87" t="s">
        <v>243</v>
      </c>
      <c r="B22" s="94" t="s">
        <v>2253</v>
      </c>
      <c r="C22" s="92">
        <v>0.08</v>
      </c>
      <c r="D22" s="92">
        <v>9.8000000000000004E-2</v>
      </c>
      <c r="E22" s="92">
        <v>9.8000000000000004E-2</v>
      </c>
      <c r="F22" s="100"/>
    </row>
    <row r="23" spans="1:6">
      <c r="A23" s="87" t="s">
        <v>243</v>
      </c>
      <c r="B23" s="94" t="s">
        <v>2263</v>
      </c>
      <c r="C23" s="92">
        <v>9.9000000000000005E-2</v>
      </c>
      <c r="D23" s="92">
        <v>9.8000000000000004E-2</v>
      </c>
      <c r="E23" s="92">
        <v>9.0999999999999998E-2</v>
      </c>
      <c r="F23" s="100"/>
    </row>
    <row r="24" spans="1:6">
      <c r="A24" s="87" t="s">
        <v>243</v>
      </c>
      <c r="B24" s="94" t="s">
        <v>2273</v>
      </c>
      <c r="C24" s="92">
        <v>8.8999999999999996E-2</v>
      </c>
      <c r="D24" s="92">
        <v>9.7000000000000003E-2</v>
      </c>
      <c r="E24" s="92">
        <v>7.0000000000000007E-2</v>
      </c>
      <c r="F24" s="100"/>
    </row>
    <row r="25" spans="1:6">
      <c r="A25" s="87" t="s">
        <v>243</v>
      </c>
      <c r="B25" s="94" t="s">
        <v>2283</v>
      </c>
      <c r="C25" s="92">
        <v>8.8999999999999996E-2</v>
      </c>
      <c r="D25" s="92">
        <v>0.1</v>
      </c>
      <c r="E25" s="92">
        <v>8.1000000000000003E-2</v>
      </c>
      <c r="F25" s="100"/>
    </row>
    <row r="26" spans="1:6">
      <c r="A26" s="87" t="s">
        <v>243</v>
      </c>
      <c r="B26" s="94" t="s">
        <v>2293</v>
      </c>
      <c r="C26" s="101"/>
      <c r="D26" s="92">
        <v>9.6000000000000002E-2</v>
      </c>
      <c r="E26" s="92">
        <v>9.2999999999999999E-2</v>
      </c>
      <c r="F26" s="100"/>
    </row>
    <row r="27" spans="1:6">
      <c r="A27" s="87" t="s">
        <v>243</v>
      </c>
      <c r="B27" s="94" t="s">
        <v>2303</v>
      </c>
      <c r="C27" s="101"/>
      <c r="D27" s="92">
        <v>7.5999999999999998E-2</v>
      </c>
      <c r="E27" s="92">
        <v>9.1999999999999998E-2</v>
      </c>
      <c r="F27" s="100"/>
    </row>
    <row r="28" spans="1:6">
      <c r="A28" s="95" t="s">
        <v>243</v>
      </c>
      <c r="B28" s="96" t="s">
        <v>2313</v>
      </c>
      <c r="C28" s="98"/>
      <c r="D28" s="97">
        <v>7.5999999999999998E-2</v>
      </c>
      <c r="E28" s="97">
        <v>9.1999999999999998E-2</v>
      </c>
      <c r="F28" s="99"/>
    </row>
    <row r="29" spans="1:6">
      <c r="A29" s="87" t="s">
        <v>253</v>
      </c>
      <c r="B29" s="88" t="s">
        <v>2120</v>
      </c>
      <c r="C29" s="89">
        <v>6.4000000000000001E-2</v>
      </c>
      <c r="D29" s="89">
        <v>6.5000000000000002E-2</v>
      </c>
      <c r="E29" s="89">
        <v>6.9000000000000006E-2</v>
      </c>
      <c r="F29" s="90">
        <v>0.1</v>
      </c>
    </row>
    <row r="30" spans="1:6">
      <c r="A30" s="87" t="s">
        <v>253</v>
      </c>
      <c r="B30" s="94" t="s">
        <v>2133</v>
      </c>
      <c r="C30" s="92">
        <v>6.4000000000000001E-2</v>
      </c>
      <c r="D30" s="92">
        <v>9.9000000000000005E-2</v>
      </c>
      <c r="E30" s="92">
        <v>0.1</v>
      </c>
      <c r="F30" s="93">
        <v>0.1</v>
      </c>
    </row>
    <row r="31" spans="1:6">
      <c r="A31" s="87" t="s">
        <v>253</v>
      </c>
      <c r="B31" s="94" t="s">
        <v>2147</v>
      </c>
      <c r="C31" s="92">
        <v>0.1</v>
      </c>
      <c r="D31" s="92">
        <v>9.5000000000000001E-2</v>
      </c>
      <c r="E31" s="92">
        <v>8.8999999999999996E-2</v>
      </c>
      <c r="F31" s="93">
        <v>0.1</v>
      </c>
    </row>
    <row r="32" spans="1:6">
      <c r="A32" s="87" t="s">
        <v>253</v>
      </c>
      <c r="B32" s="94" t="s">
        <v>2159</v>
      </c>
      <c r="C32" s="92">
        <v>0.05</v>
      </c>
      <c r="D32" s="92">
        <v>0.05</v>
      </c>
      <c r="E32" s="92">
        <v>8.7999999999999995E-2</v>
      </c>
      <c r="F32" s="93">
        <v>0.1</v>
      </c>
    </row>
    <row r="33" spans="1:6">
      <c r="A33" s="87" t="s">
        <v>253</v>
      </c>
      <c r="B33" s="94" t="s">
        <v>2171</v>
      </c>
      <c r="C33" s="92">
        <v>7.4999999999999997E-2</v>
      </c>
      <c r="D33" s="92">
        <v>9.4E-2</v>
      </c>
      <c r="E33" s="92">
        <v>9.7000000000000003E-2</v>
      </c>
      <c r="F33" s="93">
        <v>0.1</v>
      </c>
    </row>
    <row r="34" spans="1:6">
      <c r="A34" s="87" t="s">
        <v>253</v>
      </c>
      <c r="B34" s="94" t="s">
        <v>2182</v>
      </c>
      <c r="C34" s="92">
        <v>9.8000000000000004E-2</v>
      </c>
      <c r="D34" s="92">
        <v>8.5999999999999993E-2</v>
      </c>
      <c r="E34" s="92">
        <v>9.7000000000000003E-2</v>
      </c>
      <c r="F34" s="93">
        <v>0.1</v>
      </c>
    </row>
    <row r="35" spans="1:6">
      <c r="A35" s="87" t="s">
        <v>253</v>
      </c>
      <c r="B35" s="94" t="s">
        <v>2193</v>
      </c>
      <c r="C35" s="92">
        <v>5.8999999999999997E-2</v>
      </c>
      <c r="D35" s="92">
        <v>6.5000000000000002E-2</v>
      </c>
      <c r="E35" s="92">
        <v>7.0000000000000007E-2</v>
      </c>
      <c r="F35" s="93">
        <v>0.1</v>
      </c>
    </row>
    <row r="36" spans="1:6">
      <c r="A36" s="87" t="s">
        <v>253</v>
      </c>
      <c r="B36" s="94" t="s">
        <v>2204</v>
      </c>
      <c r="C36" s="92">
        <v>6.3E-2</v>
      </c>
      <c r="D36" s="92">
        <v>0.1</v>
      </c>
      <c r="E36" s="92">
        <v>0.1</v>
      </c>
      <c r="F36" s="93">
        <v>0.1</v>
      </c>
    </row>
    <row r="37" spans="1:6">
      <c r="A37" s="87" t="s">
        <v>253</v>
      </c>
      <c r="B37" s="94" t="s">
        <v>2214</v>
      </c>
      <c r="C37" s="92">
        <v>7.3999999999999996E-2</v>
      </c>
      <c r="D37" s="92">
        <v>0.1</v>
      </c>
      <c r="E37" s="92">
        <v>0.1</v>
      </c>
      <c r="F37" s="93">
        <v>0.1</v>
      </c>
    </row>
    <row r="38" spans="1:6">
      <c r="A38" s="87" t="s">
        <v>253</v>
      </c>
      <c r="B38" s="94" t="s">
        <v>2224</v>
      </c>
      <c r="C38" s="92">
        <v>0.1</v>
      </c>
      <c r="D38" s="92">
        <v>9.6000000000000002E-2</v>
      </c>
      <c r="E38" s="92">
        <v>9.6000000000000002E-2</v>
      </c>
      <c r="F38" s="100"/>
    </row>
    <row r="39" spans="1:6">
      <c r="A39" s="87" t="s">
        <v>253</v>
      </c>
      <c r="B39" s="94" t="s">
        <v>2234</v>
      </c>
      <c r="C39" s="92">
        <v>0.1</v>
      </c>
      <c r="D39" s="92">
        <v>9.6000000000000002E-2</v>
      </c>
      <c r="E39" s="92">
        <v>9.6000000000000002E-2</v>
      </c>
      <c r="F39" s="100"/>
    </row>
    <row r="40" spans="1:6">
      <c r="A40" s="87" t="s">
        <v>253</v>
      </c>
      <c r="B40" s="94" t="s">
        <v>2244</v>
      </c>
      <c r="C40" s="92">
        <v>9.6000000000000002E-2</v>
      </c>
      <c r="D40" s="92">
        <v>0.1</v>
      </c>
      <c r="E40" s="92">
        <v>9.9000000000000005E-2</v>
      </c>
      <c r="F40" s="100"/>
    </row>
    <row r="41" spans="1:6">
      <c r="A41" s="87" t="s">
        <v>253</v>
      </c>
      <c r="B41" s="94" t="s">
        <v>2254</v>
      </c>
      <c r="C41" s="92">
        <v>9.6000000000000002E-2</v>
      </c>
      <c r="D41" s="92">
        <v>9.8000000000000004E-2</v>
      </c>
      <c r="E41" s="92">
        <v>9.8000000000000004E-2</v>
      </c>
      <c r="F41" s="100"/>
    </row>
    <row r="42" spans="1:6">
      <c r="A42" s="87" t="s">
        <v>253</v>
      </c>
      <c r="B42" s="94" t="s">
        <v>2264</v>
      </c>
      <c r="C42" s="92">
        <v>0.1</v>
      </c>
      <c r="D42" s="92">
        <v>8.7999999999999995E-2</v>
      </c>
      <c r="E42" s="92">
        <v>0.1</v>
      </c>
      <c r="F42" s="100"/>
    </row>
    <row r="43" spans="1:6">
      <c r="A43" s="87" t="s">
        <v>253</v>
      </c>
      <c r="B43" s="94" t="s">
        <v>2274</v>
      </c>
      <c r="C43" s="92">
        <v>9.8000000000000004E-2</v>
      </c>
      <c r="D43" s="92">
        <v>9.7000000000000003E-2</v>
      </c>
      <c r="E43" s="92">
        <v>9.6000000000000002E-2</v>
      </c>
      <c r="F43" s="100"/>
    </row>
    <row r="44" spans="1:6">
      <c r="A44" s="87" t="s">
        <v>253</v>
      </c>
      <c r="B44" s="94" t="s">
        <v>2284</v>
      </c>
      <c r="C44" s="92">
        <v>8.5999999999999993E-2</v>
      </c>
      <c r="D44" s="92">
        <v>7.9000000000000001E-2</v>
      </c>
      <c r="E44" s="92">
        <v>7.0999999999999994E-2</v>
      </c>
      <c r="F44" s="100"/>
    </row>
    <row r="45" spans="1:6">
      <c r="A45" s="87" t="s">
        <v>253</v>
      </c>
      <c r="B45" s="94" t="s">
        <v>2294</v>
      </c>
      <c r="C45" s="92">
        <v>9.8000000000000004E-2</v>
      </c>
      <c r="D45" s="92">
        <v>9.6000000000000002E-2</v>
      </c>
      <c r="E45" s="92">
        <v>9.6000000000000002E-2</v>
      </c>
      <c r="F45" s="100"/>
    </row>
    <row r="46" spans="1:6">
      <c r="A46" s="87" t="s">
        <v>253</v>
      </c>
      <c r="B46" s="94" t="s">
        <v>2304</v>
      </c>
      <c r="C46" s="92">
        <v>8.5999999999999993E-2</v>
      </c>
      <c r="D46" s="92">
        <v>9.8000000000000004E-2</v>
      </c>
      <c r="E46" s="92">
        <v>8.7999999999999995E-2</v>
      </c>
      <c r="F46" s="100"/>
    </row>
    <row r="47" spans="1:6">
      <c r="A47" s="87" t="s">
        <v>253</v>
      </c>
      <c r="B47" s="94" t="s">
        <v>2314</v>
      </c>
      <c r="C47" s="92">
        <v>9.6000000000000002E-2</v>
      </c>
      <c r="D47" s="101"/>
      <c r="E47" s="92">
        <v>6.9000000000000006E-2</v>
      </c>
      <c r="F47" s="100"/>
    </row>
    <row r="48" spans="1:6">
      <c r="A48" s="95" t="s">
        <v>253</v>
      </c>
      <c r="B48" s="96" t="s">
        <v>2323</v>
      </c>
      <c r="C48" s="97">
        <v>9.8000000000000004E-2</v>
      </c>
      <c r="D48" s="98"/>
      <c r="E48" s="97">
        <v>9.5000000000000001E-2</v>
      </c>
      <c r="F48" s="99"/>
    </row>
    <row r="49" spans="1:6">
      <c r="A49" s="87" t="s">
        <v>261</v>
      </c>
      <c r="B49" s="88" t="s">
        <v>2121</v>
      </c>
      <c r="C49" s="89">
        <v>9.7000000000000003E-2</v>
      </c>
      <c r="D49" s="89">
        <v>9.5000000000000001E-2</v>
      </c>
      <c r="E49" s="89">
        <v>9.7000000000000003E-2</v>
      </c>
      <c r="F49" s="90">
        <v>0.1</v>
      </c>
    </row>
    <row r="50" spans="1:6">
      <c r="A50" s="87" t="s">
        <v>261</v>
      </c>
      <c r="B50" s="91" t="s">
        <v>2134</v>
      </c>
      <c r="C50" s="92">
        <v>7.4999999999999997E-2</v>
      </c>
      <c r="D50" s="92">
        <v>9.5000000000000001E-2</v>
      </c>
      <c r="E50" s="92">
        <v>0.1</v>
      </c>
      <c r="F50" s="93">
        <v>0.1</v>
      </c>
    </row>
    <row r="51" spans="1:6">
      <c r="A51" s="87" t="s">
        <v>261</v>
      </c>
      <c r="B51" s="91" t="s">
        <v>2148</v>
      </c>
      <c r="C51" s="92">
        <v>9.8000000000000004E-2</v>
      </c>
      <c r="D51" s="92">
        <v>8.8999999999999996E-2</v>
      </c>
      <c r="E51" s="92">
        <v>0.1</v>
      </c>
      <c r="F51" s="93">
        <v>0.1</v>
      </c>
    </row>
    <row r="52" spans="1:6">
      <c r="A52" s="87" t="s">
        <v>261</v>
      </c>
      <c r="B52" s="91" t="s">
        <v>2160</v>
      </c>
      <c r="C52" s="92">
        <v>9.8000000000000004E-2</v>
      </c>
      <c r="D52" s="92">
        <v>9.7000000000000003E-2</v>
      </c>
      <c r="E52" s="92">
        <v>8.1000000000000003E-2</v>
      </c>
      <c r="F52" s="93">
        <v>0.1</v>
      </c>
    </row>
    <row r="53" spans="1:6">
      <c r="A53" s="87" t="s">
        <v>261</v>
      </c>
      <c r="B53" s="91" t="s">
        <v>2172</v>
      </c>
      <c r="C53" s="92">
        <v>9.7000000000000003E-2</v>
      </c>
      <c r="D53" s="92">
        <v>7.5999999999999998E-2</v>
      </c>
      <c r="E53" s="92">
        <v>7.0999999999999994E-2</v>
      </c>
      <c r="F53" s="93">
        <v>0.1</v>
      </c>
    </row>
    <row r="54" spans="1:6">
      <c r="A54" s="87" t="s">
        <v>261</v>
      </c>
      <c r="B54" s="91" t="s">
        <v>2183</v>
      </c>
      <c r="C54" s="92">
        <v>7.5999999999999998E-2</v>
      </c>
      <c r="D54" s="92">
        <v>0.1</v>
      </c>
      <c r="E54" s="92">
        <v>9.9000000000000005E-2</v>
      </c>
      <c r="F54" s="93">
        <v>0.1</v>
      </c>
    </row>
    <row r="55" spans="1:6">
      <c r="A55" s="87" t="s">
        <v>261</v>
      </c>
      <c r="B55" s="91" t="s">
        <v>2194</v>
      </c>
      <c r="C55" s="92">
        <v>0.1</v>
      </c>
      <c r="D55" s="92">
        <v>0.1</v>
      </c>
      <c r="E55" s="92">
        <v>9.6000000000000002E-2</v>
      </c>
      <c r="F55" s="93">
        <v>0.1</v>
      </c>
    </row>
    <row r="56" spans="1:6">
      <c r="A56" s="87" t="s">
        <v>261</v>
      </c>
      <c r="B56" s="91" t="s">
        <v>2205</v>
      </c>
      <c r="C56" s="92">
        <v>0.1</v>
      </c>
      <c r="D56" s="92">
        <v>9.6000000000000002E-2</v>
      </c>
      <c r="E56" s="92">
        <v>5.1999999999999998E-2</v>
      </c>
      <c r="F56" s="93">
        <v>0.1</v>
      </c>
    </row>
    <row r="57" spans="1:6">
      <c r="A57" s="87" t="s">
        <v>261</v>
      </c>
      <c r="B57" s="91" t="s">
        <v>2215</v>
      </c>
      <c r="C57" s="92">
        <v>9.7000000000000003E-2</v>
      </c>
      <c r="D57" s="92">
        <v>9.6000000000000002E-2</v>
      </c>
      <c r="E57" s="92">
        <v>9.6000000000000002E-2</v>
      </c>
      <c r="F57" s="93">
        <v>0.1</v>
      </c>
    </row>
    <row r="58" spans="1:6">
      <c r="A58" s="87" t="s">
        <v>261</v>
      </c>
      <c r="B58" s="91" t="s">
        <v>2225</v>
      </c>
      <c r="C58" s="92">
        <v>9.6000000000000002E-2</v>
      </c>
      <c r="D58" s="92">
        <v>9.9000000000000005E-2</v>
      </c>
      <c r="E58" s="92">
        <v>9.6000000000000002E-2</v>
      </c>
      <c r="F58" s="93">
        <v>0.1</v>
      </c>
    </row>
    <row r="59" spans="1:6">
      <c r="A59" s="87" t="s">
        <v>261</v>
      </c>
      <c r="B59" s="91" t="s">
        <v>2235</v>
      </c>
      <c r="C59" s="92">
        <v>7.1999999999999995E-2</v>
      </c>
      <c r="D59" s="92">
        <v>9.6000000000000002E-2</v>
      </c>
      <c r="E59" s="92">
        <v>7.0999999999999994E-2</v>
      </c>
      <c r="F59" s="93">
        <v>0.1</v>
      </c>
    </row>
    <row r="60" spans="1:6">
      <c r="A60" s="87" t="s">
        <v>261</v>
      </c>
      <c r="B60" s="91" t="s">
        <v>2245</v>
      </c>
      <c r="C60" s="92">
        <v>9.6000000000000002E-2</v>
      </c>
      <c r="D60" s="92">
        <v>8.8999999999999996E-2</v>
      </c>
      <c r="E60" s="92">
        <v>9.6000000000000002E-2</v>
      </c>
      <c r="F60" s="93">
        <v>0.1</v>
      </c>
    </row>
    <row r="61" spans="1:6">
      <c r="A61" s="87" t="s">
        <v>261</v>
      </c>
      <c r="B61" s="91" t="s">
        <v>2255</v>
      </c>
      <c r="C61" s="92">
        <v>8.8999999999999996E-2</v>
      </c>
      <c r="D61" s="92">
        <v>9.8000000000000004E-2</v>
      </c>
      <c r="E61" s="92">
        <v>8.7999999999999995E-2</v>
      </c>
      <c r="F61" s="100"/>
    </row>
    <row r="62" spans="1:6">
      <c r="A62" s="87" t="s">
        <v>261</v>
      </c>
      <c r="B62" s="91" t="s">
        <v>2265</v>
      </c>
      <c r="C62" s="92">
        <v>9.8000000000000004E-2</v>
      </c>
      <c r="D62" s="92">
        <v>9.2999999999999999E-2</v>
      </c>
      <c r="E62" s="92">
        <v>9.7000000000000003E-2</v>
      </c>
      <c r="F62" s="100"/>
    </row>
    <row r="63" spans="1:6">
      <c r="A63" s="87" t="s">
        <v>261</v>
      </c>
      <c r="B63" s="91" t="s">
        <v>2275</v>
      </c>
      <c r="C63" s="92">
        <v>9.6000000000000002E-2</v>
      </c>
      <c r="D63" s="92">
        <v>9.8000000000000004E-2</v>
      </c>
      <c r="E63" s="92">
        <v>0.09</v>
      </c>
      <c r="F63" s="100"/>
    </row>
    <row r="64" spans="1:6">
      <c r="A64" s="87" t="s">
        <v>261</v>
      </c>
      <c r="B64" s="91" t="s">
        <v>2285</v>
      </c>
      <c r="C64" s="92">
        <v>9.9000000000000005E-2</v>
      </c>
      <c r="D64" s="92">
        <v>9.7000000000000003E-2</v>
      </c>
      <c r="E64" s="92">
        <v>9.9000000000000005E-2</v>
      </c>
      <c r="F64" s="100"/>
    </row>
    <row r="65" spans="1:6">
      <c r="A65" s="87" t="s">
        <v>261</v>
      </c>
      <c r="B65" s="91" t="s">
        <v>2295</v>
      </c>
      <c r="C65" s="92">
        <v>9.8000000000000004E-2</v>
      </c>
      <c r="D65" s="92">
        <v>9.6000000000000002E-2</v>
      </c>
      <c r="E65" s="92">
        <v>9.6000000000000002E-2</v>
      </c>
      <c r="F65" s="100"/>
    </row>
    <row r="66" spans="1:6">
      <c r="A66" s="87" t="s">
        <v>261</v>
      </c>
      <c r="B66" s="91" t="s">
        <v>2305</v>
      </c>
      <c r="C66" s="92">
        <v>9.6000000000000002E-2</v>
      </c>
      <c r="D66" s="92">
        <v>9.1999999999999998E-2</v>
      </c>
      <c r="E66" s="92">
        <v>9.6000000000000002E-2</v>
      </c>
      <c r="F66" s="100"/>
    </row>
    <row r="67" spans="1:6">
      <c r="A67" s="87" t="s">
        <v>261</v>
      </c>
      <c r="B67" s="91" t="s">
        <v>2315</v>
      </c>
      <c r="C67" s="92">
        <v>9.4E-2</v>
      </c>
      <c r="D67" s="92">
        <v>0.1</v>
      </c>
      <c r="E67" s="92">
        <v>8.7999999999999995E-2</v>
      </c>
      <c r="F67" s="100"/>
    </row>
    <row r="68" spans="1:6">
      <c r="A68" s="87" t="s">
        <v>261</v>
      </c>
      <c r="B68" s="91" t="s">
        <v>2324</v>
      </c>
      <c r="C68" s="92">
        <v>0.1</v>
      </c>
      <c r="D68" s="92">
        <v>8.7999999999999995E-2</v>
      </c>
      <c r="E68" s="92">
        <v>9.7000000000000003E-2</v>
      </c>
      <c r="F68" s="100"/>
    </row>
    <row r="69" spans="1:6">
      <c r="A69" s="87" t="s">
        <v>261</v>
      </c>
      <c r="B69" s="91" t="s">
        <v>2332</v>
      </c>
      <c r="C69" s="92">
        <v>6.4000000000000001E-2</v>
      </c>
      <c r="D69" s="92">
        <v>0.1</v>
      </c>
      <c r="E69" s="92">
        <v>0.1</v>
      </c>
      <c r="F69" s="100"/>
    </row>
    <row r="70" spans="1:6">
      <c r="A70" s="87" t="s">
        <v>261</v>
      </c>
      <c r="B70" s="91" t="s">
        <v>2340</v>
      </c>
      <c r="C70" s="92">
        <v>9.0999999999999998E-2</v>
      </c>
      <c r="D70" s="101"/>
      <c r="E70" s="101"/>
      <c r="F70" s="100"/>
    </row>
    <row r="71" spans="1:6">
      <c r="A71" s="87" t="s">
        <v>261</v>
      </c>
      <c r="B71" s="91" t="s">
        <v>2347</v>
      </c>
      <c r="C71" s="92">
        <v>0.1</v>
      </c>
      <c r="D71" s="101"/>
      <c r="E71" s="101"/>
      <c r="F71" s="100"/>
    </row>
    <row r="72" spans="1:6">
      <c r="A72" s="87" t="s">
        <v>261</v>
      </c>
      <c r="B72" s="91" t="s">
        <v>2354</v>
      </c>
      <c r="C72" s="101"/>
      <c r="D72" s="101"/>
      <c r="E72" s="101"/>
      <c r="F72" s="93">
        <v>0.05</v>
      </c>
    </row>
    <row r="73" spans="1:6">
      <c r="A73" s="87" t="s">
        <v>261</v>
      </c>
      <c r="B73" s="91" t="s">
        <v>2361</v>
      </c>
      <c r="C73" s="101"/>
      <c r="D73" s="101"/>
      <c r="E73" s="101"/>
      <c r="F73" s="93">
        <v>0.05</v>
      </c>
    </row>
    <row r="74" spans="1:6">
      <c r="A74" s="87" t="s">
        <v>261</v>
      </c>
      <c r="B74" s="91" t="s">
        <v>2368</v>
      </c>
      <c r="C74" s="101"/>
      <c r="D74" s="101"/>
      <c r="E74" s="101"/>
      <c r="F74" s="93">
        <v>0.05</v>
      </c>
    </row>
    <row r="75" spans="1:6">
      <c r="A75" s="95" t="s">
        <v>261</v>
      </c>
      <c r="B75" s="102" t="s">
        <v>2375</v>
      </c>
      <c r="C75" s="98"/>
      <c r="D75" s="98"/>
      <c r="E75" s="98"/>
      <c r="F75" s="103">
        <v>0.05</v>
      </c>
    </row>
    <row r="76" spans="1:6">
      <c r="A76" s="87" t="s">
        <v>269</v>
      </c>
      <c r="B76" s="88" t="s">
        <v>2122</v>
      </c>
      <c r="C76" s="89">
        <v>0.1</v>
      </c>
      <c r="D76" s="89">
        <v>0.1</v>
      </c>
      <c r="E76" s="89">
        <v>0.1</v>
      </c>
      <c r="F76" s="90">
        <v>0.1</v>
      </c>
    </row>
    <row r="77" spans="1:6">
      <c r="A77" s="87" t="s">
        <v>269</v>
      </c>
      <c r="B77" s="91" t="s">
        <v>2135</v>
      </c>
      <c r="C77" s="92">
        <v>8.7999999999999995E-2</v>
      </c>
      <c r="D77" s="92">
        <v>8.6999999999999994E-2</v>
      </c>
      <c r="E77" s="92">
        <v>7.9000000000000001E-2</v>
      </c>
      <c r="F77" s="93">
        <v>0.1</v>
      </c>
    </row>
    <row r="78" spans="1:6">
      <c r="A78" s="87" t="s">
        <v>269</v>
      </c>
      <c r="B78" s="91" t="s">
        <v>2149</v>
      </c>
      <c r="C78" s="92">
        <v>8.6999999999999994E-2</v>
      </c>
      <c r="D78" s="92">
        <v>8.4000000000000005E-2</v>
      </c>
      <c r="E78" s="92">
        <v>9.6000000000000002E-2</v>
      </c>
      <c r="F78" s="93">
        <v>0.1</v>
      </c>
    </row>
    <row r="79" spans="1:6">
      <c r="A79" s="87" t="s">
        <v>269</v>
      </c>
      <c r="B79" s="91" t="s">
        <v>2161</v>
      </c>
      <c r="C79" s="92">
        <v>9.8000000000000004E-2</v>
      </c>
      <c r="D79" s="92">
        <v>9.8000000000000004E-2</v>
      </c>
      <c r="E79" s="92">
        <v>9.0999999999999998E-2</v>
      </c>
      <c r="F79" s="93">
        <v>0.1</v>
      </c>
    </row>
    <row r="80" spans="1:6">
      <c r="A80" s="87" t="s">
        <v>269</v>
      </c>
      <c r="B80" s="91" t="s">
        <v>2173</v>
      </c>
      <c r="C80" s="92">
        <v>9.6000000000000002E-2</v>
      </c>
      <c r="D80" s="92">
        <v>9.6000000000000002E-2</v>
      </c>
      <c r="E80" s="92">
        <v>0.1</v>
      </c>
      <c r="F80" s="93">
        <v>0.1</v>
      </c>
    </row>
    <row r="81" spans="1:6">
      <c r="A81" s="87" t="s">
        <v>269</v>
      </c>
      <c r="B81" s="91" t="s">
        <v>2184</v>
      </c>
      <c r="C81" s="92">
        <v>9.9000000000000005E-2</v>
      </c>
      <c r="D81" s="92">
        <v>9.9000000000000005E-2</v>
      </c>
      <c r="E81" s="92">
        <v>9.8000000000000004E-2</v>
      </c>
      <c r="F81" s="93">
        <v>0.1</v>
      </c>
    </row>
    <row r="82" spans="1:6">
      <c r="A82" s="87" t="s">
        <v>269</v>
      </c>
      <c r="B82" s="91" t="s">
        <v>2195</v>
      </c>
      <c r="C82" s="92">
        <v>9.9000000000000005E-2</v>
      </c>
      <c r="D82" s="92">
        <v>9.9000000000000005E-2</v>
      </c>
      <c r="E82" s="92">
        <v>9.7000000000000003E-2</v>
      </c>
      <c r="F82" s="93">
        <v>0.1</v>
      </c>
    </row>
    <row r="83" spans="1:6">
      <c r="A83" s="87" t="s">
        <v>269</v>
      </c>
      <c r="B83" s="91" t="s">
        <v>2206</v>
      </c>
      <c r="C83" s="92">
        <v>9.8000000000000004E-2</v>
      </c>
      <c r="D83" s="92">
        <v>9.8000000000000004E-2</v>
      </c>
      <c r="E83" s="92">
        <v>9.8000000000000004E-2</v>
      </c>
      <c r="F83" s="93">
        <v>0.1</v>
      </c>
    </row>
    <row r="84" spans="1:6">
      <c r="A84" s="87" t="s">
        <v>269</v>
      </c>
      <c r="B84" s="91" t="s">
        <v>2216</v>
      </c>
      <c r="C84" s="92">
        <v>9.9000000000000005E-2</v>
      </c>
      <c r="D84" s="92">
        <v>9.9000000000000005E-2</v>
      </c>
      <c r="E84" s="92">
        <v>9.9000000000000005E-2</v>
      </c>
      <c r="F84" s="93">
        <v>0.1</v>
      </c>
    </row>
    <row r="85" spans="1:6">
      <c r="A85" s="87" t="s">
        <v>269</v>
      </c>
      <c r="B85" s="91" t="s">
        <v>2226</v>
      </c>
      <c r="C85" s="92">
        <v>9.9000000000000005E-2</v>
      </c>
      <c r="D85" s="92">
        <v>9.9000000000000005E-2</v>
      </c>
      <c r="E85" s="92">
        <v>9.9000000000000005E-2</v>
      </c>
      <c r="F85" s="93">
        <v>0.1</v>
      </c>
    </row>
    <row r="86" spans="1:6">
      <c r="A86" s="87" t="s">
        <v>269</v>
      </c>
      <c r="B86" s="91" t="s">
        <v>2236</v>
      </c>
      <c r="C86" s="92">
        <v>0.1</v>
      </c>
      <c r="D86" s="92">
        <v>0.1</v>
      </c>
      <c r="E86" s="92">
        <v>7.6999999999999999E-2</v>
      </c>
      <c r="F86" s="93">
        <v>0.1</v>
      </c>
    </row>
    <row r="87" spans="1:6">
      <c r="A87" s="87" t="s">
        <v>269</v>
      </c>
      <c r="B87" s="91" t="s">
        <v>2246</v>
      </c>
      <c r="C87" s="92">
        <v>0.1</v>
      </c>
      <c r="D87" s="92">
        <v>0.1</v>
      </c>
      <c r="E87" s="92">
        <v>9.8000000000000004E-2</v>
      </c>
      <c r="F87" s="100"/>
    </row>
    <row r="88" spans="1:6">
      <c r="A88" s="87" t="s">
        <v>269</v>
      </c>
      <c r="B88" s="91" t="s">
        <v>2256</v>
      </c>
      <c r="C88" s="92">
        <v>9.1999999999999998E-2</v>
      </c>
      <c r="D88" s="92">
        <v>8.5000000000000006E-2</v>
      </c>
      <c r="E88" s="92">
        <v>9.6000000000000002E-2</v>
      </c>
      <c r="F88" s="100"/>
    </row>
    <row r="89" spans="1:6">
      <c r="A89" s="87" t="s">
        <v>269</v>
      </c>
      <c r="B89" s="91" t="s">
        <v>2266</v>
      </c>
      <c r="C89" s="92">
        <v>0.1</v>
      </c>
      <c r="D89" s="92">
        <v>0.1</v>
      </c>
      <c r="E89" s="92">
        <v>9.7000000000000003E-2</v>
      </c>
      <c r="F89" s="100"/>
    </row>
    <row r="90" spans="1:6">
      <c r="A90" s="87" t="s">
        <v>269</v>
      </c>
      <c r="B90" s="91" t="s">
        <v>2276</v>
      </c>
      <c r="C90" s="92">
        <v>9.8000000000000004E-2</v>
      </c>
      <c r="D90" s="92">
        <v>9.8000000000000004E-2</v>
      </c>
      <c r="E90" s="92">
        <v>8.7999999999999995E-2</v>
      </c>
      <c r="F90" s="100"/>
    </row>
    <row r="91" spans="1:6">
      <c r="A91" s="87" t="s">
        <v>269</v>
      </c>
      <c r="B91" s="91" t="s">
        <v>2286</v>
      </c>
      <c r="C91" s="92">
        <v>9.9000000000000005E-2</v>
      </c>
      <c r="D91" s="92">
        <v>9.9000000000000005E-2</v>
      </c>
      <c r="E91" s="92">
        <v>9.0999999999999998E-2</v>
      </c>
      <c r="F91" s="100"/>
    </row>
    <row r="92" spans="1:6">
      <c r="A92" s="87" t="s">
        <v>269</v>
      </c>
      <c r="B92" s="91" t="s">
        <v>2296</v>
      </c>
      <c r="C92" s="92">
        <v>9.6000000000000002E-2</v>
      </c>
      <c r="D92" s="92">
        <v>9.6000000000000002E-2</v>
      </c>
      <c r="E92" s="92">
        <v>7.2999999999999995E-2</v>
      </c>
      <c r="F92" s="100"/>
    </row>
    <row r="93" spans="1:6">
      <c r="A93" s="87" t="s">
        <v>269</v>
      </c>
      <c r="B93" s="91" t="s">
        <v>2306</v>
      </c>
      <c r="C93" s="92">
        <v>9.6000000000000002E-2</v>
      </c>
      <c r="D93" s="92">
        <v>9.6000000000000002E-2</v>
      </c>
      <c r="E93" s="92">
        <v>9.9000000000000005E-2</v>
      </c>
      <c r="F93" s="100"/>
    </row>
    <row r="94" spans="1:6">
      <c r="A94" s="87" t="s">
        <v>269</v>
      </c>
      <c r="B94" s="91" t="s">
        <v>2316</v>
      </c>
      <c r="C94" s="92">
        <v>7.5999999999999998E-2</v>
      </c>
      <c r="D94" s="92">
        <v>7.3999999999999996E-2</v>
      </c>
      <c r="E94" s="92">
        <v>9.7000000000000003E-2</v>
      </c>
      <c r="F94" s="100"/>
    </row>
    <row r="95" spans="1:6">
      <c r="A95" s="87" t="s">
        <v>269</v>
      </c>
      <c r="B95" s="91" t="s">
        <v>2325</v>
      </c>
      <c r="C95" s="92">
        <v>9.9000000000000005E-2</v>
      </c>
      <c r="D95" s="92">
        <v>9.4E-2</v>
      </c>
      <c r="E95" s="92">
        <v>9.6000000000000002E-2</v>
      </c>
      <c r="F95" s="100"/>
    </row>
    <row r="96" spans="1:6">
      <c r="A96" s="87" t="s">
        <v>269</v>
      </c>
      <c r="B96" s="91" t="s">
        <v>2333</v>
      </c>
      <c r="C96" s="92">
        <v>9.9000000000000005E-2</v>
      </c>
      <c r="D96" s="92">
        <v>9.9000000000000005E-2</v>
      </c>
      <c r="E96" s="92">
        <v>9.9000000000000005E-2</v>
      </c>
      <c r="F96" s="100"/>
    </row>
    <row r="97" spans="1:6">
      <c r="A97" s="87" t="s">
        <v>269</v>
      </c>
      <c r="B97" s="91" t="s">
        <v>2341</v>
      </c>
      <c r="C97" s="92">
        <v>9.8000000000000004E-2</v>
      </c>
      <c r="D97" s="92">
        <v>9.8000000000000004E-2</v>
      </c>
      <c r="E97" s="92">
        <v>9.7000000000000003E-2</v>
      </c>
      <c r="F97" s="100"/>
    </row>
    <row r="98" spans="1:6">
      <c r="A98" s="87" t="s">
        <v>269</v>
      </c>
      <c r="B98" s="91" t="s">
        <v>2348</v>
      </c>
      <c r="C98" s="92">
        <v>0.1</v>
      </c>
      <c r="D98" s="92">
        <v>0.1</v>
      </c>
      <c r="E98" s="92">
        <v>9.7000000000000003E-2</v>
      </c>
      <c r="F98" s="100"/>
    </row>
    <row r="99" spans="1:6">
      <c r="A99" s="87" t="s">
        <v>269</v>
      </c>
      <c r="B99" s="91" t="s">
        <v>2355</v>
      </c>
      <c r="C99" s="92">
        <v>0.1</v>
      </c>
      <c r="D99" s="92">
        <v>0.1</v>
      </c>
      <c r="E99" s="101"/>
      <c r="F99" s="100"/>
    </row>
    <row r="100" spans="1:6">
      <c r="A100" s="87" t="s">
        <v>269</v>
      </c>
      <c r="B100" s="91" t="s">
        <v>2362</v>
      </c>
      <c r="C100" s="92">
        <v>0.09</v>
      </c>
      <c r="D100" s="92">
        <v>8.8999999999999996E-2</v>
      </c>
      <c r="E100" s="101"/>
      <c r="F100" s="100"/>
    </row>
    <row r="101" spans="1:6">
      <c r="A101" s="87" t="s">
        <v>269</v>
      </c>
      <c r="B101" s="91" t="s">
        <v>2369</v>
      </c>
      <c r="C101" s="92">
        <v>9.8000000000000004E-2</v>
      </c>
      <c r="D101" s="92">
        <v>9.7000000000000003E-2</v>
      </c>
      <c r="E101" s="101"/>
      <c r="F101" s="100"/>
    </row>
    <row r="102" spans="1:6">
      <c r="A102" s="87" t="s">
        <v>269</v>
      </c>
      <c r="B102" s="91" t="s">
        <v>2376</v>
      </c>
      <c r="C102" s="101"/>
      <c r="D102" s="101"/>
      <c r="E102" s="101"/>
      <c r="F102" s="93">
        <v>0.05</v>
      </c>
    </row>
    <row r="103" spans="1:6" ht="24">
      <c r="A103" s="87" t="s">
        <v>269</v>
      </c>
      <c r="B103" s="91" t="s">
        <v>2381</v>
      </c>
      <c r="C103" s="101"/>
      <c r="D103" s="101"/>
      <c r="E103" s="101"/>
      <c r="F103" s="93">
        <v>0.05</v>
      </c>
    </row>
    <row r="104" spans="1:6">
      <c r="A104" s="87" t="s">
        <v>269</v>
      </c>
      <c r="B104" s="91" t="s">
        <v>2386</v>
      </c>
      <c r="C104" s="101"/>
      <c r="D104" s="101"/>
      <c r="E104" s="101"/>
      <c r="F104" s="93">
        <v>0.05</v>
      </c>
    </row>
    <row r="105" spans="1:6">
      <c r="A105" s="87" t="s">
        <v>269</v>
      </c>
      <c r="B105" s="91" t="s">
        <v>2391</v>
      </c>
      <c r="C105" s="101"/>
      <c r="D105" s="101"/>
      <c r="E105" s="101"/>
      <c r="F105" s="93">
        <v>0.05</v>
      </c>
    </row>
    <row r="106" spans="1:6">
      <c r="A106" s="87" t="s">
        <v>269</v>
      </c>
      <c r="B106" s="91" t="s">
        <v>2396</v>
      </c>
      <c r="C106" s="101"/>
      <c r="D106" s="101"/>
      <c r="E106" s="101"/>
      <c r="F106" s="93">
        <v>0.05</v>
      </c>
    </row>
    <row r="107" spans="1:6" ht="24">
      <c r="A107" s="87" t="s">
        <v>269</v>
      </c>
      <c r="B107" s="91" t="s">
        <v>2401</v>
      </c>
      <c r="C107" s="101"/>
      <c r="D107" s="101"/>
      <c r="E107" s="101"/>
      <c r="F107" s="93">
        <v>0.05</v>
      </c>
    </row>
    <row r="108" spans="1:6" ht="24">
      <c r="A108" s="87" t="s">
        <v>269</v>
      </c>
      <c r="B108" s="91" t="s">
        <v>2406</v>
      </c>
      <c r="C108" s="101"/>
      <c r="D108" s="101"/>
      <c r="E108" s="101"/>
      <c r="F108" s="93">
        <v>0.05</v>
      </c>
    </row>
    <row r="109" spans="1:6" ht="24">
      <c r="A109" s="95" t="s">
        <v>269</v>
      </c>
      <c r="B109" s="102" t="s">
        <v>2411</v>
      </c>
      <c r="C109" s="98"/>
      <c r="D109" s="98"/>
      <c r="E109" s="98"/>
      <c r="F109" s="103">
        <v>0.05</v>
      </c>
    </row>
    <row r="110" spans="1:6">
      <c r="A110" s="87" t="s">
        <v>275</v>
      </c>
      <c r="B110" s="88" t="s">
        <v>2123</v>
      </c>
      <c r="C110" s="89">
        <v>0.129</v>
      </c>
      <c r="D110" s="89">
        <v>0.129</v>
      </c>
      <c r="E110" s="89">
        <v>0.126</v>
      </c>
      <c r="F110" s="90">
        <v>0.13</v>
      </c>
    </row>
    <row r="111" spans="1:6">
      <c r="A111" s="87" t="s">
        <v>275</v>
      </c>
      <c r="B111" s="91" t="s">
        <v>2136</v>
      </c>
      <c r="C111" s="92">
        <v>0.11</v>
      </c>
      <c r="D111" s="92">
        <v>0.11</v>
      </c>
      <c r="E111" s="92">
        <v>9.9000000000000005E-2</v>
      </c>
      <c r="F111" s="93">
        <v>0.128</v>
      </c>
    </row>
    <row r="112" spans="1:6">
      <c r="A112" s="87" t="s">
        <v>275</v>
      </c>
      <c r="B112" s="91" t="s">
        <v>2150</v>
      </c>
      <c r="C112" s="92">
        <v>0.125</v>
      </c>
      <c r="D112" s="92">
        <v>0.125</v>
      </c>
      <c r="E112" s="92">
        <v>0.12</v>
      </c>
      <c r="F112" s="93">
        <v>0.125</v>
      </c>
    </row>
    <row r="113" spans="1:6">
      <c r="A113" s="87" t="s">
        <v>275</v>
      </c>
      <c r="B113" s="91" t="s">
        <v>2162</v>
      </c>
      <c r="C113" s="92">
        <v>0.13</v>
      </c>
      <c r="D113" s="92">
        <v>0.13</v>
      </c>
      <c r="E113" s="92">
        <v>0.13</v>
      </c>
      <c r="F113" s="93">
        <v>0.13</v>
      </c>
    </row>
    <row r="114" spans="1:6">
      <c r="A114" s="87" t="s">
        <v>275</v>
      </c>
      <c r="B114" s="91" t="s">
        <v>2174</v>
      </c>
      <c r="C114" s="92">
        <v>0.123</v>
      </c>
      <c r="D114" s="92">
        <v>0.123</v>
      </c>
      <c r="E114" s="92">
        <v>0.12</v>
      </c>
      <c r="F114" s="93">
        <v>0.13</v>
      </c>
    </row>
    <row r="115" spans="1:6">
      <c r="A115" s="87" t="s">
        <v>275</v>
      </c>
      <c r="B115" s="91" t="s">
        <v>2185</v>
      </c>
      <c r="C115" s="92">
        <v>0.125</v>
      </c>
      <c r="D115" s="92">
        <v>0.125</v>
      </c>
      <c r="E115" s="92">
        <v>0.11700000000000001</v>
      </c>
      <c r="F115" s="93">
        <v>0.13</v>
      </c>
    </row>
    <row r="116" spans="1:6">
      <c r="A116" s="87" t="s">
        <v>275</v>
      </c>
      <c r="B116" s="91" t="s">
        <v>2196</v>
      </c>
      <c r="C116" s="92">
        <v>0.11700000000000001</v>
      </c>
      <c r="D116" s="92">
        <v>0.11700000000000001</v>
      </c>
      <c r="E116" s="92">
        <v>8.7999999999999995E-2</v>
      </c>
      <c r="F116" s="93">
        <v>0.13</v>
      </c>
    </row>
    <row r="117" spans="1:6">
      <c r="A117" s="87" t="s">
        <v>275</v>
      </c>
      <c r="B117" s="91" t="s">
        <v>2207</v>
      </c>
      <c r="C117" s="92">
        <v>0.13</v>
      </c>
      <c r="D117" s="92">
        <v>0.13</v>
      </c>
      <c r="E117" s="92">
        <v>0.129</v>
      </c>
      <c r="F117" s="93">
        <v>0.13</v>
      </c>
    </row>
    <row r="118" spans="1:6">
      <c r="A118" s="87" t="s">
        <v>275</v>
      </c>
      <c r="B118" s="91" t="s">
        <v>2217</v>
      </c>
      <c r="C118" s="92">
        <v>0.123</v>
      </c>
      <c r="D118" s="92">
        <v>0.123</v>
      </c>
      <c r="E118" s="92">
        <v>0.11600000000000001</v>
      </c>
      <c r="F118" s="93">
        <v>0.13</v>
      </c>
    </row>
    <row r="119" spans="1:6">
      <c r="A119" s="87" t="s">
        <v>275</v>
      </c>
      <c r="B119" s="91" t="s">
        <v>2227</v>
      </c>
      <c r="C119" s="92">
        <v>0.127</v>
      </c>
      <c r="D119" s="92">
        <v>0.127</v>
      </c>
      <c r="E119" s="92">
        <v>0.124</v>
      </c>
      <c r="F119" s="93">
        <v>0.13</v>
      </c>
    </row>
    <row r="120" spans="1:6">
      <c r="A120" s="87" t="s">
        <v>275</v>
      </c>
      <c r="B120" s="91" t="s">
        <v>2237</v>
      </c>
      <c r="C120" s="92">
        <v>0.125</v>
      </c>
      <c r="D120" s="92">
        <v>0.125</v>
      </c>
      <c r="E120" s="92">
        <v>0.122</v>
      </c>
      <c r="F120" s="93">
        <v>0.13</v>
      </c>
    </row>
    <row r="121" spans="1:6">
      <c r="A121" s="87" t="s">
        <v>275</v>
      </c>
      <c r="B121" s="91" t="s">
        <v>2247</v>
      </c>
      <c r="C121" s="92">
        <v>0.13</v>
      </c>
      <c r="D121" s="92">
        <v>0.13</v>
      </c>
      <c r="E121" s="92">
        <v>0.13</v>
      </c>
      <c r="F121" s="93">
        <v>0.13</v>
      </c>
    </row>
    <row r="122" spans="1:6">
      <c r="A122" s="87" t="s">
        <v>275</v>
      </c>
      <c r="B122" s="91" t="s">
        <v>2257</v>
      </c>
      <c r="C122" s="92">
        <v>0.13</v>
      </c>
      <c r="D122" s="92">
        <v>0.13</v>
      </c>
      <c r="E122" s="92">
        <v>0.125</v>
      </c>
      <c r="F122" s="93">
        <v>0.13</v>
      </c>
    </row>
    <row r="123" spans="1:6">
      <c r="A123" s="87" t="s">
        <v>275</v>
      </c>
      <c r="B123" s="91" t="s">
        <v>2267</v>
      </c>
      <c r="C123" s="92">
        <v>0.129</v>
      </c>
      <c r="D123" s="92">
        <v>0.129</v>
      </c>
      <c r="E123" s="92">
        <v>0.123</v>
      </c>
      <c r="F123" s="93">
        <v>0.13</v>
      </c>
    </row>
    <row r="124" spans="1:6">
      <c r="A124" s="87" t="s">
        <v>275</v>
      </c>
      <c r="B124" s="91" t="s">
        <v>2277</v>
      </c>
      <c r="C124" s="92">
        <v>0.10199999999999999</v>
      </c>
      <c r="D124" s="92">
        <v>0.10100000000000001</v>
      </c>
      <c r="E124" s="92">
        <v>0.08</v>
      </c>
      <c r="F124" s="100"/>
    </row>
    <row r="125" spans="1:6">
      <c r="A125" s="87" t="s">
        <v>275</v>
      </c>
      <c r="B125" s="91" t="s">
        <v>2287</v>
      </c>
      <c r="C125" s="92">
        <v>0.13</v>
      </c>
      <c r="D125" s="92">
        <v>0.13</v>
      </c>
      <c r="E125" s="92">
        <v>0.129</v>
      </c>
      <c r="F125" s="100"/>
    </row>
    <row r="126" spans="1:6">
      <c r="A126" s="87" t="s">
        <v>275</v>
      </c>
      <c r="B126" s="91" t="s">
        <v>2297</v>
      </c>
      <c r="C126" s="92">
        <v>0.13</v>
      </c>
      <c r="D126" s="92">
        <v>0.13</v>
      </c>
      <c r="E126" s="92">
        <v>0.126</v>
      </c>
      <c r="F126" s="100"/>
    </row>
    <row r="127" spans="1:6">
      <c r="A127" s="87" t="s">
        <v>275</v>
      </c>
      <c r="B127" s="91" t="s">
        <v>2307</v>
      </c>
      <c r="C127" s="92">
        <v>0.125</v>
      </c>
      <c r="D127" s="92">
        <v>0.125</v>
      </c>
      <c r="E127" s="92">
        <v>0.121</v>
      </c>
      <c r="F127" s="100"/>
    </row>
    <row r="128" spans="1:6">
      <c r="A128" s="87" t="s">
        <v>275</v>
      </c>
      <c r="B128" s="91" t="s">
        <v>2317</v>
      </c>
      <c r="C128" s="92">
        <v>0.12</v>
      </c>
      <c r="D128" s="92">
        <v>0.12</v>
      </c>
      <c r="E128" s="92">
        <v>0.105</v>
      </c>
      <c r="F128" s="100"/>
    </row>
    <row r="129" spans="1:6">
      <c r="A129" s="87" t="s">
        <v>275</v>
      </c>
      <c r="B129" s="91" t="s">
        <v>2326</v>
      </c>
      <c r="C129" s="92">
        <v>0.13</v>
      </c>
      <c r="D129" s="92">
        <v>0.13</v>
      </c>
      <c r="E129" s="92">
        <v>0.126</v>
      </c>
      <c r="F129" s="100"/>
    </row>
    <row r="130" spans="1:6">
      <c r="A130" s="87" t="s">
        <v>275</v>
      </c>
      <c r="B130" s="91" t="s">
        <v>2334</v>
      </c>
      <c r="C130" s="92">
        <v>0.125</v>
      </c>
      <c r="D130" s="92">
        <v>0.125</v>
      </c>
      <c r="E130" s="92">
        <v>0.122</v>
      </c>
      <c r="F130" s="100"/>
    </row>
    <row r="131" spans="1:6">
      <c r="A131" s="87" t="s">
        <v>275</v>
      </c>
      <c r="B131" s="91" t="s">
        <v>2342</v>
      </c>
      <c r="C131" s="92">
        <v>0.127</v>
      </c>
      <c r="D131" s="92">
        <v>0.126</v>
      </c>
      <c r="E131" s="92">
        <v>0.123</v>
      </c>
      <c r="F131" s="100"/>
    </row>
    <row r="132" spans="1:6">
      <c r="A132" s="87" t="s">
        <v>275</v>
      </c>
      <c r="B132" s="91" t="s">
        <v>2349</v>
      </c>
      <c r="C132" s="92">
        <v>9.0999999999999998E-2</v>
      </c>
      <c r="D132" s="92">
        <v>0.121</v>
      </c>
      <c r="E132" s="92">
        <v>9.9000000000000005E-2</v>
      </c>
      <c r="F132" s="100"/>
    </row>
    <row r="133" spans="1:6">
      <c r="A133" s="87" t="s">
        <v>275</v>
      </c>
      <c r="B133" s="91" t="s">
        <v>2356</v>
      </c>
      <c r="C133" s="92">
        <v>0.13</v>
      </c>
      <c r="D133" s="92">
        <v>0.13</v>
      </c>
      <c r="E133" s="92">
        <v>0.129</v>
      </c>
      <c r="F133" s="100"/>
    </row>
    <row r="134" spans="1:6">
      <c r="A134" s="87" t="s">
        <v>275</v>
      </c>
      <c r="B134" s="91" t="s">
        <v>2363</v>
      </c>
      <c r="C134" s="92">
        <v>6.8000000000000005E-2</v>
      </c>
      <c r="D134" s="92">
        <v>6.5000000000000002E-2</v>
      </c>
      <c r="E134" s="92">
        <v>6.5000000000000002E-2</v>
      </c>
      <c r="F134" s="93">
        <v>0.13</v>
      </c>
    </row>
    <row r="135" spans="1:6">
      <c r="A135" s="87" t="s">
        <v>275</v>
      </c>
      <c r="B135" s="91" t="s">
        <v>2370</v>
      </c>
      <c r="C135" s="92">
        <v>0.123</v>
      </c>
      <c r="D135" s="92">
        <v>0.123</v>
      </c>
      <c r="E135" s="92">
        <v>0.11</v>
      </c>
      <c r="F135" s="100"/>
    </row>
    <row r="136" spans="1:6">
      <c r="A136" s="87" t="s">
        <v>275</v>
      </c>
      <c r="B136" s="91" t="s">
        <v>2377</v>
      </c>
      <c r="C136" s="92">
        <v>0.13</v>
      </c>
      <c r="D136" s="92">
        <v>0.13</v>
      </c>
      <c r="E136" s="92">
        <v>0.125</v>
      </c>
      <c r="F136" s="100"/>
    </row>
    <row r="137" spans="1:6">
      <c r="A137" s="87" t="s">
        <v>275</v>
      </c>
      <c r="B137" s="91" t="s">
        <v>2382</v>
      </c>
      <c r="C137" s="92">
        <v>0.121</v>
      </c>
      <c r="D137" s="92">
        <v>0.122</v>
      </c>
      <c r="E137" s="92">
        <v>0.115</v>
      </c>
      <c r="F137" s="100"/>
    </row>
    <row r="138" spans="1:6">
      <c r="A138" s="87" t="s">
        <v>275</v>
      </c>
      <c r="B138" s="91" t="s">
        <v>2387</v>
      </c>
      <c r="C138" s="92">
        <v>0.105</v>
      </c>
      <c r="D138" s="92">
        <v>0.125</v>
      </c>
      <c r="E138" s="92">
        <v>0.112</v>
      </c>
      <c r="F138" s="100"/>
    </row>
    <row r="139" spans="1:6">
      <c r="A139" s="87" t="s">
        <v>275</v>
      </c>
      <c r="B139" s="91" t="s">
        <v>2392</v>
      </c>
      <c r="C139" s="92">
        <v>0.127</v>
      </c>
      <c r="D139" s="92">
        <v>0.127</v>
      </c>
      <c r="E139" s="92">
        <v>0.122</v>
      </c>
      <c r="F139" s="93">
        <v>0.13</v>
      </c>
    </row>
    <row r="140" spans="1:6">
      <c r="A140" s="87" t="s">
        <v>275</v>
      </c>
      <c r="B140" s="91" t="s">
        <v>2397</v>
      </c>
      <c r="C140" s="92">
        <v>0.125</v>
      </c>
      <c r="D140" s="92">
        <v>0.125</v>
      </c>
      <c r="E140" s="92">
        <v>0.11899999999999999</v>
      </c>
      <c r="F140" s="93">
        <v>0.13</v>
      </c>
    </row>
    <row r="141" spans="1:6">
      <c r="A141" s="87" t="s">
        <v>275</v>
      </c>
      <c r="B141" s="91" t="s">
        <v>2402</v>
      </c>
      <c r="C141" s="92">
        <v>0.125</v>
      </c>
      <c r="D141" s="92">
        <v>0.125</v>
      </c>
      <c r="E141" s="92">
        <v>0.11700000000000001</v>
      </c>
      <c r="F141" s="100"/>
    </row>
    <row r="142" spans="1:6">
      <c r="A142" s="87" t="s">
        <v>275</v>
      </c>
      <c r="B142" s="91" t="s">
        <v>2407</v>
      </c>
      <c r="C142" s="92">
        <v>0.125</v>
      </c>
      <c r="D142" s="92">
        <v>0.125</v>
      </c>
      <c r="E142" s="92">
        <v>0.115</v>
      </c>
      <c r="F142" s="100"/>
    </row>
    <row r="143" spans="1:6">
      <c r="A143" s="87" t="s">
        <v>275</v>
      </c>
      <c r="B143" s="91" t="s">
        <v>2412</v>
      </c>
      <c r="C143" s="92">
        <v>0.121</v>
      </c>
      <c r="D143" s="92">
        <v>0.121</v>
      </c>
      <c r="E143" s="92">
        <v>0.108</v>
      </c>
      <c r="F143" s="100"/>
    </row>
    <row r="144" spans="1:6">
      <c r="A144" s="87" t="s">
        <v>275</v>
      </c>
      <c r="B144" s="104" t="s">
        <v>2416</v>
      </c>
      <c r="C144" s="105">
        <v>0.126</v>
      </c>
      <c r="D144" s="105">
        <v>0.126</v>
      </c>
      <c r="E144" s="105">
        <v>0.121</v>
      </c>
      <c r="F144" s="100"/>
    </row>
    <row r="145" spans="1:6">
      <c r="A145" s="95" t="s">
        <v>275</v>
      </c>
      <c r="B145" s="106" t="s">
        <v>2420</v>
      </c>
      <c r="C145" s="107"/>
      <c r="D145" s="107"/>
      <c r="E145" s="107"/>
      <c r="F145" s="108">
        <v>0.05</v>
      </c>
    </row>
    <row r="146" spans="1:6" ht="24">
      <c r="A146" s="109" t="s">
        <v>275</v>
      </c>
      <c r="B146" s="94" t="s">
        <v>2424</v>
      </c>
      <c r="C146" s="101"/>
      <c r="D146" s="101"/>
      <c r="E146" s="101"/>
      <c r="F146" s="110">
        <v>0.05</v>
      </c>
    </row>
    <row r="147" spans="1:6" ht="24">
      <c r="A147" s="87" t="s">
        <v>275</v>
      </c>
      <c r="B147" s="91" t="s">
        <v>2428</v>
      </c>
      <c r="C147" s="101"/>
      <c r="D147" s="101"/>
      <c r="E147" s="101"/>
      <c r="F147" s="93">
        <v>0.05</v>
      </c>
    </row>
    <row r="148" spans="1:6" ht="24">
      <c r="A148" s="87" t="s">
        <v>275</v>
      </c>
      <c r="B148" s="91" t="s">
        <v>2432</v>
      </c>
      <c r="C148" s="101"/>
      <c r="D148" s="101"/>
      <c r="E148" s="101"/>
      <c r="F148" s="93">
        <v>0.05</v>
      </c>
    </row>
    <row r="149" spans="1:6" ht="24">
      <c r="A149" s="87" t="s">
        <v>275</v>
      </c>
      <c r="B149" s="91" t="s">
        <v>2436</v>
      </c>
      <c r="C149" s="101"/>
      <c r="D149" s="101"/>
      <c r="E149" s="101"/>
      <c r="F149" s="93">
        <v>0.05</v>
      </c>
    </row>
    <row r="150" spans="1:6" ht="24">
      <c r="A150" s="87" t="s">
        <v>275</v>
      </c>
      <c r="B150" s="91" t="s">
        <v>2439</v>
      </c>
      <c r="C150" s="101"/>
      <c r="D150" s="101"/>
      <c r="E150" s="101"/>
      <c r="F150" s="93">
        <v>0.05</v>
      </c>
    </row>
    <row r="151" spans="1:6" ht="24">
      <c r="A151" s="87" t="s">
        <v>275</v>
      </c>
      <c r="B151" s="91" t="s">
        <v>2442</v>
      </c>
      <c r="C151" s="101"/>
      <c r="D151" s="101"/>
      <c r="E151" s="101"/>
      <c r="F151" s="93">
        <v>0.05</v>
      </c>
    </row>
    <row r="152" spans="1:6" ht="24">
      <c r="A152" s="87" t="s">
        <v>275</v>
      </c>
      <c r="B152" s="91" t="s">
        <v>2445</v>
      </c>
      <c r="C152" s="101"/>
      <c r="D152" s="101"/>
      <c r="E152" s="101"/>
      <c r="F152" s="93">
        <v>0.05</v>
      </c>
    </row>
    <row r="153" spans="1:6">
      <c r="A153" s="87" t="s">
        <v>275</v>
      </c>
      <c r="B153" s="91" t="s">
        <v>2448</v>
      </c>
      <c r="C153" s="101"/>
      <c r="D153" s="101"/>
      <c r="E153" s="101"/>
      <c r="F153" s="93">
        <v>0.05</v>
      </c>
    </row>
    <row r="154" spans="1:6">
      <c r="A154" s="87" t="s">
        <v>275</v>
      </c>
      <c r="B154" s="91" t="s">
        <v>2451</v>
      </c>
      <c r="C154" s="101"/>
      <c r="D154" s="101"/>
      <c r="E154" s="101"/>
      <c r="F154" s="93">
        <v>0.05</v>
      </c>
    </row>
    <row r="155" spans="1:6" ht="24">
      <c r="A155" s="87" t="s">
        <v>275</v>
      </c>
      <c r="B155" s="91" t="s">
        <v>2454</v>
      </c>
      <c r="C155" s="101"/>
      <c r="D155" s="101"/>
      <c r="E155" s="101"/>
      <c r="F155" s="93">
        <v>0.05</v>
      </c>
    </row>
    <row r="156" spans="1:6" ht="24">
      <c r="A156" s="87" t="s">
        <v>275</v>
      </c>
      <c r="B156" s="91" t="s">
        <v>2456</v>
      </c>
      <c r="C156" s="101"/>
      <c r="D156" s="101"/>
      <c r="E156" s="101"/>
      <c r="F156" s="93">
        <v>0.05</v>
      </c>
    </row>
    <row r="157" spans="1:6">
      <c r="A157" s="95" t="s">
        <v>275</v>
      </c>
      <c r="B157" s="102" t="s">
        <v>2458</v>
      </c>
      <c r="C157" s="98"/>
      <c r="D157" s="98"/>
      <c r="E157" s="98"/>
      <c r="F157" s="103">
        <v>0.05</v>
      </c>
    </row>
    <row r="158" spans="1:6">
      <c r="A158" s="87" t="s">
        <v>280</v>
      </c>
      <c r="B158" s="88" t="s">
        <v>2124</v>
      </c>
      <c r="C158" s="89">
        <v>0.13</v>
      </c>
      <c r="D158" s="89">
        <v>0.13</v>
      </c>
      <c r="E158" s="89">
        <v>0.13</v>
      </c>
      <c r="F158" s="90">
        <v>0.13</v>
      </c>
    </row>
    <row r="159" spans="1:6">
      <c r="A159" s="87" t="s">
        <v>280</v>
      </c>
      <c r="B159" s="91" t="s">
        <v>2137</v>
      </c>
      <c r="C159" s="92">
        <v>0.13</v>
      </c>
      <c r="D159" s="92">
        <v>0.13</v>
      </c>
      <c r="E159" s="92">
        <v>0.13</v>
      </c>
      <c r="F159" s="93">
        <v>0.13</v>
      </c>
    </row>
    <row r="160" spans="1:6">
      <c r="A160" s="87" t="s">
        <v>280</v>
      </c>
      <c r="B160" s="91" t="s">
        <v>2151</v>
      </c>
      <c r="C160" s="92">
        <v>0.13</v>
      </c>
      <c r="D160" s="92">
        <v>0.13</v>
      </c>
      <c r="E160" s="92">
        <v>0.129</v>
      </c>
      <c r="F160" s="93">
        <v>0.13</v>
      </c>
    </row>
    <row r="161" spans="1:6">
      <c r="A161" s="87" t="s">
        <v>280</v>
      </c>
      <c r="B161" s="91" t="s">
        <v>2163</v>
      </c>
      <c r="C161" s="92">
        <v>0.128</v>
      </c>
      <c r="D161" s="92">
        <v>0.128</v>
      </c>
      <c r="E161" s="92">
        <v>0.125</v>
      </c>
      <c r="F161" s="93">
        <v>0.13</v>
      </c>
    </row>
    <row r="162" spans="1:6">
      <c r="A162" s="87" t="s">
        <v>280</v>
      </c>
      <c r="B162" s="91" t="s">
        <v>2175</v>
      </c>
      <c r="C162" s="92">
        <v>0.122</v>
      </c>
      <c r="D162" s="92">
        <v>0.122</v>
      </c>
      <c r="E162" s="92">
        <v>0.126</v>
      </c>
      <c r="F162" s="93">
        <v>0.122</v>
      </c>
    </row>
    <row r="163" spans="1:6">
      <c r="A163" s="87" t="s">
        <v>280</v>
      </c>
      <c r="B163" s="91" t="s">
        <v>2186</v>
      </c>
      <c r="C163" s="92">
        <v>0.13</v>
      </c>
      <c r="D163" s="92">
        <v>0.13</v>
      </c>
      <c r="E163" s="92">
        <v>0.125</v>
      </c>
      <c r="F163" s="93">
        <v>0.13</v>
      </c>
    </row>
    <row r="164" spans="1:6">
      <c r="A164" s="87" t="s">
        <v>280</v>
      </c>
      <c r="B164" s="91" t="s">
        <v>2197</v>
      </c>
      <c r="C164" s="92">
        <v>0.13</v>
      </c>
      <c r="D164" s="92">
        <v>0.13</v>
      </c>
      <c r="E164" s="92">
        <v>0.13</v>
      </c>
      <c r="F164" s="93">
        <v>0.13</v>
      </c>
    </row>
    <row r="165" spans="1:6">
      <c r="A165" s="87" t="s">
        <v>280</v>
      </c>
      <c r="B165" s="91" t="s">
        <v>2208</v>
      </c>
      <c r="C165" s="92">
        <v>0.13</v>
      </c>
      <c r="D165" s="92">
        <v>0.13</v>
      </c>
      <c r="E165" s="92">
        <v>0.124</v>
      </c>
      <c r="F165" s="93">
        <v>0.13</v>
      </c>
    </row>
    <row r="166" spans="1:6">
      <c r="A166" s="87" t="s">
        <v>280</v>
      </c>
      <c r="B166" s="91" t="s">
        <v>2218</v>
      </c>
      <c r="C166" s="92">
        <v>0.13</v>
      </c>
      <c r="D166" s="92">
        <v>0.13</v>
      </c>
      <c r="E166" s="92">
        <v>0.13</v>
      </c>
      <c r="F166" s="93">
        <v>0.13</v>
      </c>
    </row>
    <row r="167" spans="1:6">
      <c r="A167" s="87" t="s">
        <v>280</v>
      </c>
      <c r="B167" s="91" t="s">
        <v>2228</v>
      </c>
      <c r="C167" s="92">
        <v>0.125</v>
      </c>
      <c r="D167" s="92">
        <v>0.125</v>
      </c>
      <c r="E167" s="92">
        <v>0.121</v>
      </c>
      <c r="F167" s="100"/>
    </row>
    <row r="168" spans="1:6">
      <c r="A168" s="87" t="s">
        <v>280</v>
      </c>
      <c r="B168" s="91" t="s">
        <v>2238</v>
      </c>
      <c r="C168" s="92">
        <v>0.13</v>
      </c>
      <c r="D168" s="92">
        <v>0.13</v>
      </c>
      <c r="E168" s="92">
        <v>0.126</v>
      </c>
      <c r="F168" s="100"/>
    </row>
    <row r="169" spans="1:6">
      <c r="A169" s="87" t="s">
        <v>280</v>
      </c>
      <c r="B169" s="91" t="s">
        <v>2248</v>
      </c>
      <c r="C169" s="92">
        <v>0.128</v>
      </c>
      <c r="D169" s="92">
        <v>0.129</v>
      </c>
      <c r="E169" s="92">
        <v>0.13</v>
      </c>
      <c r="F169" s="100"/>
    </row>
    <row r="170" spans="1:6">
      <c r="A170" s="87" t="s">
        <v>280</v>
      </c>
      <c r="B170" s="91" t="s">
        <v>2258</v>
      </c>
      <c r="C170" s="92">
        <v>0.14099999999999999</v>
      </c>
      <c r="D170" s="92">
        <v>0.13</v>
      </c>
      <c r="E170" s="92">
        <v>0.125</v>
      </c>
      <c r="F170" s="100"/>
    </row>
    <row r="171" spans="1:6">
      <c r="A171" s="87" t="s">
        <v>280</v>
      </c>
      <c r="B171" s="91" t="s">
        <v>2268</v>
      </c>
      <c r="C171" s="92">
        <v>0.127</v>
      </c>
      <c r="D171" s="92">
        <v>0.126</v>
      </c>
      <c r="E171" s="92">
        <v>0.126</v>
      </c>
      <c r="F171" s="93">
        <v>0.11799999999999999</v>
      </c>
    </row>
    <row r="172" spans="1:6">
      <c r="A172" s="87" t="s">
        <v>280</v>
      </c>
      <c r="B172" s="91" t="s">
        <v>2278</v>
      </c>
      <c r="C172" s="92">
        <v>0.13</v>
      </c>
      <c r="D172" s="92">
        <v>0.13</v>
      </c>
      <c r="E172" s="92">
        <v>0.13</v>
      </c>
      <c r="F172" s="100"/>
    </row>
    <row r="173" spans="1:6">
      <c r="A173" s="87" t="s">
        <v>280</v>
      </c>
      <c r="B173" s="91" t="s">
        <v>2288</v>
      </c>
      <c r="C173" s="92">
        <v>0.13</v>
      </c>
      <c r="D173" s="92">
        <v>0.13</v>
      </c>
      <c r="E173" s="92">
        <v>0.13</v>
      </c>
      <c r="F173" s="100"/>
    </row>
    <row r="174" spans="1:6">
      <c r="A174" s="87" t="s">
        <v>280</v>
      </c>
      <c r="B174" s="91" t="s">
        <v>2298</v>
      </c>
      <c r="C174" s="92">
        <v>0.13</v>
      </c>
      <c r="D174" s="92">
        <v>0.13</v>
      </c>
      <c r="E174" s="92">
        <v>0.13</v>
      </c>
      <c r="F174" s="93">
        <v>0.13</v>
      </c>
    </row>
    <row r="175" spans="1:6">
      <c r="A175" s="87" t="s">
        <v>280</v>
      </c>
      <c r="B175" s="91" t="s">
        <v>2308</v>
      </c>
      <c r="C175" s="92">
        <v>0.13</v>
      </c>
      <c r="D175" s="92">
        <v>0.13</v>
      </c>
      <c r="E175" s="92">
        <v>0.13</v>
      </c>
      <c r="F175" s="93">
        <v>0.13</v>
      </c>
    </row>
    <row r="176" spans="1:6">
      <c r="A176" s="87" t="s">
        <v>280</v>
      </c>
      <c r="B176" s="91" t="s">
        <v>2318</v>
      </c>
      <c r="C176" s="92">
        <v>0.13</v>
      </c>
      <c r="D176" s="92">
        <v>0.13</v>
      </c>
      <c r="E176" s="92">
        <v>0.13</v>
      </c>
      <c r="F176" s="93">
        <v>0.13</v>
      </c>
    </row>
    <row r="177" spans="1:6">
      <c r="A177" s="87" t="s">
        <v>280</v>
      </c>
      <c r="B177" s="91" t="s">
        <v>2327</v>
      </c>
      <c r="C177" s="92">
        <v>0.13</v>
      </c>
      <c r="D177" s="92">
        <v>0.13</v>
      </c>
      <c r="E177" s="92">
        <v>0.13</v>
      </c>
      <c r="F177" s="93">
        <v>0.13</v>
      </c>
    </row>
    <row r="178" spans="1:6">
      <c r="A178" s="87" t="s">
        <v>280</v>
      </c>
      <c r="B178" s="91" t="s">
        <v>2335</v>
      </c>
      <c r="C178" s="92">
        <v>0.13</v>
      </c>
      <c r="D178" s="92">
        <v>0.13</v>
      </c>
      <c r="E178" s="92">
        <v>0.13</v>
      </c>
      <c r="F178" s="93">
        <v>0.127</v>
      </c>
    </row>
    <row r="179" spans="1:6">
      <c r="A179" s="87" t="s">
        <v>280</v>
      </c>
      <c r="B179" s="91" t="s">
        <v>2343</v>
      </c>
      <c r="C179" s="92">
        <v>0.13</v>
      </c>
      <c r="D179" s="92">
        <v>0.13</v>
      </c>
      <c r="E179" s="92">
        <v>0.13</v>
      </c>
      <c r="F179" s="100"/>
    </row>
    <row r="180" spans="1:6">
      <c r="A180" s="87" t="s">
        <v>280</v>
      </c>
      <c r="B180" s="91" t="s">
        <v>2350</v>
      </c>
      <c r="C180" s="92">
        <v>0.13</v>
      </c>
      <c r="D180" s="92">
        <v>0.13</v>
      </c>
      <c r="E180" s="92">
        <v>0.125</v>
      </c>
      <c r="F180" s="93">
        <v>0.13</v>
      </c>
    </row>
    <row r="181" spans="1:6">
      <c r="A181" s="87" t="s">
        <v>280</v>
      </c>
      <c r="B181" s="91" t="s">
        <v>2357</v>
      </c>
      <c r="C181" s="92">
        <v>0.122</v>
      </c>
      <c r="D181" s="92">
        <v>0.123</v>
      </c>
      <c r="E181" s="92">
        <v>0.126</v>
      </c>
      <c r="F181" s="93">
        <v>0.121</v>
      </c>
    </row>
    <row r="182" spans="1:6">
      <c r="A182" s="87" t="s">
        <v>280</v>
      </c>
      <c r="B182" s="91" t="s">
        <v>2364</v>
      </c>
      <c r="C182" s="92">
        <v>0.125</v>
      </c>
      <c r="D182" s="92">
        <v>0.125</v>
      </c>
      <c r="E182" s="92">
        <v>0.11700000000000001</v>
      </c>
      <c r="F182" s="93">
        <v>0.13</v>
      </c>
    </row>
    <row r="183" spans="1:6">
      <c r="A183" s="87" t="s">
        <v>280</v>
      </c>
      <c r="B183" s="91" t="s">
        <v>2371</v>
      </c>
      <c r="C183" s="92">
        <v>0.127</v>
      </c>
      <c r="D183" s="92">
        <v>0.127</v>
      </c>
      <c r="E183" s="92">
        <v>0.128</v>
      </c>
      <c r="F183" s="100"/>
    </row>
    <row r="184" spans="1:6">
      <c r="A184" s="87" t="s">
        <v>280</v>
      </c>
      <c r="B184" s="91" t="s">
        <v>2378</v>
      </c>
      <c r="C184" s="92">
        <v>0.125</v>
      </c>
      <c r="D184" s="92">
        <v>0.125</v>
      </c>
      <c r="E184" s="92">
        <v>0.127</v>
      </c>
      <c r="F184" s="100"/>
    </row>
    <row r="185" spans="1:6">
      <c r="A185" s="87" t="s">
        <v>280</v>
      </c>
      <c r="B185" s="91" t="s">
        <v>2383</v>
      </c>
      <c r="C185" s="92">
        <v>0.127</v>
      </c>
      <c r="D185" s="92">
        <v>0.127</v>
      </c>
      <c r="E185" s="92">
        <v>0.128</v>
      </c>
      <c r="F185" s="93">
        <v>0.13</v>
      </c>
    </row>
    <row r="186" spans="1:6" ht="24">
      <c r="A186" s="87" t="s">
        <v>280</v>
      </c>
      <c r="B186" s="91" t="s">
        <v>2388</v>
      </c>
      <c r="C186" s="101"/>
      <c r="D186" s="101"/>
      <c r="E186" s="101"/>
      <c r="F186" s="93">
        <v>0.05</v>
      </c>
    </row>
    <row r="187" spans="1:6">
      <c r="A187" s="87" t="s">
        <v>280</v>
      </c>
      <c r="B187" s="91" t="s">
        <v>2393</v>
      </c>
      <c r="C187" s="101"/>
      <c r="D187" s="101"/>
      <c r="E187" s="101"/>
      <c r="F187" s="93">
        <v>0.05</v>
      </c>
    </row>
    <row r="188" spans="1:6">
      <c r="A188" s="87" t="s">
        <v>280</v>
      </c>
      <c r="B188" s="91" t="s">
        <v>2398</v>
      </c>
      <c r="C188" s="101"/>
      <c r="D188" s="101"/>
      <c r="E188" s="101"/>
      <c r="F188" s="93">
        <v>0.05</v>
      </c>
    </row>
    <row r="189" spans="1:6" ht="24">
      <c r="A189" s="87" t="s">
        <v>280</v>
      </c>
      <c r="B189" s="91" t="s">
        <v>2403</v>
      </c>
      <c r="C189" s="101"/>
      <c r="D189" s="101"/>
      <c r="E189" s="101"/>
      <c r="F189" s="93">
        <v>0.05</v>
      </c>
    </row>
    <row r="190" spans="1:6" ht="24">
      <c r="A190" s="87" t="s">
        <v>280</v>
      </c>
      <c r="B190" s="91" t="s">
        <v>2408</v>
      </c>
      <c r="C190" s="101"/>
      <c r="D190" s="101"/>
      <c r="E190" s="101"/>
      <c r="F190" s="93">
        <v>0.05</v>
      </c>
    </row>
    <row r="191" spans="1:6" ht="24">
      <c r="A191" s="87" t="s">
        <v>280</v>
      </c>
      <c r="B191" s="91" t="s">
        <v>2413</v>
      </c>
      <c r="C191" s="101"/>
      <c r="D191" s="101"/>
      <c r="E191" s="101"/>
      <c r="F191" s="93">
        <v>0.05</v>
      </c>
    </row>
    <row r="192" spans="1:6" ht="24">
      <c r="A192" s="87" t="s">
        <v>280</v>
      </c>
      <c r="B192" s="91" t="s">
        <v>2417</v>
      </c>
      <c r="C192" s="101"/>
      <c r="D192" s="101"/>
      <c r="E192" s="101"/>
      <c r="F192" s="93">
        <v>0.05</v>
      </c>
    </row>
    <row r="193" spans="1:6" ht="24">
      <c r="A193" s="87" t="s">
        <v>280</v>
      </c>
      <c r="B193" s="91" t="s">
        <v>2421</v>
      </c>
      <c r="C193" s="101"/>
      <c r="D193" s="101"/>
      <c r="E193" s="101"/>
      <c r="F193" s="93">
        <v>0.05</v>
      </c>
    </row>
    <row r="194" spans="1:6" ht="24">
      <c r="A194" s="87" t="s">
        <v>280</v>
      </c>
      <c r="B194" s="91" t="s">
        <v>2425</v>
      </c>
      <c r="C194" s="101"/>
      <c r="D194" s="101"/>
      <c r="E194" s="101"/>
      <c r="F194" s="93">
        <v>0.05</v>
      </c>
    </row>
    <row r="195" spans="1:6">
      <c r="A195" s="87" t="s">
        <v>280</v>
      </c>
      <c r="B195" s="91" t="s">
        <v>2429</v>
      </c>
      <c r="C195" s="101"/>
      <c r="D195" s="101"/>
      <c r="E195" s="101"/>
      <c r="F195" s="93">
        <v>0.05</v>
      </c>
    </row>
    <row r="196" spans="1:6" ht="24">
      <c r="A196" s="87" t="s">
        <v>280</v>
      </c>
      <c r="B196" s="91" t="s">
        <v>2433</v>
      </c>
      <c r="C196" s="101"/>
      <c r="D196" s="101"/>
      <c r="E196" s="101"/>
      <c r="F196" s="93">
        <v>0.05</v>
      </c>
    </row>
    <row r="197" spans="1:6" ht="24">
      <c r="A197" s="87" t="s">
        <v>280</v>
      </c>
      <c r="B197" s="91" t="s">
        <v>2437</v>
      </c>
      <c r="C197" s="101"/>
      <c r="D197" s="101"/>
      <c r="E197" s="101"/>
      <c r="F197" s="93">
        <v>0.05</v>
      </c>
    </row>
    <row r="198" spans="1:6" ht="24">
      <c r="A198" s="87" t="s">
        <v>280</v>
      </c>
      <c r="B198" s="91" t="s">
        <v>2440</v>
      </c>
      <c r="C198" s="101"/>
      <c r="D198" s="101"/>
      <c r="E198" s="101"/>
      <c r="F198" s="93">
        <v>0.05</v>
      </c>
    </row>
    <row r="199" spans="1:6" ht="24">
      <c r="A199" s="87" t="s">
        <v>280</v>
      </c>
      <c r="B199" s="91" t="s">
        <v>2443</v>
      </c>
      <c r="C199" s="101"/>
      <c r="D199" s="101"/>
      <c r="E199" s="101"/>
      <c r="F199" s="93">
        <v>0.05</v>
      </c>
    </row>
    <row r="200" spans="1:6" ht="24">
      <c r="A200" s="87" t="s">
        <v>280</v>
      </c>
      <c r="B200" s="91" t="s">
        <v>2446</v>
      </c>
      <c r="C200" s="101"/>
      <c r="D200" s="101"/>
      <c r="E200" s="101"/>
      <c r="F200" s="93">
        <v>0.05</v>
      </c>
    </row>
    <row r="201" spans="1:6" ht="24">
      <c r="A201" s="87" t="s">
        <v>280</v>
      </c>
      <c r="B201" s="91" t="s">
        <v>2449</v>
      </c>
      <c r="C201" s="101"/>
      <c r="D201" s="101"/>
      <c r="E201" s="101"/>
      <c r="F201" s="93">
        <v>0.05</v>
      </c>
    </row>
    <row r="202" spans="1:6" ht="24">
      <c r="A202" s="87" t="s">
        <v>280</v>
      </c>
      <c r="B202" s="91" t="s">
        <v>2452</v>
      </c>
      <c r="C202" s="101"/>
      <c r="D202" s="101"/>
      <c r="E202" s="101"/>
      <c r="F202" s="93">
        <v>0.05</v>
      </c>
    </row>
    <row r="203" spans="1:6" ht="24">
      <c r="A203" s="87" t="s">
        <v>280</v>
      </c>
      <c r="B203" s="91" t="s">
        <v>2455</v>
      </c>
      <c r="C203" s="101"/>
      <c r="D203" s="101"/>
      <c r="E203" s="101"/>
      <c r="F203" s="93">
        <v>0.05</v>
      </c>
    </row>
    <row r="204" spans="1:6">
      <c r="A204" s="87" t="s">
        <v>280</v>
      </c>
      <c r="B204" s="91" t="s">
        <v>2457</v>
      </c>
      <c r="C204" s="101"/>
      <c r="D204" s="101"/>
      <c r="E204" s="101"/>
      <c r="F204" s="93">
        <v>0.05</v>
      </c>
    </row>
    <row r="205" spans="1:6">
      <c r="A205" s="95" t="s">
        <v>280</v>
      </c>
      <c r="B205" s="102" t="s">
        <v>2459</v>
      </c>
      <c r="C205" s="98"/>
      <c r="D205" s="98"/>
      <c r="E205" s="98"/>
      <c r="F205" s="103">
        <v>0.05</v>
      </c>
    </row>
    <row r="206" spans="1:6">
      <c r="A206" s="87" t="s">
        <v>285</v>
      </c>
      <c r="B206" s="88" t="s">
        <v>2125</v>
      </c>
      <c r="C206" s="89">
        <v>0.15</v>
      </c>
      <c r="D206" s="89">
        <v>0.15</v>
      </c>
      <c r="E206" s="89">
        <v>0.15</v>
      </c>
      <c r="F206" s="90">
        <v>0.15</v>
      </c>
    </row>
    <row r="207" spans="1:6">
      <c r="A207" s="87" t="s">
        <v>285</v>
      </c>
      <c r="B207" s="91" t="s">
        <v>2138</v>
      </c>
      <c r="C207" s="92">
        <v>0.15</v>
      </c>
      <c r="D207" s="92">
        <v>0.15</v>
      </c>
      <c r="E207" s="92">
        <v>0.15</v>
      </c>
      <c r="F207" s="93">
        <v>0.14399999999999999</v>
      </c>
    </row>
    <row r="208" spans="1:6">
      <c r="A208" s="87" t="s">
        <v>285</v>
      </c>
      <c r="B208" s="91" t="s">
        <v>2152</v>
      </c>
      <c r="C208" s="92">
        <v>0.15</v>
      </c>
      <c r="D208" s="92">
        <v>0.15</v>
      </c>
      <c r="E208" s="92">
        <v>0.15</v>
      </c>
      <c r="F208" s="93">
        <v>0.15</v>
      </c>
    </row>
    <row r="209" spans="1:6">
      <c r="A209" s="87" t="s">
        <v>285</v>
      </c>
      <c r="B209" s="91" t="s">
        <v>2164</v>
      </c>
      <c r="C209" s="92">
        <v>0.13700000000000001</v>
      </c>
      <c r="D209" s="92">
        <v>0.13700000000000001</v>
      </c>
      <c r="E209" s="92">
        <v>0.14000000000000001</v>
      </c>
      <c r="F209" s="93">
        <v>0.11700000000000001</v>
      </c>
    </row>
    <row r="210" spans="1:6">
      <c r="A210" s="87" t="s">
        <v>285</v>
      </c>
      <c r="B210" s="91" t="s">
        <v>2176</v>
      </c>
      <c r="C210" s="92">
        <v>0.15</v>
      </c>
      <c r="D210" s="92">
        <v>0.15</v>
      </c>
      <c r="E210" s="92">
        <v>0.15</v>
      </c>
      <c r="F210" s="93">
        <v>0.13800000000000001</v>
      </c>
    </row>
    <row r="211" spans="1:6">
      <c r="A211" s="87" t="s">
        <v>285</v>
      </c>
      <c r="B211" s="91" t="s">
        <v>2187</v>
      </c>
      <c r="C211" s="92">
        <v>0.13700000000000001</v>
      </c>
      <c r="D211" s="92">
        <v>0.13500000000000001</v>
      </c>
      <c r="E211" s="92">
        <v>0.13600000000000001</v>
      </c>
      <c r="F211" s="93">
        <v>0.1</v>
      </c>
    </row>
    <row r="212" spans="1:6">
      <c r="A212" s="87" t="s">
        <v>285</v>
      </c>
      <c r="B212" s="91" t="s">
        <v>2198</v>
      </c>
      <c r="C212" s="92">
        <v>0.15</v>
      </c>
      <c r="D212" s="92">
        <v>0.15</v>
      </c>
      <c r="E212" s="92">
        <v>0.14799999999999999</v>
      </c>
      <c r="F212" s="93">
        <v>0.13600000000000001</v>
      </c>
    </row>
    <row r="213" spans="1:6">
      <c r="A213" s="87" t="s">
        <v>285</v>
      </c>
      <c r="B213" s="91" t="s">
        <v>2209</v>
      </c>
      <c r="C213" s="92">
        <v>0.15</v>
      </c>
      <c r="D213" s="92">
        <v>0.15</v>
      </c>
      <c r="E213" s="92">
        <v>0.15</v>
      </c>
      <c r="F213" s="93">
        <v>0.13800000000000001</v>
      </c>
    </row>
    <row r="214" spans="1:6">
      <c r="A214" s="87" t="s">
        <v>285</v>
      </c>
      <c r="B214" s="91" t="s">
        <v>2219</v>
      </c>
      <c r="C214" s="92">
        <v>9.0999999999999998E-2</v>
      </c>
      <c r="D214" s="92">
        <v>0.09</v>
      </c>
      <c r="E214" s="92">
        <v>9.1999999999999998E-2</v>
      </c>
      <c r="F214" s="100"/>
    </row>
    <row r="215" spans="1:6">
      <c r="A215" s="87" t="s">
        <v>285</v>
      </c>
      <c r="B215" s="91" t="s">
        <v>2229</v>
      </c>
      <c r="C215" s="92">
        <v>0.15</v>
      </c>
      <c r="D215" s="92">
        <v>0.15</v>
      </c>
      <c r="E215" s="92">
        <v>0.15</v>
      </c>
      <c r="F215" s="93">
        <v>0.15</v>
      </c>
    </row>
    <row r="216" spans="1:6">
      <c r="A216" s="87" t="s">
        <v>285</v>
      </c>
      <c r="B216" s="91" t="s">
        <v>2239</v>
      </c>
      <c r="C216" s="92">
        <v>0.14699999999999999</v>
      </c>
      <c r="D216" s="92">
        <v>0.14699999999999999</v>
      </c>
      <c r="E216" s="92">
        <v>0.15</v>
      </c>
      <c r="F216" s="93">
        <v>0.14000000000000001</v>
      </c>
    </row>
    <row r="217" spans="1:6">
      <c r="A217" s="87" t="s">
        <v>285</v>
      </c>
      <c r="B217" s="91" t="s">
        <v>2249</v>
      </c>
      <c r="C217" s="92">
        <v>0.15</v>
      </c>
      <c r="D217" s="92">
        <v>0.15</v>
      </c>
      <c r="E217" s="92">
        <v>0.15</v>
      </c>
      <c r="F217" s="93">
        <v>0.15</v>
      </c>
    </row>
    <row r="218" spans="1:6">
      <c r="A218" s="87" t="s">
        <v>285</v>
      </c>
      <c r="B218" s="91" t="s">
        <v>2259</v>
      </c>
      <c r="C218" s="92">
        <v>0.15</v>
      </c>
      <c r="D218" s="92">
        <v>0.15</v>
      </c>
      <c r="E218" s="92">
        <v>0.15</v>
      </c>
      <c r="F218" s="93">
        <v>0.15</v>
      </c>
    </row>
    <row r="219" spans="1:6">
      <c r="A219" s="87" t="s">
        <v>285</v>
      </c>
      <c r="B219" s="91" t="s">
        <v>2269</v>
      </c>
      <c r="C219" s="92">
        <v>0.15</v>
      </c>
      <c r="D219" s="92">
        <v>0.15</v>
      </c>
      <c r="E219" s="92">
        <v>0.15</v>
      </c>
      <c r="F219" s="93">
        <v>0.14799999999999999</v>
      </c>
    </row>
    <row r="220" spans="1:6">
      <c r="A220" s="87" t="s">
        <v>285</v>
      </c>
      <c r="B220" s="91" t="s">
        <v>2279</v>
      </c>
      <c r="C220" s="92">
        <v>0.15</v>
      </c>
      <c r="D220" s="92">
        <v>0.15</v>
      </c>
      <c r="E220" s="92">
        <v>0.15</v>
      </c>
      <c r="F220" s="93">
        <v>0.15</v>
      </c>
    </row>
    <row r="221" spans="1:6">
      <c r="A221" s="87" t="s">
        <v>285</v>
      </c>
      <c r="B221" s="91" t="s">
        <v>2289</v>
      </c>
      <c r="C221" s="92"/>
      <c r="D221" s="101"/>
      <c r="E221" s="101"/>
      <c r="F221" s="93">
        <v>0.14799999999999999</v>
      </c>
    </row>
    <row r="222" spans="1:6">
      <c r="A222" s="87" t="s">
        <v>285</v>
      </c>
      <c r="B222" s="91" t="s">
        <v>2299</v>
      </c>
      <c r="C222" s="92"/>
      <c r="D222" s="101"/>
      <c r="E222" s="101"/>
      <c r="F222" s="93">
        <v>0.1</v>
      </c>
    </row>
    <row r="223" spans="1:6">
      <c r="A223" s="87" t="s">
        <v>285</v>
      </c>
      <c r="B223" s="91" t="s">
        <v>2309</v>
      </c>
      <c r="C223" s="92"/>
      <c r="D223" s="101"/>
      <c r="E223" s="101"/>
      <c r="F223" s="93">
        <v>0.15</v>
      </c>
    </row>
    <row r="224" spans="1:6">
      <c r="A224" s="87" t="s">
        <v>285</v>
      </c>
      <c r="B224" s="91" t="s">
        <v>2319</v>
      </c>
      <c r="C224" s="92"/>
      <c r="D224" s="101"/>
      <c r="E224" s="101"/>
      <c r="F224" s="93">
        <v>0.15</v>
      </c>
    </row>
    <row r="225" spans="1:6">
      <c r="A225" s="87" t="s">
        <v>285</v>
      </c>
      <c r="B225" s="91" t="s">
        <v>2328</v>
      </c>
      <c r="C225" s="92">
        <v>0.15</v>
      </c>
      <c r="D225" s="92">
        <v>0.15</v>
      </c>
      <c r="E225" s="92">
        <v>0.15</v>
      </c>
      <c r="F225" s="93">
        <v>0.15</v>
      </c>
    </row>
    <row r="226" spans="1:6">
      <c r="A226" s="87" t="s">
        <v>285</v>
      </c>
      <c r="B226" s="91" t="s">
        <v>2336</v>
      </c>
      <c r="C226" s="92">
        <v>0.15</v>
      </c>
      <c r="D226" s="92">
        <v>0.15</v>
      </c>
      <c r="E226" s="92">
        <v>0.15</v>
      </c>
      <c r="F226" s="93">
        <v>0.14799999999999999</v>
      </c>
    </row>
    <row r="227" spans="1:6">
      <c r="A227" s="87" t="s">
        <v>285</v>
      </c>
      <c r="B227" s="91" t="s">
        <v>2344</v>
      </c>
      <c r="C227" s="92">
        <v>0.15</v>
      </c>
      <c r="D227" s="92">
        <v>0.15</v>
      </c>
      <c r="E227" s="92">
        <v>0.15</v>
      </c>
      <c r="F227" s="93">
        <v>0.15</v>
      </c>
    </row>
    <row r="228" spans="1:6">
      <c r="A228" s="87" t="s">
        <v>285</v>
      </c>
      <c r="B228" s="91" t="s">
        <v>2351</v>
      </c>
      <c r="C228" s="92">
        <v>0.15</v>
      </c>
      <c r="D228" s="92">
        <v>0.15</v>
      </c>
      <c r="E228" s="92">
        <v>0.15</v>
      </c>
      <c r="F228" s="93">
        <v>0.15</v>
      </c>
    </row>
    <row r="229" spans="1:6">
      <c r="A229" s="87" t="s">
        <v>285</v>
      </c>
      <c r="B229" s="91" t="s">
        <v>2358</v>
      </c>
      <c r="C229" s="92">
        <v>0.15</v>
      </c>
      <c r="D229" s="92">
        <v>0.15</v>
      </c>
      <c r="E229" s="92">
        <v>0.15</v>
      </c>
      <c r="F229" s="100"/>
    </row>
    <row r="230" spans="1:6">
      <c r="A230" s="87" t="s">
        <v>285</v>
      </c>
      <c r="B230" s="91" t="s">
        <v>2365</v>
      </c>
      <c r="C230" s="92">
        <v>0.14499999999999999</v>
      </c>
      <c r="D230" s="92">
        <v>0.14499999999999999</v>
      </c>
      <c r="E230" s="92">
        <v>0.14399999999999999</v>
      </c>
      <c r="F230" s="100"/>
    </row>
    <row r="231" spans="1:6">
      <c r="A231" s="87" t="s">
        <v>285</v>
      </c>
      <c r="B231" s="91" t="s">
        <v>2372</v>
      </c>
      <c r="C231" s="92">
        <v>0.128</v>
      </c>
      <c r="D231" s="92">
        <v>0.125</v>
      </c>
      <c r="E231" s="92">
        <v>0.13200000000000001</v>
      </c>
      <c r="F231" s="100"/>
    </row>
    <row r="232" spans="1:6">
      <c r="A232" s="87" t="s">
        <v>285</v>
      </c>
      <c r="B232" s="91" t="s">
        <v>2379</v>
      </c>
      <c r="C232" s="92">
        <v>0.14499999999999999</v>
      </c>
      <c r="D232" s="92">
        <v>0.14399999999999999</v>
      </c>
      <c r="E232" s="92">
        <v>0.14599999999999999</v>
      </c>
      <c r="F232" s="93">
        <v>0.13800000000000001</v>
      </c>
    </row>
    <row r="233" spans="1:6">
      <c r="A233" s="87" t="s">
        <v>285</v>
      </c>
      <c r="B233" s="91" t="s">
        <v>2384</v>
      </c>
      <c r="C233" s="92">
        <v>0.14499999999999999</v>
      </c>
      <c r="D233" s="92">
        <v>0.14299999999999999</v>
      </c>
      <c r="E233" s="92">
        <v>0.14199999999999999</v>
      </c>
      <c r="F233" s="100"/>
    </row>
    <row r="234" spans="1:6">
      <c r="A234" s="87" t="s">
        <v>285</v>
      </c>
      <c r="B234" s="91" t="s">
        <v>2462</v>
      </c>
      <c r="C234" s="92">
        <v>0.14000000000000001</v>
      </c>
      <c r="D234" s="92">
        <v>0.14000000000000001</v>
      </c>
      <c r="E234" s="92">
        <v>0.14399999999999999</v>
      </c>
      <c r="F234" s="100"/>
    </row>
    <row r="235" spans="1:6">
      <c r="A235" s="87" t="s">
        <v>285</v>
      </c>
      <c r="B235" s="91" t="s">
        <v>2394</v>
      </c>
      <c r="C235" s="92">
        <v>0.14099999999999999</v>
      </c>
      <c r="D235" s="92">
        <v>0.14199999999999999</v>
      </c>
      <c r="E235" s="92">
        <v>0.14499999999999999</v>
      </c>
      <c r="F235" s="93">
        <v>0.15</v>
      </c>
    </row>
    <row r="236" spans="1:6">
      <c r="A236" s="87" t="s">
        <v>285</v>
      </c>
      <c r="B236" s="91" t="s">
        <v>2399</v>
      </c>
      <c r="C236" s="101"/>
      <c r="D236" s="101"/>
      <c r="E236" s="101"/>
      <c r="F236" s="93">
        <v>0.14299999999999999</v>
      </c>
    </row>
    <row r="237" spans="1:6" ht="24">
      <c r="A237" s="87" t="s">
        <v>285</v>
      </c>
      <c r="B237" s="91" t="s">
        <v>2404</v>
      </c>
      <c r="C237" s="101"/>
      <c r="D237" s="101"/>
      <c r="E237" s="101"/>
      <c r="F237" s="93">
        <v>0.05</v>
      </c>
    </row>
    <row r="238" spans="1:6" ht="24">
      <c r="A238" s="87" t="s">
        <v>285</v>
      </c>
      <c r="B238" s="91" t="s">
        <v>2409</v>
      </c>
      <c r="C238" s="101"/>
      <c r="D238" s="101"/>
      <c r="E238" s="101"/>
      <c r="F238" s="93">
        <v>0.05</v>
      </c>
    </row>
    <row r="239" spans="1:6" ht="24">
      <c r="A239" s="87" t="s">
        <v>285</v>
      </c>
      <c r="B239" s="91" t="s">
        <v>2414</v>
      </c>
      <c r="C239" s="101"/>
      <c r="D239" s="101"/>
      <c r="E239" s="101"/>
      <c r="F239" s="93">
        <v>0.05</v>
      </c>
    </row>
    <row r="240" spans="1:6" ht="24">
      <c r="A240" s="87" t="s">
        <v>285</v>
      </c>
      <c r="B240" s="91" t="s">
        <v>2418</v>
      </c>
      <c r="C240" s="101"/>
      <c r="D240" s="101"/>
      <c r="E240" s="101"/>
      <c r="F240" s="93">
        <v>0.05</v>
      </c>
    </row>
    <row r="241" spans="1:6" ht="24">
      <c r="A241" s="87" t="s">
        <v>285</v>
      </c>
      <c r="B241" s="91" t="s">
        <v>2422</v>
      </c>
      <c r="C241" s="101"/>
      <c r="D241" s="101"/>
      <c r="E241" s="101"/>
      <c r="F241" s="93">
        <v>0.05</v>
      </c>
    </row>
    <row r="242" spans="1:6" ht="24">
      <c r="A242" s="87" t="s">
        <v>285</v>
      </c>
      <c r="B242" s="91" t="s">
        <v>2426</v>
      </c>
      <c r="C242" s="101"/>
      <c r="D242" s="101"/>
      <c r="E242" s="101"/>
      <c r="F242" s="93">
        <v>0.05</v>
      </c>
    </row>
    <row r="243" spans="1:6" ht="24">
      <c r="A243" s="87" t="s">
        <v>285</v>
      </c>
      <c r="B243" s="91" t="s">
        <v>2430</v>
      </c>
      <c r="C243" s="101"/>
      <c r="D243" s="101"/>
      <c r="E243" s="101"/>
      <c r="F243" s="93">
        <v>0.05</v>
      </c>
    </row>
    <row r="244" spans="1:6" ht="24">
      <c r="A244" s="95" t="s">
        <v>285</v>
      </c>
      <c r="B244" s="102" t="s">
        <v>2434</v>
      </c>
      <c r="C244" s="98"/>
      <c r="D244" s="98"/>
      <c r="E244" s="98"/>
      <c r="F244" s="103">
        <v>0.05</v>
      </c>
    </row>
    <row r="245" spans="1:6">
      <c r="A245" s="87" t="s">
        <v>288</v>
      </c>
      <c r="B245" s="88" t="s">
        <v>2126</v>
      </c>
      <c r="C245" s="89">
        <v>0.15</v>
      </c>
      <c r="D245" s="89">
        <v>0.15</v>
      </c>
      <c r="E245" s="89">
        <v>0.15</v>
      </c>
      <c r="F245" s="90">
        <v>0.14299999999999999</v>
      </c>
    </row>
    <row r="246" spans="1:6">
      <c r="A246" s="87" t="s">
        <v>288</v>
      </c>
      <c r="B246" s="91" t="s">
        <v>2139</v>
      </c>
      <c r="C246" s="92">
        <v>0.15</v>
      </c>
      <c r="D246" s="92">
        <v>0.15</v>
      </c>
      <c r="E246" s="92">
        <v>0.15</v>
      </c>
      <c r="F246" s="93">
        <v>0.114</v>
      </c>
    </row>
    <row r="247" spans="1:6">
      <c r="A247" s="87" t="s">
        <v>288</v>
      </c>
      <c r="B247" s="91" t="s">
        <v>2153</v>
      </c>
      <c r="C247" s="92">
        <v>0.15</v>
      </c>
      <c r="D247" s="92">
        <v>0.15</v>
      </c>
      <c r="E247" s="92">
        <v>0.15</v>
      </c>
      <c r="F247" s="93">
        <v>0.15</v>
      </c>
    </row>
    <row r="248" spans="1:6">
      <c r="A248" s="87" t="s">
        <v>288</v>
      </c>
      <c r="B248" s="91" t="s">
        <v>2165</v>
      </c>
      <c r="C248" s="92">
        <v>0.15</v>
      </c>
      <c r="D248" s="92">
        <v>0.15</v>
      </c>
      <c r="E248" s="92">
        <v>0.15</v>
      </c>
      <c r="F248" s="93">
        <v>0.14000000000000001</v>
      </c>
    </row>
    <row r="249" spans="1:6">
      <c r="A249" s="87" t="s">
        <v>288</v>
      </c>
      <c r="B249" s="91" t="s">
        <v>2177</v>
      </c>
      <c r="C249" s="92">
        <v>0.15</v>
      </c>
      <c r="D249" s="92">
        <v>0.14899999999999999</v>
      </c>
      <c r="E249" s="92">
        <v>0.15</v>
      </c>
      <c r="F249" s="93">
        <v>0.1</v>
      </c>
    </row>
    <row r="250" spans="1:6">
      <c r="A250" s="87" t="s">
        <v>288</v>
      </c>
      <c r="B250" s="91" t="s">
        <v>2188</v>
      </c>
      <c r="C250" s="92">
        <v>0.15</v>
      </c>
      <c r="D250" s="92">
        <v>0.15</v>
      </c>
      <c r="E250" s="92">
        <v>0.15</v>
      </c>
      <c r="F250" s="93">
        <v>0.14399999999999999</v>
      </c>
    </row>
    <row r="251" spans="1:6">
      <c r="A251" s="87" t="s">
        <v>288</v>
      </c>
      <c r="B251" s="91" t="s">
        <v>2199</v>
      </c>
      <c r="C251" s="92">
        <v>0.15</v>
      </c>
      <c r="D251" s="92">
        <v>0.15</v>
      </c>
      <c r="E251" s="92">
        <v>0.15</v>
      </c>
      <c r="F251" s="93">
        <v>0.14299999999999999</v>
      </c>
    </row>
    <row r="252" spans="1:6">
      <c r="A252" s="87" t="s">
        <v>288</v>
      </c>
      <c r="B252" s="91" t="s">
        <v>2210</v>
      </c>
      <c r="C252" s="92">
        <v>0.15</v>
      </c>
      <c r="D252" s="92">
        <v>0.15</v>
      </c>
      <c r="E252" s="92">
        <v>0.15</v>
      </c>
      <c r="F252" s="93">
        <v>0.1</v>
      </c>
    </row>
    <row r="253" spans="1:6">
      <c r="A253" s="87" t="s">
        <v>288</v>
      </c>
      <c r="B253" s="91" t="s">
        <v>2220</v>
      </c>
      <c r="C253" s="92">
        <v>0.15</v>
      </c>
      <c r="D253" s="92">
        <v>0.15</v>
      </c>
      <c r="E253" s="92">
        <v>0.15</v>
      </c>
      <c r="F253" s="93">
        <v>0.1</v>
      </c>
    </row>
    <row r="254" spans="1:6">
      <c r="A254" s="87" t="s">
        <v>288</v>
      </c>
      <c r="B254" s="91" t="s">
        <v>2230</v>
      </c>
      <c r="C254" s="101"/>
      <c r="D254" s="101"/>
      <c r="E254" s="101"/>
      <c r="F254" s="93">
        <v>0.15</v>
      </c>
    </row>
    <row r="255" spans="1:6">
      <c r="A255" s="87" t="s">
        <v>288</v>
      </c>
      <c r="B255" s="91" t="s">
        <v>2240</v>
      </c>
      <c r="C255" s="101"/>
      <c r="D255" s="101"/>
      <c r="E255" s="101"/>
      <c r="F255" s="93">
        <v>0.14299999999999999</v>
      </c>
    </row>
    <row r="256" spans="1:6">
      <c r="A256" s="87" t="s">
        <v>288</v>
      </c>
      <c r="B256" s="91" t="s">
        <v>2250</v>
      </c>
      <c r="C256" s="92">
        <v>0.14599999999999999</v>
      </c>
      <c r="D256" s="92">
        <v>0.14699999999999999</v>
      </c>
      <c r="E256" s="92">
        <v>0.15</v>
      </c>
      <c r="F256" s="93">
        <v>0.13200000000000001</v>
      </c>
    </row>
    <row r="257" spans="1:6">
      <c r="A257" s="87" t="s">
        <v>288</v>
      </c>
      <c r="B257" s="91" t="s">
        <v>2260</v>
      </c>
      <c r="C257" s="92">
        <v>0.15</v>
      </c>
      <c r="D257" s="92">
        <v>0.15</v>
      </c>
      <c r="E257" s="92">
        <v>0.15</v>
      </c>
      <c r="F257" s="93">
        <v>0.13900000000000001</v>
      </c>
    </row>
    <row r="258" spans="1:6">
      <c r="A258" s="87" t="s">
        <v>288</v>
      </c>
      <c r="B258" s="91" t="s">
        <v>2270</v>
      </c>
      <c r="C258" s="92">
        <v>0.15</v>
      </c>
      <c r="D258" s="92">
        <v>0.15</v>
      </c>
      <c r="E258" s="92">
        <v>0.15</v>
      </c>
      <c r="F258" s="93">
        <v>0.13</v>
      </c>
    </row>
    <row r="259" spans="1:6">
      <c r="A259" s="87" t="s">
        <v>288</v>
      </c>
      <c r="B259" s="91" t="s">
        <v>2280</v>
      </c>
      <c r="C259" s="92">
        <v>0.14799999999999999</v>
      </c>
      <c r="D259" s="92">
        <v>0.14899999999999999</v>
      </c>
      <c r="E259" s="92">
        <v>0.15</v>
      </c>
      <c r="F259" s="93">
        <v>0.13700000000000001</v>
      </c>
    </row>
    <row r="260" spans="1:6">
      <c r="A260" s="87" t="s">
        <v>288</v>
      </c>
      <c r="B260" s="91" t="s">
        <v>2290</v>
      </c>
      <c r="C260" s="92">
        <v>0.15</v>
      </c>
      <c r="D260" s="92">
        <v>0.15</v>
      </c>
      <c r="E260" s="92">
        <v>0.15</v>
      </c>
      <c r="F260" s="93">
        <v>0.14199999999999999</v>
      </c>
    </row>
    <row r="261" spans="1:6">
      <c r="A261" s="87" t="s">
        <v>288</v>
      </c>
      <c r="B261" s="91" t="s">
        <v>2300</v>
      </c>
      <c r="C261" s="92">
        <v>0.15</v>
      </c>
      <c r="D261" s="92">
        <v>0.15</v>
      </c>
      <c r="E261" s="92">
        <v>0.14899999999999999</v>
      </c>
      <c r="F261" s="93">
        <v>0.14799999999999999</v>
      </c>
    </row>
    <row r="262" spans="1:6">
      <c r="A262" s="87" t="s">
        <v>288</v>
      </c>
      <c r="B262" s="91" t="s">
        <v>2310</v>
      </c>
      <c r="C262" s="92">
        <v>0.15</v>
      </c>
      <c r="D262" s="92">
        <v>0.15</v>
      </c>
      <c r="E262" s="92">
        <v>0.15</v>
      </c>
      <c r="F262" s="100"/>
    </row>
    <row r="263" spans="1:6">
      <c r="A263" s="87" t="s">
        <v>288</v>
      </c>
      <c r="B263" s="91" t="s">
        <v>2320</v>
      </c>
      <c r="C263" s="92">
        <v>0.14899999999999999</v>
      </c>
      <c r="D263" s="92">
        <v>0.14899999999999999</v>
      </c>
      <c r="E263" s="92">
        <v>0.15</v>
      </c>
      <c r="F263" s="93">
        <v>0.13</v>
      </c>
    </row>
    <row r="264" spans="1:6">
      <c r="A264" s="87" t="s">
        <v>288</v>
      </c>
      <c r="B264" s="91" t="s">
        <v>2329</v>
      </c>
      <c r="C264" s="92">
        <v>0.14799999999999999</v>
      </c>
      <c r="D264" s="92">
        <v>0.14699999999999999</v>
      </c>
      <c r="E264" s="92">
        <v>0.15</v>
      </c>
      <c r="F264" s="93">
        <v>7.8E-2</v>
      </c>
    </row>
    <row r="265" spans="1:6">
      <c r="A265" s="87" t="s">
        <v>288</v>
      </c>
      <c r="B265" s="91" t="s">
        <v>2337</v>
      </c>
      <c r="C265" s="92">
        <v>0.15</v>
      </c>
      <c r="D265" s="92">
        <v>0.15</v>
      </c>
      <c r="E265" s="92">
        <v>0.15</v>
      </c>
      <c r="F265" s="93">
        <v>7.3999999999999996E-2</v>
      </c>
    </row>
    <row r="266" spans="1:6">
      <c r="A266" s="87" t="s">
        <v>288</v>
      </c>
      <c r="B266" s="91" t="s">
        <v>2345</v>
      </c>
      <c r="C266" s="92">
        <v>0.14699999999999999</v>
      </c>
      <c r="D266" s="92">
        <v>0.14699999999999999</v>
      </c>
      <c r="E266" s="92">
        <v>0.15</v>
      </c>
      <c r="F266" s="93">
        <v>0.14299999999999999</v>
      </c>
    </row>
    <row r="267" spans="1:6">
      <c r="A267" s="87" t="s">
        <v>288</v>
      </c>
      <c r="B267" s="91" t="s">
        <v>2352</v>
      </c>
      <c r="C267" s="92">
        <v>0.14199999999999999</v>
      </c>
      <c r="D267" s="92">
        <v>0.14299999999999999</v>
      </c>
      <c r="E267" s="92">
        <v>0.15</v>
      </c>
      <c r="F267" s="100"/>
    </row>
    <row r="268" spans="1:6">
      <c r="A268" s="87" t="s">
        <v>288</v>
      </c>
      <c r="B268" s="91" t="s">
        <v>2359</v>
      </c>
      <c r="C268" s="92">
        <v>0.15</v>
      </c>
      <c r="D268" s="92">
        <v>0.15</v>
      </c>
      <c r="E268" s="92">
        <v>0.15</v>
      </c>
      <c r="F268" s="93">
        <v>0.13</v>
      </c>
    </row>
    <row r="269" spans="1:6">
      <c r="A269" s="87" t="s">
        <v>288</v>
      </c>
      <c r="B269" s="91" t="s">
        <v>2366</v>
      </c>
      <c r="C269" s="92">
        <v>0.15</v>
      </c>
      <c r="D269" s="92">
        <v>0.15</v>
      </c>
      <c r="E269" s="92">
        <v>0.15</v>
      </c>
      <c r="F269" s="93">
        <v>0.14299999999999999</v>
      </c>
    </row>
    <row r="270" spans="1:6">
      <c r="A270" s="87" t="s">
        <v>288</v>
      </c>
      <c r="B270" s="91" t="s">
        <v>2373</v>
      </c>
      <c r="C270" s="92">
        <v>0.14499999999999999</v>
      </c>
      <c r="D270" s="92">
        <v>0.14499999999999999</v>
      </c>
      <c r="E270" s="92">
        <v>0.15</v>
      </c>
      <c r="F270" s="93">
        <v>0.14699999999999999</v>
      </c>
    </row>
    <row r="271" spans="1:6">
      <c r="A271" s="87" t="s">
        <v>288</v>
      </c>
      <c r="B271" s="91" t="s">
        <v>2380</v>
      </c>
      <c r="C271" s="92">
        <v>0.15</v>
      </c>
      <c r="D271" s="92">
        <v>0.15</v>
      </c>
      <c r="E271" s="92">
        <v>0.15</v>
      </c>
      <c r="F271" s="93">
        <v>0.13800000000000001</v>
      </c>
    </row>
    <row r="272" spans="1:6">
      <c r="A272" s="87" t="s">
        <v>288</v>
      </c>
      <c r="B272" s="91" t="s">
        <v>2385</v>
      </c>
      <c r="C272" s="101"/>
      <c r="D272" s="101"/>
      <c r="E272" s="101"/>
      <c r="F272" s="93">
        <v>0.14000000000000001</v>
      </c>
    </row>
    <row r="273" spans="1:6">
      <c r="A273" s="87" t="s">
        <v>288</v>
      </c>
      <c r="B273" s="91" t="s">
        <v>2390</v>
      </c>
      <c r="C273" s="92">
        <v>0.14199999999999999</v>
      </c>
      <c r="D273" s="92">
        <v>0.14299999999999999</v>
      </c>
      <c r="E273" s="92">
        <v>0.15</v>
      </c>
      <c r="F273" s="93">
        <v>0.1</v>
      </c>
    </row>
    <row r="274" spans="1:6">
      <c r="A274" s="87" t="s">
        <v>288</v>
      </c>
      <c r="B274" s="91" t="s">
        <v>2395</v>
      </c>
      <c r="C274" s="92">
        <v>0.14799999999999999</v>
      </c>
      <c r="D274" s="92">
        <v>0.14799999999999999</v>
      </c>
      <c r="E274" s="92">
        <v>0.15</v>
      </c>
      <c r="F274" s="93">
        <v>6.7000000000000004E-2</v>
      </c>
    </row>
    <row r="275" spans="1:6">
      <c r="A275" s="87" t="s">
        <v>288</v>
      </c>
      <c r="B275" s="91" t="s">
        <v>2400</v>
      </c>
      <c r="C275" s="92">
        <v>0.15</v>
      </c>
      <c r="D275" s="92">
        <v>0.15</v>
      </c>
      <c r="E275" s="92">
        <v>0.15</v>
      </c>
      <c r="F275" s="93">
        <v>0.15</v>
      </c>
    </row>
    <row r="276" spans="1:6">
      <c r="A276" s="87" t="s">
        <v>288</v>
      </c>
      <c r="B276" s="91" t="s">
        <v>2405</v>
      </c>
      <c r="C276" s="92">
        <v>0.14499999999999999</v>
      </c>
      <c r="D276" s="92">
        <v>0.14299999999999999</v>
      </c>
      <c r="E276" s="92">
        <v>0.15</v>
      </c>
      <c r="F276" s="93">
        <v>5.8999999999999997E-2</v>
      </c>
    </row>
    <row r="277" spans="1:6">
      <c r="A277" s="87" t="s">
        <v>288</v>
      </c>
      <c r="B277" s="91" t="s">
        <v>2410</v>
      </c>
      <c r="C277" s="92">
        <v>0.15</v>
      </c>
      <c r="D277" s="92">
        <v>0.15</v>
      </c>
      <c r="E277" s="92">
        <v>0.15</v>
      </c>
      <c r="F277" s="93">
        <v>0.121</v>
      </c>
    </row>
    <row r="278" spans="1:6">
      <c r="A278" s="87" t="s">
        <v>288</v>
      </c>
      <c r="B278" s="91" t="s">
        <v>2415</v>
      </c>
      <c r="C278" s="92">
        <v>0.15</v>
      </c>
      <c r="D278" s="92">
        <v>0.15</v>
      </c>
      <c r="E278" s="92">
        <v>0.15</v>
      </c>
      <c r="F278" s="93">
        <v>0.13800000000000001</v>
      </c>
    </row>
    <row r="279" spans="1:6" ht="24">
      <c r="A279" s="87" t="s">
        <v>288</v>
      </c>
      <c r="B279" s="91" t="s">
        <v>2419</v>
      </c>
      <c r="C279" s="101"/>
      <c r="D279" s="101"/>
      <c r="E279" s="101"/>
      <c r="F279" s="93">
        <v>0.05</v>
      </c>
    </row>
    <row r="280" spans="1:6" ht="24">
      <c r="A280" s="87" t="s">
        <v>288</v>
      </c>
      <c r="B280" s="91" t="s">
        <v>2423</v>
      </c>
      <c r="C280" s="101"/>
      <c r="D280" s="101"/>
      <c r="E280" s="101"/>
      <c r="F280" s="93">
        <v>0.05</v>
      </c>
    </row>
    <row r="281" spans="1:6" ht="24">
      <c r="A281" s="87" t="s">
        <v>288</v>
      </c>
      <c r="B281" s="91" t="s">
        <v>2427</v>
      </c>
      <c r="C281" s="101"/>
      <c r="D281" s="101"/>
      <c r="E281" s="101"/>
      <c r="F281" s="93">
        <v>0.05</v>
      </c>
    </row>
    <row r="282" spans="1:6" ht="24">
      <c r="A282" s="87" t="s">
        <v>288</v>
      </c>
      <c r="B282" s="91" t="s">
        <v>2431</v>
      </c>
      <c r="C282" s="101"/>
      <c r="D282" s="101"/>
      <c r="E282" s="101"/>
      <c r="F282" s="93">
        <v>0.05</v>
      </c>
    </row>
    <row r="283" spans="1:6" ht="24">
      <c r="A283" s="87" t="s">
        <v>288</v>
      </c>
      <c r="B283" s="91" t="s">
        <v>2435</v>
      </c>
      <c r="C283" s="101"/>
      <c r="D283" s="101"/>
      <c r="E283" s="101"/>
      <c r="F283" s="93">
        <v>0.05</v>
      </c>
    </row>
    <row r="284" spans="1:6" ht="24">
      <c r="A284" s="87" t="s">
        <v>288</v>
      </c>
      <c r="B284" s="91" t="s">
        <v>2438</v>
      </c>
      <c r="C284" s="101"/>
      <c r="D284" s="101"/>
      <c r="E284" s="101"/>
      <c r="F284" s="93">
        <v>0.05</v>
      </c>
    </row>
    <row r="285" spans="1:6" ht="24">
      <c r="A285" s="87" t="s">
        <v>288</v>
      </c>
      <c r="B285" s="91" t="s">
        <v>2441</v>
      </c>
      <c r="C285" s="101"/>
      <c r="D285" s="101"/>
      <c r="E285" s="101"/>
      <c r="F285" s="93">
        <v>0.05</v>
      </c>
    </row>
    <row r="286" spans="1:6" ht="24">
      <c r="A286" s="87" t="s">
        <v>288</v>
      </c>
      <c r="B286" s="91" t="s">
        <v>2444</v>
      </c>
      <c r="C286" s="101"/>
      <c r="D286" s="101"/>
      <c r="E286" s="101"/>
      <c r="F286" s="93">
        <v>0.05</v>
      </c>
    </row>
    <row r="287" spans="1:6" ht="24">
      <c r="A287" s="87" t="s">
        <v>288</v>
      </c>
      <c r="B287" s="91" t="s">
        <v>2447</v>
      </c>
      <c r="C287" s="101"/>
      <c r="D287" s="101"/>
      <c r="E287" s="101"/>
      <c r="F287" s="93">
        <v>0.05</v>
      </c>
    </row>
    <row r="288" spans="1:6" ht="24">
      <c r="A288" s="87" t="s">
        <v>288</v>
      </c>
      <c r="B288" s="91" t="s">
        <v>2450</v>
      </c>
      <c r="C288" s="101"/>
      <c r="D288" s="101"/>
      <c r="E288" s="101"/>
      <c r="F288" s="93">
        <v>0.05</v>
      </c>
    </row>
    <row r="289" spans="1:6" ht="24">
      <c r="A289" s="95" t="s">
        <v>288</v>
      </c>
      <c r="B289" s="102" t="s">
        <v>2453</v>
      </c>
      <c r="C289" s="98"/>
      <c r="D289" s="98"/>
      <c r="E289" s="98"/>
      <c r="F289" s="103">
        <v>0.05</v>
      </c>
    </row>
    <row r="290" spans="1:6">
      <c r="A290" s="87" t="s">
        <v>291</v>
      </c>
      <c r="B290" s="88" t="s">
        <v>2127</v>
      </c>
      <c r="C290" s="89">
        <v>0.15</v>
      </c>
      <c r="D290" s="89">
        <v>0.15</v>
      </c>
      <c r="E290" s="89">
        <v>0.15</v>
      </c>
      <c r="F290" s="111"/>
    </row>
    <row r="291" spans="1:6">
      <c r="A291" s="87" t="s">
        <v>291</v>
      </c>
      <c r="B291" s="91" t="s">
        <v>2140</v>
      </c>
      <c r="C291" s="92">
        <v>0.15</v>
      </c>
      <c r="D291" s="92">
        <v>0.15</v>
      </c>
      <c r="E291" s="92">
        <v>0.15</v>
      </c>
      <c r="F291" s="100"/>
    </row>
    <row r="292" spans="1:6">
      <c r="A292" s="87" t="s">
        <v>291</v>
      </c>
      <c r="B292" s="91" t="s">
        <v>2154</v>
      </c>
      <c r="C292" s="92">
        <v>0.15</v>
      </c>
      <c r="D292" s="92">
        <v>0.15</v>
      </c>
      <c r="E292" s="92">
        <v>0.15</v>
      </c>
      <c r="F292" s="93">
        <v>0.14699999999999999</v>
      </c>
    </row>
    <row r="293" spans="1:6">
      <c r="A293" s="87" t="s">
        <v>291</v>
      </c>
      <c r="B293" s="91" t="s">
        <v>2460</v>
      </c>
      <c r="C293" s="101"/>
      <c r="D293" s="101"/>
      <c r="E293" s="101"/>
      <c r="F293" s="93">
        <v>0.1</v>
      </c>
    </row>
    <row r="294" spans="1:6">
      <c r="A294" s="87" t="s">
        <v>291</v>
      </c>
      <c r="B294" s="91" t="s">
        <v>2166</v>
      </c>
      <c r="C294" s="92">
        <v>0.15</v>
      </c>
      <c r="D294" s="92">
        <v>0.15</v>
      </c>
      <c r="E294" s="92">
        <v>0.15</v>
      </c>
      <c r="F294" s="93">
        <v>0.15</v>
      </c>
    </row>
    <row r="295" spans="1:6">
      <c r="A295" s="87" t="s">
        <v>291</v>
      </c>
      <c r="B295" s="91" t="s">
        <v>2178</v>
      </c>
      <c r="C295" s="92">
        <v>0.15</v>
      </c>
      <c r="D295" s="92">
        <v>0.15</v>
      </c>
      <c r="E295" s="92">
        <v>0.15</v>
      </c>
      <c r="F295" s="93">
        <v>0.15</v>
      </c>
    </row>
    <row r="296" spans="1:6">
      <c r="A296" s="87" t="s">
        <v>291</v>
      </c>
      <c r="B296" s="91" t="s">
        <v>2189</v>
      </c>
      <c r="C296" s="92">
        <v>0.15</v>
      </c>
      <c r="D296" s="92">
        <v>0.15</v>
      </c>
      <c r="E296" s="92">
        <v>0.15</v>
      </c>
      <c r="F296" s="93">
        <v>0.15</v>
      </c>
    </row>
    <row r="297" spans="1:6">
      <c r="A297" s="87" t="s">
        <v>291</v>
      </c>
      <c r="B297" s="91" t="s">
        <v>2200</v>
      </c>
      <c r="C297" s="92">
        <v>0.14799999999999999</v>
      </c>
      <c r="D297" s="92">
        <v>0.14899999999999999</v>
      </c>
      <c r="E297" s="92">
        <v>0.15</v>
      </c>
      <c r="F297" s="93">
        <v>0.13700000000000001</v>
      </c>
    </row>
    <row r="298" spans="1:6">
      <c r="A298" s="87" t="s">
        <v>291</v>
      </c>
      <c r="B298" s="91" t="s">
        <v>2211</v>
      </c>
      <c r="C298" s="92">
        <v>0.13400000000000001</v>
      </c>
      <c r="D298" s="92">
        <v>0.13400000000000001</v>
      </c>
      <c r="E298" s="92">
        <v>0.14499999999999999</v>
      </c>
      <c r="F298" s="93">
        <v>0.14799999999999999</v>
      </c>
    </row>
    <row r="299" spans="1:6">
      <c r="A299" s="87" t="s">
        <v>291</v>
      </c>
      <c r="B299" s="91" t="s">
        <v>2221</v>
      </c>
      <c r="C299" s="92">
        <v>0.15</v>
      </c>
      <c r="D299" s="92">
        <v>0.15</v>
      </c>
      <c r="E299" s="92">
        <v>0.15</v>
      </c>
      <c r="F299" s="100"/>
    </row>
    <row r="300" spans="1:6">
      <c r="A300" s="87" t="s">
        <v>291</v>
      </c>
      <c r="B300" s="91" t="s">
        <v>2231</v>
      </c>
      <c r="C300" s="92">
        <v>0.15</v>
      </c>
      <c r="D300" s="92">
        <v>0.15</v>
      </c>
      <c r="E300" s="92">
        <v>0.15</v>
      </c>
      <c r="F300" s="93">
        <v>0.15</v>
      </c>
    </row>
    <row r="301" spans="1:6">
      <c r="A301" s="87" t="s">
        <v>291</v>
      </c>
      <c r="B301" s="91" t="s">
        <v>2241</v>
      </c>
      <c r="C301" s="92">
        <v>0.15</v>
      </c>
      <c r="D301" s="92">
        <v>0.15</v>
      </c>
      <c r="E301" s="92">
        <v>0.15</v>
      </c>
      <c r="F301" s="100"/>
    </row>
    <row r="302" spans="1:6">
      <c r="A302" s="87" t="s">
        <v>291</v>
      </c>
      <c r="B302" s="91" t="s">
        <v>2251</v>
      </c>
      <c r="C302" s="92">
        <v>0.15</v>
      </c>
      <c r="D302" s="92">
        <v>0.15</v>
      </c>
      <c r="E302" s="92">
        <v>0.15</v>
      </c>
      <c r="F302" s="93">
        <v>0.15</v>
      </c>
    </row>
    <row r="303" spans="1:6">
      <c r="A303" s="87" t="s">
        <v>291</v>
      </c>
      <c r="B303" s="91" t="s">
        <v>2261</v>
      </c>
      <c r="C303" s="92">
        <v>0.15</v>
      </c>
      <c r="D303" s="92">
        <v>0.15</v>
      </c>
      <c r="E303" s="92">
        <v>0.15</v>
      </c>
      <c r="F303" s="93">
        <v>0.15</v>
      </c>
    </row>
    <row r="304" spans="1:6">
      <c r="A304" s="87" t="s">
        <v>291</v>
      </c>
      <c r="B304" s="91" t="s">
        <v>2271</v>
      </c>
      <c r="C304" s="92">
        <v>0.15</v>
      </c>
      <c r="D304" s="92">
        <v>0.15</v>
      </c>
      <c r="E304" s="92">
        <v>0.15</v>
      </c>
      <c r="F304" s="100"/>
    </row>
    <row r="305" spans="1:6">
      <c r="A305" s="87" t="s">
        <v>291</v>
      </c>
      <c r="B305" s="91" t="s">
        <v>2281</v>
      </c>
      <c r="C305" s="92">
        <v>0.15</v>
      </c>
      <c r="D305" s="92">
        <v>0.15</v>
      </c>
      <c r="E305" s="92">
        <v>0.15</v>
      </c>
      <c r="F305" s="93">
        <v>0.14000000000000001</v>
      </c>
    </row>
    <row r="306" spans="1:6">
      <c r="A306" s="87" t="s">
        <v>291</v>
      </c>
      <c r="B306" s="91" t="s">
        <v>2291</v>
      </c>
      <c r="C306" s="92">
        <v>0.15</v>
      </c>
      <c r="D306" s="92">
        <v>0.15</v>
      </c>
      <c r="E306" s="92">
        <v>0.15</v>
      </c>
      <c r="F306" s="100"/>
    </row>
    <row r="307" spans="1:6">
      <c r="A307" s="87" t="s">
        <v>291</v>
      </c>
      <c r="B307" s="91" t="s">
        <v>2301</v>
      </c>
      <c r="C307" s="92">
        <v>0.15</v>
      </c>
      <c r="D307" s="92">
        <v>0.15</v>
      </c>
      <c r="E307" s="92">
        <v>0.15</v>
      </c>
      <c r="F307" s="93">
        <v>0.14299999999999999</v>
      </c>
    </row>
    <row r="308" spans="1:6">
      <c r="A308" s="87" t="s">
        <v>291</v>
      </c>
      <c r="B308" s="91" t="s">
        <v>2311</v>
      </c>
      <c r="C308" s="92">
        <v>0.15</v>
      </c>
      <c r="D308" s="92">
        <v>0.15</v>
      </c>
      <c r="E308" s="92">
        <v>0.15</v>
      </c>
      <c r="F308" s="93">
        <v>0.15</v>
      </c>
    </row>
    <row r="309" spans="1:6">
      <c r="A309" s="87" t="s">
        <v>291</v>
      </c>
      <c r="B309" s="91" t="s">
        <v>2321</v>
      </c>
      <c r="C309" s="92">
        <v>0.15</v>
      </c>
      <c r="D309" s="92">
        <v>0.15</v>
      </c>
      <c r="E309" s="92">
        <v>0.15</v>
      </c>
      <c r="F309" s="100"/>
    </row>
    <row r="310" spans="1:6">
      <c r="A310" s="87" t="s">
        <v>291</v>
      </c>
      <c r="B310" s="91" t="s">
        <v>2330</v>
      </c>
      <c r="C310" s="92">
        <v>0.15</v>
      </c>
      <c r="D310" s="92">
        <v>0.15</v>
      </c>
      <c r="E310" s="92">
        <v>0.15</v>
      </c>
      <c r="F310" s="93">
        <v>0.13700000000000001</v>
      </c>
    </row>
    <row r="311" spans="1:6">
      <c r="A311" s="87" t="s">
        <v>291</v>
      </c>
      <c r="B311" s="91" t="s">
        <v>2338</v>
      </c>
      <c r="C311" s="92">
        <v>0.15</v>
      </c>
      <c r="D311" s="92">
        <v>0.15</v>
      </c>
      <c r="E311" s="92">
        <v>0.15</v>
      </c>
      <c r="F311" s="93">
        <v>0.15</v>
      </c>
    </row>
    <row r="312" spans="1:6">
      <c r="A312" s="87" t="s">
        <v>291</v>
      </c>
      <c r="B312" s="91" t="s">
        <v>2346</v>
      </c>
      <c r="C312" s="92">
        <v>0.15</v>
      </c>
      <c r="D312" s="92">
        <v>0.15</v>
      </c>
      <c r="E312" s="92">
        <v>0.15</v>
      </c>
      <c r="F312" s="93">
        <v>0.1</v>
      </c>
    </row>
    <row r="313" spans="1:6">
      <c r="A313" s="87" t="s">
        <v>291</v>
      </c>
      <c r="B313" s="91" t="s">
        <v>2353</v>
      </c>
      <c r="C313" s="92">
        <v>0.15</v>
      </c>
      <c r="D313" s="92">
        <v>0.15</v>
      </c>
      <c r="E313" s="92">
        <v>0.15</v>
      </c>
      <c r="F313" s="93">
        <v>0.15</v>
      </c>
    </row>
    <row r="314" spans="1:6" ht="24">
      <c r="A314" s="87" t="s">
        <v>291</v>
      </c>
      <c r="B314" s="91" t="s">
        <v>2360</v>
      </c>
      <c r="C314" s="101"/>
      <c r="D314" s="101"/>
      <c r="E314" s="101"/>
      <c r="F314" s="93">
        <v>0.05</v>
      </c>
    </row>
    <row r="315" spans="1:6" ht="24">
      <c r="A315" s="87" t="s">
        <v>291</v>
      </c>
      <c r="B315" s="91" t="s">
        <v>2367</v>
      </c>
      <c r="C315" s="101"/>
      <c r="D315" s="101"/>
      <c r="E315" s="101"/>
      <c r="F315" s="93">
        <v>0.05</v>
      </c>
    </row>
    <row r="316" spans="1:6" ht="24">
      <c r="A316" s="95" t="s">
        <v>291</v>
      </c>
      <c r="B316" s="102" t="s">
        <v>2374</v>
      </c>
      <c r="C316" s="98"/>
      <c r="D316" s="98"/>
      <c r="E316" s="98"/>
      <c r="F316" s="103">
        <v>0.05</v>
      </c>
    </row>
    <row r="317" spans="1:6">
      <c r="A317" s="87" t="s">
        <v>294</v>
      </c>
      <c r="B317" s="88" t="s">
        <v>2128</v>
      </c>
      <c r="C317" s="89">
        <v>0.15</v>
      </c>
      <c r="D317" s="89">
        <v>0.15</v>
      </c>
      <c r="E317" s="89">
        <v>0.15</v>
      </c>
      <c r="F317" s="90">
        <v>0.15</v>
      </c>
    </row>
    <row r="318" spans="1:6">
      <c r="A318" s="87" t="s">
        <v>294</v>
      </c>
      <c r="B318" s="91" t="s">
        <v>2141</v>
      </c>
      <c r="C318" s="92">
        <v>0.107</v>
      </c>
      <c r="D318" s="92">
        <v>0.11</v>
      </c>
      <c r="E318" s="92">
        <v>0.112</v>
      </c>
      <c r="F318" s="100"/>
    </row>
    <row r="319" spans="1:6">
      <c r="A319" s="87" t="s">
        <v>294</v>
      </c>
      <c r="B319" s="91" t="s">
        <v>2155</v>
      </c>
      <c r="C319" s="92">
        <v>0.15</v>
      </c>
      <c r="D319" s="92">
        <v>0.15</v>
      </c>
      <c r="E319" s="92">
        <v>0.15</v>
      </c>
      <c r="F319" s="93">
        <v>0.15</v>
      </c>
    </row>
    <row r="320" spans="1:6">
      <c r="A320" s="87" t="s">
        <v>294</v>
      </c>
      <c r="B320" s="91" t="s">
        <v>2167</v>
      </c>
      <c r="C320" s="92">
        <v>0.15</v>
      </c>
      <c r="D320" s="92">
        <v>0.15</v>
      </c>
      <c r="E320" s="92">
        <v>0.15</v>
      </c>
      <c r="F320" s="100"/>
    </row>
    <row r="321" spans="1:6">
      <c r="A321" s="87" t="s">
        <v>294</v>
      </c>
      <c r="B321" s="91" t="s">
        <v>2179</v>
      </c>
      <c r="C321" s="92">
        <v>0.15</v>
      </c>
      <c r="D321" s="92">
        <v>0.15</v>
      </c>
      <c r="E321" s="92">
        <v>0.15</v>
      </c>
      <c r="F321" s="100"/>
    </row>
    <row r="322" spans="1:6">
      <c r="A322" s="87" t="s">
        <v>294</v>
      </c>
      <c r="B322" s="91" t="s">
        <v>2190</v>
      </c>
      <c r="C322" s="92">
        <v>0.15</v>
      </c>
      <c r="D322" s="92">
        <v>0.15</v>
      </c>
      <c r="E322" s="92">
        <v>0.15</v>
      </c>
      <c r="F322" s="93">
        <v>0.15</v>
      </c>
    </row>
    <row r="323" spans="1:6">
      <c r="A323" s="87" t="s">
        <v>294</v>
      </c>
      <c r="B323" s="91" t="s">
        <v>2201</v>
      </c>
      <c r="C323" s="92">
        <v>0.15</v>
      </c>
      <c r="D323" s="92">
        <v>0.15</v>
      </c>
      <c r="E323" s="92">
        <v>0.15</v>
      </c>
      <c r="F323" s="100"/>
    </row>
    <row r="324" spans="1:6">
      <c r="A324" s="87" t="s">
        <v>294</v>
      </c>
      <c r="B324" s="91" t="s">
        <v>2212</v>
      </c>
      <c r="C324" s="92">
        <v>0.15</v>
      </c>
      <c r="D324" s="92">
        <v>0.15</v>
      </c>
      <c r="E324" s="92">
        <v>0.15</v>
      </c>
      <c r="F324" s="100"/>
    </row>
    <row r="325" spans="1:6">
      <c r="A325" s="87" t="s">
        <v>294</v>
      </c>
      <c r="B325" s="91" t="s">
        <v>2222</v>
      </c>
      <c r="C325" s="92">
        <v>0.15</v>
      </c>
      <c r="D325" s="92">
        <v>0.15</v>
      </c>
      <c r="E325" s="92">
        <v>0.15</v>
      </c>
      <c r="F325" s="93">
        <v>0.14699999999999999</v>
      </c>
    </row>
    <row r="326" spans="1:6">
      <c r="A326" s="87" t="s">
        <v>294</v>
      </c>
      <c r="B326" s="91" t="s">
        <v>2232</v>
      </c>
      <c r="C326" s="92">
        <v>0.15</v>
      </c>
      <c r="D326" s="92">
        <v>0.15</v>
      </c>
      <c r="E326" s="92">
        <v>0.15</v>
      </c>
      <c r="F326" s="100"/>
    </row>
    <row r="327" spans="1:6">
      <c r="A327" s="87" t="s">
        <v>294</v>
      </c>
      <c r="B327" s="91" t="s">
        <v>2242</v>
      </c>
      <c r="C327" s="92">
        <v>0.15</v>
      </c>
      <c r="D327" s="92">
        <v>0.15</v>
      </c>
      <c r="E327" s="92">
        <v>0.15</v>
      </c>
      <c r="F327" s="93">
        <v>0.15</v>
      </c>
    </row>
    <row r="328" spans="1:6">
      <c r="A328" s="87" t="s">
        <v>294</v>
      </c>
      <c r="B328" s="91" t="s">
        <v>2252</v>
      </c>
      <c r="C328" s="92">
        <v>0.15</v>
      </c>
      <c r="D328" s="92">
        <v>0.15</v>
      </c>
      <c r="E328" s="92">
        <v>0.15</v>
      </c>
      <c r="F328" s="93">
        <v>0.14099999999999999</v>
      </c>
    </row>
    <row r="329" spans="1:6">
      <c r="A329" s="87" t="s">
        <v>294</v>
      </c>
      <c r="B329" s="91" t="s">
        <v>2262</v>
      </c>
      <c r="C329" s="92">
        <v>0.15</v>
      </c>
      <c r="D329" s="92">
        <v>0.15</v>
      </c>
      <c r="E329" s="92">
        <v>0.15</v>
      </c>
      <c r="F329" s="93">
        <v>0.15</v>
      </c>
    </row>
    <row r="330" spans="1:6">
      <c r="A330" s="87" t="s">
        <v>294</v>
      </c>
      <c r="B330" s="91" t="s">
        <v>2272</v>
      </c>
      <c r="C330" s="92">
        <v>0.15</v>
      </c>
      <c r="D330" s="92">
        <v>0.15</v>
      </c>
      <c r="E330" s="92">
        <v>0.15</v>
      </c>
      <c r="F330" s="100"/>
    </row>
    <row r="331" spans="1:6">
      <c r="A331" s="87" t="s">
        <v>294</v>
      </c>
      <c r="B331" s="91" t="s">
        <v>2282</v>
      </c>
      <c r="C331" s="92">
        <v>0.15</v>
      </c>
      <c r="D331" s="92">
        <v>0.15</v>
      </c>
      <c r="E331" s="92">
        <v>0.15</v>
      </c>
      <c r="F331" s="93">
        <v>0.15</v>
      </c>
    </row>
    <row r="332" spans="1:6">
      <c r="A332" s="87" t="s">
        <v>294</v>
      </c>
      <c r="B332" s="91" t="s">
        <v>2292</v>
      </c>
      <c r="C332" s="92">
        <v>0.15</v>
      </c>
      <c r="D332" s="92">
        <v>0.15</v>
      </c>
      <c r="E332" s="92">
        <v>0.15</v>
      </c>
      <c r="F332" s="93">
        <v>0.15</v>
      </c>
    </row>
    <row r="333" spans="1:6">
      <c r="A333" s="87" t="s">
        <v>294</v>
      </c>
      <c r="B333" s="91" t="s">
        <v>2302</v>
      </c>
      <c r="C333" s="92">
        <v>0.15</v>
      </c>
      <c r="D333" s="92">
        <v>0.15</v>
      </c>
      <c r="E333" s="92">
        <v>0.15</v>
      </c>
      <c r="F333" s="93">
        <v>0.14099999999999999</v>
      </c>
    </row>
    <row r="334" spans="1:6">
      <c r="A334" s="87" t="s">
        <v>294</v>
      </c>
      <c r="B334" s="91" t="s">
        <v>2312</v>
      </c>
      <c r="C334" s="92">
        <v>0.15</v>
      </c>
      <c r="D334" s="92">
        <v>0.15</v>
      </c>
      <c r="E334" s="92">
        <v>0.15</v>
      </c>
      <c r="F334" s="93">
        <v>0.15</v>
      </c>
    </row>
    <row r="335" spans="1:6">
      <c r="A335" s="87" t="s">
        <v>294</v>
      </c>
      <c r="B335" s="91" t="s">
        <v>2322</v>
      </c>
      <c r="C335" s="92">
        <v>0.15</v>
      </c>
      <c r="D335" s="92">
        <v>0.15</v>
      </c>
      <c r="E335" s="92">
        <v>0.15</v>
      </c>
      <c r="F335" s="100"/>
    </row>
    <row r="336" spans="1:6">
      <c r="A336" s="87" t="s">
        <v>294</v>
      </c>
      <c r="B336" s="91" t="s">
        <v>2331</v>
      </c>
      <c r="C336" s="92">
        <v>0.15</v>
      </c>
      <c r="D336" s="92">
        <v>0.15</v>
      </c>
      <c r="E336" s="92">
        <v>0.15</v>
      </c>
      <c r="F336" s="93">
        <v>0.11799999999999999</v>
      </c>
    </row>
    <row r="337" spans="1:6">
      <c r="A337" s="95" t="s">
        <v>294</v>
      </c>
      <c r="B337" s="102" t="s">
        <v>2339</v>
      </c>
      <c r="C337" s="98"/>
      <c r="D337" s="98"/>
      <c r="E337" s="98"/>
      <c r="F337" s="103">
        <v>0.14299999999999999</v>
      </c>
    </row>
    <row r="338" spans="1:6">
      <c r="A338" s="87" t="s">
        <v>297</v>
      </c>
      <c r="B338" s="88" t="s">
        <v>2129</v>
      </c>
      <c r="C338" s="89">
        <v>0.15</v>
      </c>
      <c r="D338" s="89">
        <v>0.15</v>
      </c>
      <c r="E338" s="89">
        <v>0.15</v>
      </c>
      <c r="F338" s="111"/>
    </row>
    <row r="339" spans="1:6">
      <c r="A339" s="87" t="s">
        <v>297</v>
      </c>
      <c r="B339" s="91" t="s">
        <v>2142</v>
      </c>
      <c r="C339" s="92">
        <v>0.15</v>
      </c>
      <c r="D339" s="92">
        <v>0.15</v>
      </c>
      <c r="E339" s="92">
        <v>0.15</v>
      </c>
      <c r="F339" s="100"/>
    </row>
    <row r="340" spans="1:6">
      <c r="A340" s="87" t="s">
        <v>297</v>
      </c>
      <c r="B340" s="91" t="s">
        <v>2156</v>
      </c>
      <c r="C340" s="92">
        <v>0.15</v>
      </c>
      <c r="D340" s="92">
        <v>0.15</v>
      </c>
      <c r="E340" s="92">
        <v>0.15</v>
      </c>
      <c r="F340" s="100"/>
    </row>
    <row r="341" spans="1:6">
      <c r="A341" s="87" t="s">
        <v>297</v>
      </c>
      <c r="B341" s="91" t="s">
        <v>2168</v>
      </c>
      <c r="C341" s="92">
        <v>0.15</v>
      </c>
      <c r="D341" s="92">
        <v>0.15</v>
      </c>
      <c r="E341" s="92">
        <v>0.15</v>
      </c>
      <c r="F341" s="93">
        <v>0.15</v>
      </c>
    </row>
    <row r="342" spans="1:6">
      <c r="A342" s="87" t="s">
        <v>297</v>
      </c>
      <c r="B342" s="91" t="s">
        <v>2180</v>
      </c>
      <c r="C342" s="92">
        <v>0.15</v>
      </c>
      <c r="D342" s="92">
        <v>0.15</v>
      </c>
      <c r="E342" s="92">
        <v>0.15</v>
      </c>
      <c r="F342" s="93">
        <v>0.15</v>
      </c>
    </row>
    <row r="343" spans="1:6">
      <c r="A343" s="87" t="s">
        <v>297</v>
      </c>
      <c r="B343" s="91" t="s">
        <v>2191</v>
      </c>
      <c r="C343" s="92">
        <v>0.15</v>
      </c>
      <c r="D343" s="92">
        <v>0.15</v>
      </c>
      <c r="E343" s="92">
        <v>0.15</v>
      </c>
      <c r="F343" s="93">
        <v>0.15</v>
      </c>
    </row>
    <row r="344" spans="1:6">
      <c r="A344" s="95" t="s">
        <v>297</v>
      </c>
      <c r="B344" s="102" t="s">
        <v>2202</v>
      </c>
      <c r="C344" s="97">
        <v>0.15</v>
      </c>
      <c r="D344" s="97">
        <v>0.15</v>
      </c>
      <c r="E344" s="97">
        <v>0.15</v>
      </c>
      <c r="F344" s="103">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5" customFormat="1">
      <c r="A1" s="18"/>
      <c r="B1" s="19" t="s">
        <v>2463</v>
      </c>
      <c r="C1" s="20">
        <f>项目基本情况!D3</f>
        <v>44393</v>
      </c>
      <c r="D1" s="19" t="s">
        <v>2464</v>
      </c>
      <c r="E1" s="21">
        <f>'数据-取费表'!B22</f>
        <v>2</v>
      </c>
      <c r="F1" s="19" t="s">
        <v>2465</v>
      </c>
      <c r="G1" s="22">
        <f ca="1">INDIRECT("d"&amp;$K$1)/100</f>
        <v>4.7500000000000001E-2</v>
      </c>
      <c r="H1" s="19" t="s">
        <v>2466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2465</v>
      </c>
      <c r="E2" s="23"/>
      <c r="F2" s="23" t="s">
        <v>2467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2468</v>
      </c>
      <c r="C3" s="26">
        <v>0</v>
      </c>
      <c r="D3" s="27">
        <f ca="1">INDIRECT("d"&amp;$J$1)</f>
        <v>4.3499999999999996</v>
      </c>
      <c r="E3" s="28">
        <v>0.5</v>
      </c>
      <c r="F3" s="29">
        <f ca="1">INDIRECT("p"&amp;$L$1)</f>
        <v>1.3</v>
      </c>
      <c r="G3" s="16"/>
      <c r="H3" s="16"/>
      <c r="I3" s="16"/>
      <c r="J3" s="16"/>
      <c r="L3" s="16"/>
      <c r="M3" s="16"/>
      <c r="N3" s="16"/>
      <c r="O3" s="16"/>
      <c r="P3" s="16"/>
      <c r="Q3" s="16"/>
      <c r="R3" s="16"/>
      <c r="S3" s="16"/>
      <c r="T3" s="16"/>
      <c r="U3" s="16"/>
      <c r="V3" s="16"/>
      <c r="W3" s="16"/>
      <c r="X3" s="16"/>
      <c r="Y3" s="16"/>
      <c r="Z3" s="16"/>
    </row>
    <row r="4" spans="1:257">
      <c r="B4" s="30" t="s">
        <v>2469</v>
      </c>
      <c r="C4" s="31">
        <v>0.5</v>
      </c>
      <c r="D4" s="32">
        <f ca="1">INDIRECT("e"&amp;$J$1)</f>
        <v>4.3499999999999996</v>
      </c>
      <c r="E4" s="33">
        <v>1</v>
      </c>
      <c r="F4" s="34">
        <f ca="1">INDIRECT("q"&amp;$L$1)</f>
        <v>1.5</v>
      </c>
      <c r="G4" s="16"/>
      <c r="H4" s="16"/>
      <c r="I4" s="16"/>
      <c r="J4" s="16"/>
      <c r="L4" s="16"/>
      <c r="M4" s="16"/>
      <c r="N4" s="16"/>
      <c r="O4" s="16"/>
      <c r="P4" s="16"/>
      <c r="Q4" s="16"/>
      <c r="R4" s="16"/>
      <c r="S4" s="16"/>
      <c r="T4" s="16"/>
      <c r="U4" s="16"/>
      <c r="V4" s="16"/>
      <c r="W4" s="16"/>
      <c r="X4" s="16"/>
      <c r="Y4" s="16"/>
      <c r="Z4" s="16"/>
    </row>
    <row r="5" spans="1:257">
      <c r="B5" s="30" t="s">
        <v>2470</v>
      </c>
      <c r="C5" s="31">
        <v>1</v>
      </c>
      <c r="D5" s="32">
        <f ca="1">INDIRECT("f"&amp;$J$1)</f>
        <v>4.75</v>
      </c>
      <c r="E5" s="33">
        <v>2</v>
      </c>
      <c r="F5" s="34">
        <f ca="1">INDIRECT("r"&amp;$L$1)</f>
        <v>2.1</v>
      </c>
      <c r="G5" s="16"/>
      <c r="H5" s="16"/>
      <c r="I5" s="16"/>
      <c r="J5" s="16"/>
      <c r="L5" s="16"/>
      <c r="M5" s="16"/>
      <c r="N5" s="16"/>
      <c r="O5" s="16"/>
      <c r="P5" s="16"/>
      <c r="Q5" s="16"/>
      <c r="R5" s="16"/>
      <c r="S5" s="16"/>
      <c r="T5" s="16"/>
      <c r="U5" s="16"/>
      <c r="V5" s="16"/>
      <c r="W5" s="16"/>
      <c r="X5" s="16"/>
      <c r="Y5" s="16"/>
      <c r="Z5" s="16"/>
    </row>
    <row r="6" spans="1:257">
      <c r="B6" s="30" t="s">
        <v>2471</v>
      </c>
      <c r="C6" s="31">
        <v>3</v>
      </c>
      <c r="D6" s="32">
        <f ca="1">INDIRECT("g"&amp;$J$1)</f>
        <v>4.75</v>
      </c>
      <c r="E6" s="33">
        <v>3</v>
      </c>
      <c r="F6" s="34">
        <f ca="1">INDIRECT("s"&amp;$L$1)</f>
        <v>2.75</v>
      </c>
      <c r="G6" s="16"/>
      <c r="H6" s="16"/>
      <c r="I6" s="16"/>
      <c r="J6" s="16"/>
      <c r="L6" s="16"/>
      <c r="M6" s="16"/>
      <c r="N6" s="16"/>
      <c r="O6" s="16"/>
      <c r="P6" s="16"/>
      <c r="Q6" s="16"/>
      <c r="R6" s="16"/>
      <c r="S6" s="16"/>
      <c r="T6" s="16"/>
      <c r="U6" s="16"/>
      <c r="V6" s="16"/>
      <c r="W6" s="16"/>
      <c r="X6" s="16"/>
      <c r="Y6" s="16"/>
      <c r="Z6" s="16"/>
    </row>
    <row r="7" spans="1:257">
      <c r="B7" s="35" t="s">
        <v>2472</v>
      </c>
      <c r="C7" s="36">
        <v>5</v>
      </c>
      <c r="D7" s="37">
        <f ca="1">INDIRECT("h"&amp;$J$1)</f>
        <v>4.9000000000000004</v>
      </c>
      <c r="E7" s="38">
        <v>5</v>
      </c>
      <c r="F7" s="39">
        <f ca="1">INDIRECT("t"&amp;$L$1)</f>
        <v>0</v>
      </c>
      <c r="G7" s="16"/>
      <c r="H7" s="16"/>
      <c r="I7" s="16"/>
      <c r="J7" s="16"/>
      <c r="L7" s="16"/>
      <c r="M7" s="16"/>
      <c r="N7" s="16"/>
      <c r="O7" s="16"/>
      <c r="P7" s="16"/>
      <c r="Q7" s="16"/>
      <c r="R7" s="16"/>
      <c r="S7" s="16"/>
      <c r="T7" s="16"/>
      <c r="U7" s="16"/>
      <c r="V7" s="16"/>
      <c r="W7" s="16"/>
      <c r="X7" s="16"/>
      <c r="Y7" s="16"/>
      <c r="Z7" s="16"/>
    </row>
    <row r="8" spans="1:257">
      <c r="A8" s="40"/>
      <c r="B8" s="41"/>
      <c r="C8" s="42"/>
      <c r="D8" s="16"/>
      <c r="E8" s="16"/>
      <c r="F8" s="16"/>
      <c r="G8" s="16"/>
      <c r="H8" s="16"/>
      <c r="I8" s="16"/>
      <c r="J8" s="16"/>
      <c r="L8" s="16"/>
      <c r="M8" s="16"/>
      <c r="N8" s="16"/>
      <c r="O8" s="16"/>
      <c r="P8" s="16"/>
      <c r="Q8" s="16"/>
      <c r="R8" s="16"/>
      <c r="S8" s="16"/>
      <c r="T8" s="16"/>
      <c r="U8" s="16"/>
      <c r="V8" s="16"/>
      <c r="W8" s="16"/>
      <c r="X8" s="16"/>
      <c r="Y8" s="16"/>
      <c r="Z8" s="16"/>
    </row>
    <row r="9" spans="1:257" ht="20.25">
      <c r="A9" s="43"/>
      <c r="B9" s="44" t="s">
        <v>2473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2474</v>
      </c>
      <c r="C10" s="47"/>
      <c r="D10" s="47"/>
      <c r="E10" s="47"/>
      <c r="F10" s="47"/>
      <c r="G10" s="47"/>
      <c r="H10" s="47"/>
      <c r="I10" s="16"/>
      <c r="J10" s="16"/>
      <c r="K10" s="47"/>
      <c r="L10" s="48" t="s">
        <v>2475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2476</v>
      </c>
      <c r="C11" s="51" t="s">
        <v>2477</v>
      </c>
      <c r="D11" s="52" t="s">
        <v>2478</v>
      </c>
      <c r="E11" s="53"/>
      <c r="F11" s="52" t="s">
        <v>2479</v>
      </c>
      <c r="G11" s="54"/>
      <c r="H11" s="53"/>
      <c r="I11" s="52" t="s">
        <v>2480</v>
      </c>
      <c r="J11" s="53"/>
      <c r="K11" s="49"/>
      <c r="L11" s="50" t="s">
        <v>2476</v>
      </c>
      <c r="M11" s="51" t="s">
        <v>2477</v>
      </c>
      <c r="N11" s="50" t="s">
        <v>2481</v>
      </c>
      <c r="O11" s="52" t="s">
        <v>2482</v>
      </c>
      <c r="P11" s="54"/>
      <c r="Q11" s="54"/>
      <c r="R11" s="54"/>
      <c r="S11" s="54"/>
      <c r="T11" s="53"/>
      <c r="U11" s="52" t="s">
        <v>2483</v>
      </c>
      <c r="V11" s="54"/>
      <c r="W11" s="53"/>
      <c r="X11" s="50" t="s">
        <v>2484</v>
      </c>
      <c r="Y11" s="50" t="s">
        <v>2485</v>
      </c>
      <c r="Z11" s="50" t="s">
        <v>2486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2487</v>
      </c>
      <c r="E12" s="58" t="s">
        <v>2469</v>
      </c>
      <c r="F12" s="58" t="s">
        <v>2470</v>
      </c>
      <c r="G12" s="58" t="s">
        <v>2471</v>
      </c>
      <c r="H12" s="58" t="s">
        <v>2472</v>
      </c>
      <c r="I12" s="69" t="s">
        <v>2488</v>
      </c>
      <c r="J12" s="69" t="s">
        <v>2488</v>
      </c>
      <c r="K12" s="55"/>
      <c r="L12" s="56"/>
      <c r="M12" s="57"/>
      <c r="N12" s="56"/>
      <c r="O12" s="69" t="s">
        <v>2489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2490</v>
      </c>
      <c r="C13" s="61">
        <v>42301</v>
      </c>
      <c r="D13" s="62">
        <v>4.3499999999999996</v>
      </c>
      <c r="E13" s="62">
        <v>4.3499999999999996</v>
      </c>
      <c r="F13" s="62">
        <v>4.75</v>
      </c>
      <c r="G13" s="62">
        <v>4.75</v>
      </c>
      <c r="H13" s="62">
        <v>4.9000000000000004</v>
      </c>
      <c r="I13" s="62">
        <v>2.75</v>
      </c>
      <c r="J13" s="62">
        <v>3.25</v>
      </c>
      <c r="K13" s="59"/>
      <c r="L13" s="60" t="s">
        <v>2490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2491</v>
      </c>
      <c r="Y42" s="63" t="s">
        <v>2491</v>
      </c>
      <c r="Z42" s="63" t="s">
        <v>2491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2491</v>
      </c>
      <c r="Y43" s="63" t="s">
        <v>2491</v>
      </c>
      <c r="Z43" s="63" t="s">
        <v>2491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2491</v>
      </c>
      <c r="Y44" s="63" t="s">
        <v>2491</v>
      </c>
      <c r="Z44" s="63" t="s">
        <v>2491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2491</v>
      </c>
      <c r="Y45" s="63" t="s">
        <v>2491</v>
      </c>
      <c r="Z45" s="63" t="s">
        <v>2491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2491</v>
      </c>
      <c r="Y46" s="63" t="s">
        <v>2491</v>
      </c>
      <c r="Z46" s="63" t="s">
        <v>2491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2491</v>
      </c>
      <c r="Y47" s="63" t="s">
        <v>2491</v>
      </c>
      <c r="Z47" s="63" t="s">
        <v>2491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2491</v>
      </c>
      <c r="Y48" s="63" t="s">
        <v>2491</v>
      </c>
      <c r="Z48" s="63" t="s">
        <v>2491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2491</v>
      </c>
      <c r="Y49" s="63" t="s">
        <v>2491</v>
      </c>
      <c r="Z49" s="63" t="s">
        <v>2491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2491</v>
      </c>
      <c r="Y50" s="63" t="s">
        <v>2491</v>
      </c>
      <c r="Z50" s="63" t="s">
        <v>2491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2491</v>
      </c>
      <c r="V51" s="63" t="s">
        <v>2491</v>
      </c>
      <c r="W51" s="63" t="s">
        <v>2491</v>
      </c>
      <c r="X51" s="63" t="s">
        <v>2491</v>
      </c>
      <c r="Y51" s="63" t="s">
        <v>2491</v>
      </c>
      <c r="Z51" s="63" t="s">
        <v>2491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2491</v>
      </c>
      <c r="J55" s="63" t="s">
        <v>2491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2492</v>
      </c>
      <c r="E1" s="3" t="s">
        <v>2493</v>
      </c>
      <c r="F1" s="4" t="s">
        <v>2494</v>
      </c>
    </row>
    <row r="2" spans="1:13" ht="20.25">
      <c r="A2" s="5" t="s">
        <v>2495</v>
      </c>
    </row>
    <row r="3" spans="1:13" ht="16.5">
      <c r="A3" s="6" t="s">
        <v>2496</v>
      </c>
    </row>
    <row r="4" spans="1:13" ht="14.25">
      <c r="A4" s="7" t="s">
        <v>1719</v>
      </c>
      <c r="B4" s="8" t="s">
        <v>1713</v>
      </c>
      <c r="C4" s="9"/>
      <c r="D4" s="10"/>
      <c r="E4" s="8" t="s">
        <v>1714</v>
      </c>
      <c r="F4" s="9"/>
      <c r="G4" s="10"/>
      <c r="H4" s="8" t="s">
        <v>1751</v>
      </c>
      <c r="I4" s="9"/>
      <c r="J4" s="10"/>
      <c r="K4" s="8" t="s">
        <v>464</v>
      </c>
      <c r="L4" s="9"/>
      <c r="M4" s="10"/>
    </row>
    <row r="5" spans="1:13" ht="14.25">
      <c r="A5" s="11" t="s">
        <v>210</v>
      </c>
      <c r="B5" s="7" t="s">
        <v>2497</v>
      </c>
      <c r="C5" s="7" t="s">
        <v>2498</v>
      </c>
      <c r="D5" s="7" t="s">
        <v>2499</v>
      </c>
      <c r="E5" s="7" t="s">
        <v>2497</v>
      </c>
      <c r="F5" s="7" t="s">
        <v>2498</v>
      </c>
      <c r="G5" s="7" t="s">
        <v>2499</v>
      </c>
      <c r="H5" s="7" t="s">
        <v>2497</v>
      </c>
      <c r="I5" s="7" t="s">
        <v>2498</v>
      </c>
      <c r="J5" s="7" t="s">
        <v>2499</v>
      </c>
      <c r="K5" s="7" t="s">
        <v>2497</v>
      </c>
      <c r="L5" s="7" t="s">
        <v>2498</v>
      </c>
      <c r="M5" s="7" t="s">
        <v>2499</v>
      </c>
    </row>
    <row r="6" spans="1:13" ht="14.25">
      <c r="A6" s="12" t="s">
        <v>232</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243</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253</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261</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269</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275</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280</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285</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288</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291</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294</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297</v>
      </c>
      <c r="B17" s="13">
        <v>680</v>
      </c>
      <c r="C17" s="13">
        <v>1120</v>
      </c>
      <c r="D17" s="13">
        <v>900</v>
      </c>
      <c r="E17" s="13">
        <v>650</v>
      </c>
      <c r="F17" s="13">
        <v>1090</v>
      </c>
      <c r="G17" s="13">
        <v>870</v>
      </c>
      <c r="H17" s="13">
        <v>630</v>
      </c>
      <c r="I17" s="13">
        <v>1070</v>
      </c>
      <c r="J17" s="13">
        <v>850</v>
      </c>
      <c r="K17" s="13">
        <v>280</v>
      </c>
      <c r="L17" s="14">
        <v>420</v>
      </c>
      <c r="M17" s="13">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workbookViewId="0">
      <selection activeCell="A14" sqref="A14"/>
    </sheetView>
  </sheetViews>
  <sheetFormatPr defaultRowHeight="12"/>
  <cols>
    <col min="1" max="1" width="34.375" style="2973" customWidth="1"/>
    <col min="2" max="2" width="6.25" style="2973" hidden="1" customWidth="1"/>
    <col min="3" max="3" width="7.875" style="2973" hidden="1" customWidth="1"/>
    <col min="4" max="4" width="19.5" style="2973" hidden="1" customWidth="1"/>
    <col min="5" max="5" width="4.625" style="2973" hidden="1" customWidth="1"/>
    <col min="6" max="6" width="34.375" style="2973" hidden="1" customWidth="1"/>
    <col min="7" max="7" width="9.25" style="2973" hidden="1" customWidth="1"/>
    <col min="8" max="9" width="13.875" style="2973" customWidth="1"/>
    <col min="10" max="10" width="11.75" style="2973" customWidth="1"/>
    <col min="11" max="11" width="7.875" style="2973" hidden="1" customWidth="1"/>
    <col min="12" max="14" width="7.875" style="2973" customWidth="1"/>
    <col min="15" max="15" width="11.25" style="2973" customWidth="1"/>
    <col min="16" max="16" width="7.875" style="2973" hidden="1" customWidth="1"/>
    <col min="17" max="17" width="9.625" style="2973" hidden="1" customWidth="1"/>
    <col min="18" max="19" width="15.5" style="2973" hidden="1" customWidth="1"/>
    <col min="20" max="20" width="12.875" style="2973" hidden="1" customWidth="1"/>
    <col min="21" max="22" width="11.25" style="2973" hidden="1" customWidth="1"/>
    <col min="23" max="23" width="17.875" style="2973" hidden="1" customWidth="1"/>
    <col min="24" max="24" width="7.875" style="2973" hidden="1" customWidth="1"/>
    <col min="25" max="27" width="9" style="2973" hidden="1" customWidth="1"/>
    <col min="28" max="28" width="9" style="2973" customWidth="1"/>
    <col min="29" max="29" width="18.75" style="2973" hidden="1" customWidth="1"/>
    <col min="30" max="30" width="7.875" style="2973" hidden="1" customWidth="1"/>
    <col min="31" max="31" width="24.5" style="2973" customWidth="1"/>
    <col min="32" max="32" width="7.875" style="2973" hidden="1" customWidth="1"/>
    <col min="33" max="34" width="10.625" style="2973" hidden="1" customWidth="1"/>
    <col min="35" max="35" width="10.625" style="2973" customWidth="1"/>
    <col min="36" max="36" width="16" style="2973" hidden="1" customWidth="1"/>
    <col min="37" max="37" width="16" style="2973" customWidth="1"/>
    <col min="38" max="38" width="14.375" style="2973" hidden="1" customWidth="1"/>
    <col min="39" max="39" width="14.375" style="2973" customWidth="1"/>
    <col min="40" max="41" width="21.875" style="2973" hidden="1" customWidth="1"/>
    <col min="42" max="42" width="6.25" style="2973" hidden="1" customWidth="1"/>
    <col min="43" max="43" width="7.875" style="2973" customWidth="1"/>
    <col min="44" max="44" width="16.875" style="2973" hidden="1" customWidth="1"/>
    <col min="45" max="46" width="20.125" style="2973" hidden="1" customWidth="1"/>
    <col min="47" max="47" width="7.875" style="2973" hidden="1" customWidth="1"/>
    <col min="48" max="256" width="9" style="2973"/>
    <col min="257" max="257" width="34.375" style="2973" customWidth="1"/>
    <col min="258" max="258" width="6.25" style="2973" customWidth="1"/>
    <col min="259" max="259" width="7.875" style="2973" customWidth="1"/>
    <col min="260" max="260" width="19.5" style="2973" customWidth="1"/>
    <col min="261" max="261" width="4.625" style="2973" customWidth="1"/>
    <col min="262" max="262" width="34.375" style="2973" customWidth="1"/>
    <col min="263" max="263" width="9.25" style="2973" customWidth="1"/>
    <col min="264" max="265" width="13.875" style="2973" customWidth="1"/>
    <col min="266" max="266" width="11.75" style="2973" customWidth="1"/>
    <col min="267" max="270" width="7.875" style="2973" customWidth="1"/>
    <col min="271" max="271" width="11.25" style="2973" customWidth="1"/>
    <col min="272" max="272" width="7.875" style="2973" customWidth="1"/>
    <col min="273" max="273" width="9.625" style="2973" customWidth="1"/>
    <col min="274" max="275" width="15.5" style="2973" customWidth="1"/>
    <col min="276" max="276" width="12.875" style="2973" customWidth="1"/>
    <col min="277" max="278" width="11.25" style="2973" customWidth="1"/>
    <col min="279" max="279" width="17.875" style="2973" customWidth="1"/>
    <col min="280" max="280" width="7.875" style="2973" customWidth="1"/>
    <col min="281" max="284" width="9" style="2973" customWidth="1"/>
    <col min="285" max="285" width="18.75" style="2973" customWidth="1"/>
    <col min="286" max="286" width="7.875" style="2973" customWidth="1"/>
    <col min="287" max="287" width="24.5" style="2973" customWidth="1"/>
    <col min="288" max="288" width="7.875" style="2973" customWidth="1"/>
    <col min="289" max="291" width="10.625" style="2973" customWidth="1"/>
    <col min="292" max="293" width="16" style="2973" customWidth="1"/>
    <col min="294" max="295" width="14.375" style="2973" customWidth="1"/>
    <col min="296" max="297" width="21.875" style="2973" customWidth="1"/>
    <col min="298" max="298" width="6.25" style="2973" customWidth="1"/>
    <col min="299" max="299" width="7.875" style="2973" customWidth="1"/>
    <col min="300" max="300" width="16.875" style="2973" customWidth="1"/>
    <col min="301" max="302" width="20.125" style="2973" customWidth="1"/>
    <col min="303" max="303" width="7.875" style="2973" customWidth="1"/>
    <col min="304" max="512" width="9" style="2973"/>
    <col min="513" max="513" width="34.375" style="2973" customWidth="1"/>
    <col min="514" max="514" width="6.25" style="2973" customWidth="1"/>
    <col min="515" max="515" width="7.875" style="2973" customWidth="1"/>
    <col min="516" max="516" width="19.5" style="2973" customWidth="1"/>
    <col min="517" max="517" width="4.625" style="2973" customWidth="1"/>
    <col min="518" max="518" width="34.375" style="2973" customWidth="1"/>
    <col min="519" max="519" width="9.25" style="2973" customWidth="1"/>
    <col min="520" max="521" width="13.875" style="2973" customWidth="1"/>
    <col min="522" max="522" width="11.75" style="2973" customWidth="1"/>
    <col min="523" max="526" width="7.875" style="2973" customWidth="1"/>
    <col min="527" max="527" width="11.25" style="2973" customWidth="1"/>
    <col min="528" max="528" width="7.875" style="2973" customWidth="1"/>
    <col min="529" max="529" width="9.625" style="2973" customWidth="1"/>
    <col min="530" max="531" width="15.5" style="2973" customWidth="1"/>
    <col min="532" max="532" width="12.875" style="2973" customWidth="1"/>
    <col min="533" max="534" width="11.25" style="2973" customWidth="1"/>
    <col min="535" max="535" width="17.875" style="2973" customWidth="1"/>
    <col min="536" max="536" width="7.875" style="2973" customWidth="1"/>
    <col min="537" max="540" width="9" style="2973" customWidth="1"/>
    <col min="541" max="541" width="18.75" style="2973" customWidth="1"/>
    <col min="542" max="542" width="7.875" style="2973" customWidth="1"/>
    <col min="543" max="543" width="24.5" style="2973" customWidth="1"/>
    <col min="544" max="544" width="7.875" style="2973" customWidth="1"/>
    <col min="545" max="547" width="10.625" style="2973" customWidth="1"/>
    <col min="548" max="549" width="16" style="2973" customWidth="1"/>
    <col min="550" max="551" width="14.375" style="2973" customWidth="1"/>
    <col min="552" max="553" width="21.875" style="2973" customWidth="1"/>
    <col min="554" max="554" width="6.25" style="2973" customWidth="1"/>
    <col min="555" max="555" width="7.875" style="2973" customWidth="1"/>
    <col min="556" max="556" width="16.875" style="2973" customWidth="1"/>
    <col min="557" max="558" width="20.125" style="2973" customWidth="1"/>
    <col min="559" max="559" width="7.875" style="2973" customWidth="1"/>
    <col min="560" max="768" width="9" style="2973"/>
    <col min="769" max="769" width="34.375" style="2973" customWidth="1"/>
    <col min="770" max="770" width="6.25" style="2973" customWidth="1"/>
    <col min="771" max="771" width="7.875" style="2973" customWidth="1"/>
    <col min="772" max="772" width="19.5" style="2973" customWidth="1"/>
    <col min="773" max="773" width="4.625" style="2973" customWidth="1"/>
    <col min="774" max="774" width="34.375" style="2973" customWidth="1"/>
    <col min="775" max="775" width="9.25" style="2973" customWidth="1"/>
    <col min="776" max="777" width="13.875" style="2973" customWidth="1"/>
    <col min="778" max="778" width="11.75" style="2973" customWidth="1"/>
    <col min="779" max="782" width="7.875" style="2973" customWidth="1"/>
    <col min="783" max="783" width="11.25" style="2973" customWidth="1"/>
    <col min="784" max="784" width="7.875" style="2973" customWidth="1"/>
    <col min="785" max="785" width="9.625" style="2973" customWidth="1"/>
    <col min="786" max="787" width="15.5" style="2973" customWidth="1"/>
    <col min="788" max="788" width="12.875" style="2973" customWidth="1"/>
    <col min="789" max="790" width="11.25" style="2973" customWidth="1"/>
    <col min="791" max="791" width="17.875" style="2973" customWidth="1"/>
    <col min="792" max="792" width="7.875" style="2973" customWidth="1"/>
    <col min="793" max="796" width="9" style="2973" customWidth="1"/>
    <col min="797" max="797" width="18.75" style="2973" customWidth="1"/>
    <col min="798" max="798" width="7.875" style="2973" customWidth="1"/>
    <col min="799" max="799" width="24.5" style="2973" customWidth="1"/>
    <col min="800" max="800" width="7.875" style="2973" customWidth="1"/>
    <col min="801" max="803" width="10.625" style="2973" customWidth="1"/>
    <col min="804" max="805" width="16" style="2973" customWidth="1"/>
    <col min="806" max="807" width="14.375" style="2973" customWidth="1"/>
    <col min="808" max="809" width="21.875" style="2973" customWidth="1"/>
    <col min="810" max="810" width="6.25" style="2973" customWidth="1"/>
    <col min="811" max="811" width="7.875" style="2973" customWidth="1"/>
    <col min="812" max="812" width="16.875" style="2973" customWidth="1"/>
    <col min="813" max="814" width="20.125" style="2973" customWidth="1"/>
    <col min="815" max="815" width="7.875" style="2973" customWidth="1"/>
    <col min="816" max="1024" width="9" style="2973"/>
    <col min="1025" max="1025" width="34.375" style="2973" customWidth="1"/>
    <col min="1026" max="1026" width="6.25" style="2973" customWidth="1"/>
    <col min="1027" max="1027" width="7.875" style="2973" customWidth="1"/>
    <col min="1028" max="1028" width="19.5" style="2973" customWidth="1"/>
    <col min="1029" max="1029" width="4.625" style="2973" customWidth="1"/>
    <col min="1030" max="1030" width="34.375" style="2973" customWidth="1"/>
    <col min="1031" max="1031" width="9.25" style="2973" customWidth="1"/>
    <col min="1032" max="1033" width="13.875" style="2973" customWidth="1"/>
    <col min="1034" max="1034" width="11.75" style="2973" customWidth="1"/>
    <col min="1035" max="1038" width="7.875" style="2973" customWidth="1"/>
    <col min="1039" max="1039" width="11.25" style="2973" customWidth="1"/>
    <col min="1040" max="1040" width="7.875" style="2973" customWidth="1"/>
    <col min="1041" max="1041" width="9.625" style="2973" customWidth="1"/>
    <col min="1042" max="1043" width="15.5" style="2973" customWidth="1"/>
    <col min="1044" max="1044" width="12.875" style="2973" customWidth="1"/>
    <col min="1045" max="1046" width="11.25" style="2973" customWidth="1"/>
    <col min="1047" max="1047" width="17.875" style="2973" customWidth="1"/>
    <col min="1048" max="1048" width="7.875" style="2973" customWidth="1"/>
    <col min="1049" max="1052" width="9" style="2973" customWidth="1"/>
    <col min="1053" max="1053" width="18.75" style="2973" customWidth="1"/>
    <col min="1054" max="1054" width="7.875" style="2973" customWidth="1"/>
    <col min="1055" max="1055" width="24.5" style="2973" customWidth="1"/>
    <col min="1056" max="1056" width="7.875" style="2973" customWidth="1"/>
    <col min="1057" max="1059" width="10.625" style="2973" customWidth="1"/>
    <col min="1060" max="1061" width="16" style="2973" customWidth="1"/>
    <col min="1062" max="1063" width="14.375" style="2973" customWidth="1"/>
    <col min="1064" max="1065" width="21.875" style="2973" customWidth="1"/>
    <col min="1066" max="1066" width="6.25" style="2973" customWidth="1"/>
    <col min="1067" max="1067" width="7.875" style="2973" customWidth="1"/>
    <col min="1068" max="1068" width="16.875" style="2973" customWidth="1"/>
    <col min="1069" max="1070" width="20.125" style="2973" customWidth="1"/>
    <col min="1071" max="1071" width="7.875" style="2973" customWidth="1"/>
    <col min="1072" max="1280" width="9" style="2973"/>
    <col min="1281" max="1281" width="34.375" style="2973" customWidth="1"/>
    <col min="1282" max="1282" width="6.25" style="2973" customWidth="1"/>
    <col min="1283" max="1283" width="7.875" style="2973" customWidth="1"/>
    <col min="1284" max="1284" width="19.5" style="2973" customWidth="1"/>
    <col min="1285" max="1285" width="4.625" style="2973" customWidth="1"/>
    <col min="1286" max="1286" width="34.375" style="2973" customWidth="1"/>
    <col min="1287" max="1287" width="9.25" style="2973" customWidth="1"/>
    <col min="1288" max="1289" width="13.875" style="2973" customWidth="1"/>
    <col min="1290" max="1290" width="11.75" style="2973" customWidth="1"/>
    <col min="1291" max="1294" width="7.875" style="2973" customWidth="1"/>
    <col min="1295" max="1295" width="11.25" style="2973" customWidth="1"/>
    <col min="1296" max="1296" width="7.875" style="2973" customWidth="1"/>
    <col min="1297" max="1297" width="9.625" style="2973" customWidth="1"/>
    <col min="1298" max="1299" width="15.5" style="2973" customWidth="1"/>
    <col min="1300" max="1300" width="12.875" style="2973" customWidth="1"/>
    <col min="1301" max="1302" width="11.25" style="2973" customWidth="1"/>
    <col min="1303" max="1303" width="17.875" style="2973" customWidth="1"/>
    <col min="1304" max="1304" width="7.875" style="2973" customWidth="1"/>
    <col min="1305" max="1308" width="9" style="2973" customWidth="1"/>
    <col min="1309" max="1309" width="18.75" style="2973" customWidth="1"/>
    <col min="1310" max="1310" width="7.875" style="2973" customWidth="1"/>
    <col min="1311" max="1311" width="24.5" style="2973" customWidth="1"/>
    <col min="1312" max="1312" width="7.875" style="2973" customWidth="1"/>
    <col min="1313" max="1315" width="10.625" style="2973" customWidth="1"/>
    <col min="1316" max="1317" width="16" style="2973" customWidth="1"/>
    <col min="1318" max="1319" width="14.375" style="2973" customWidth="1"/>
    <col min="1320" max="1321" width="21.875" style="2973" customWidth="1"/>
    <col min="1322" max="1322" width="6.25" style="2973" customWidth="1"/>
    <col min="1323" max="1323" width="7.875" style="2973" customWidth="1"/>
    <col min="1324" max="1324" width="16.875" style="2973" customWidth="1"/>
    <col min="1325" max="1326" width="20.125" style="2973" customWidth="1"/>
    <col min="1327" max="1327" width="7.875" style="2973" customWidth="1"/>
    <col min="1328" max="1536" width="9" style="2973"/>
    <col min="1537" max="1537" width="34.375" style="2973" customWidth="1"/>
    <col min="1538" max="1538" width="6.25" style="2973" customWidth="1"/>
    <col min="1539" max="1539" width="7.875" style="2973" customWidth="1"/>
    <col min="1540" max="1540" width="19.5" style="2973" customWidth="1"/>
    <col min="1541" max="1541" width="4.625" style="2973" customWidth="1"/>
    <col min="1542" max="1542" width="34.375" style="2973" customWidth="1"/>
    <col min="1543" max="1543" width="9.25" style="2973" customWidth="1"/>
    <col min="1544" max="1545" width="13.875" style="2973" customWidth="1"/>
    <col min="1546" max="1546" width="11.75" style="2973" customWidth="1"/>
    <col min="1547" max="1550" width="7.875" style="2973" customWidth="1"/>
    <col min="1551" max="1551" width="11.25" style="2973" customWidth="1"/>
    <col min="1552" max="1552" width="7.875" style="2973" customWidth="1"/>
    <col min="1553" max="1553" width="9.625" style="2973" customWidth="1"/>
    <col min="1554" max="1555" width="15.5" style="2973" customWidth="1"/>
    <col min="1556" max="1556" width="12.875" style="2973" customWidth="1"/>
    <col min="1557" max="1558" width="11.25" style="2973" customWidth="1"/>
    <col min="1559" max="1559" width="17.875" style="2973" customWidth="1"/>
    <col min="1560" max="1560" width="7.875" style="2973" customWidth="1"/>
    <col min="1561" max="1564" width="9" style="2973" customWidth="1"/>
    <col min="1565" max="1565" width="18.75" style="2973" customWidth="1"/>
    <col min="1566" max="1566" width="7.875" style="2973" customWidth="1"/>
    <col min="1567" max="1567" width="24.5" style="2973" customWidth="1"/>
    <col min="1568" max="1568" width="7.875" style="2973" customWidth="1"/>
    <col min="1569" max="1571" width="10.625" style="2973" customWidth="1"/>
    <col min="1572" max="1573" width="16" style="2973" customWidth="1"/>
    <col min="1574" max="1575" width="14.375" style="2973" customWidth="1"/>
    <col min="1576" max="1577" width="21.875" style="2973" customWidth="1"/>
    <col min="1578" max="1578" width="6.25" style="2973" customWidth="1"/>
    <col min="1579" max="1579" width="7.875" style="2973" customWidth="1"/>
    <col min="1580" max="1580" width="16.875" style="2973" customWidth="1"/>
    <col min="1581" max="1582" width="20.125" style="2973" customWidth="1"/>
    <col min="1583" max="1583" width="7.875" style="2973" customWidth="1"/>
    <col min="1584" max="1792" width="9" style="2973"/>
    <col min="1793" max="1793" width="34.375" style="2973" customWidth="1"/>
    <col min="1794" max="1794" width="6.25" style="2973" customWidth="1"/>
    <col min="1795" max="1795" width="7.875" style="2973" customWidth="1"/>
    <col min="1796" max="1796" width="19.5" style="2973" customWidth="1"/>
    <col min="1797" max="1797" width="4.625" style="2973" customWidth="1"/>
    <col min="1798" max="1798" width="34.375" style="2973" customWidth="1"/>
    <col min="1799" max="1799" width="9.25" style="2973" customWidth="1"/>
    <col min="1800" max="1801" width="13.875" style="2973" customWidth="1"/>
    <col min="1802" max="1802" width="11.75" style="2973" customWidth="1"/>
    <col min="1803" max="1806" width="7.875" style="2973" customWidth="1"/>
    <col min="1807" max="1807" width="11.25" style="2973" customWidth="1"/>
    <col min="1808" max="1808" width="7.875" style="2973" customWidth="1"/>
    <col min="1809" max="1809" width="9.625" style="2973" customWidth="1"/>
    <col min="1810" max="1811" width="15.5" style="2973" customWidth="1"/>
    <col min="1812" max="1812" width="12.875" style="2973" customWidth="1"/>
    <col min="1813" max="1814" width="11.25" style="2973" customWidth="1"/>
    <col min="1815" max="1815" width="17.875" style="2973" customWidth="1"/>
    <col min="1816" max="1816" width="7.875" style="2973" customWidth="1"/>
    <col min="1817" max="1820" width="9" style="2973" customWidth="1"/>
    <col min="1821" max="1821" width="18.75" style="2973" customWidth="1"/>
    <col min="1822" max="1822" width="7.875" style="2973" customWidth="1"/>
    <col min="1823" max="1823" width="24.5" style="2973" customWidth="1"/>
    <col min="1824" max="1824" width="7.875" style="2973" customWidth="1"/>
    <col min="1825" max="1827" width="10.625" style="2973" customWidth="1"/>
    <col min="1828" max="1829" width="16" style="2973" customWidth="1"/>
    <col min="1830" max="1831" width="14.375" style="2973" customWidth="1"/>
    <col min="1832" max="1833" width="21.875" style="2973" customWidth="1"/>
    <col min="1834" max="1834" width="6.25" style="2973" customWidth="1"/>
    <col min="1835" max="1835" width="7.875" style="2973" customWidth="1"/>
    <col min="1836" max="1836" width="16.875" style="2973" customWidth="1"/>
    <col min="1837" max="1838" width="20.125" style="2973" customWidth="1"/>
    <col min="1839" max="1839" width="7.875" style="2973" customWidth="1"/>
    <col min="1840" max="2048" width="9" style="2973"/>
    <col min="2049" max="2049" width="34.375" style="2973" customWidth="1"/>
    <col min="2050" max="2050" width="6.25" style="2973" customWidth="1"/>
    <col min="2051" max="2051" width="7.875" style="2973" customWidth="1"/>
    <col min="2052" max="2052" width="19.5" style="2973" customWidth="1"/>
    <col min="2053" max="2053" width="4.625" style="2973" customWidth="1"/>
    <col min="2054" max="2054" width="34.375" style="2973" customWidth="1"/>
    <col min="2055" max="2055" width="9.25" style="2973" customWidth="1"/>
    <col min="2056" max="2057" width="13.875" style="2973" customWidth="1"/>
    <col min="2058" max="2058" width="11.75" style="2973" customWidth="1"/>
    <col min="2059" max="2062" width="7.875" style="2973" customWidth="1"/>
    <col min="2063" max="2063" width="11.25" style="2973" customWidth="1"/>
    <col min="2064" max="2064" width="7.875" style="2973" customWidth="1"/>
    <col min="2065" max="2065" width="9.625" style="2973" customWidth="1"/>
    <col min="2066" max="2067" width="15.5" style="2973" customWidth="1"/>
    <col min="2068" max="2068" width="12.875" style="2973" customWidth="1"/>
    <col min="2069" max="2070" width="11.25" style="2973" customWidth="1"/>
    <col min="2071" max="2071" width="17.875" style="2973" customWidth="1"/>
    <col min="2072" max="2072" width="7.875" style="2973" customWidth="1"/>
    <col min="2073" max="2076" width="9" style="2973" customWidth="1"/>
    <col min="2077" max="2077" width="18.75" style="2973" customWidth="1"/>
    <col min="2078" max="2078" width="7.875" style="2973" customWidth="1"/>
    <col min="2079" max="2079" width="24.5" style="2973" customWidth="1"/>
    <col min="2080" max="2080" width="7.875" style="2973" customWidth="1"/>
    <col min="2081" max="2083" width="10.625" style="2973" customWidth="1"/>
    <col min="2084" max="2085" width="16" style="2973" customWidth="1"/>
    <col min="2086" max="2087" width="14.375" style="2973" customWidth="1"/>
    <col min="2088" max="2089" width="21.875" style="2973" customWidth="1"/>
    <col min="2090" max="2090" width="6.25" style="2973" customWidth="1"/>
    <col min="2091" max="2091" width="7.875" style="2973" customWidth="1"/>
    <col min="2092" max="2092" width="16.875" style="2973" customWidth="1"/>
    <col min="2093" max="2094" width="20.125" style="2973" customWidth="1"/>
    <col min="2095" max="2095" width="7.875" style="2973" customWidth="1"/>
    <col min="2096" max="2304" width="9" style="2973"/>
    <col min="2305" max="2305" width="34.375" style="2973" customWidth="1"/>
    <col min="2306" max="2306" width="6.25" style="2973" customWidth="1"/>
    <col min="2307" max="2307" width="7.875" style="2973" customWidth="1"/>
    <col min="2308" max="2308" width="19.5" style="2973" customWidth="1"/>
    <col min="2309" max="2309" width="4.625" style="2973" customWidth="1"/>
    <col min="2310" max="2310" width="34.375" style="2973" customWidth="1"/>
    <col min="2311" max="2311" width="9.25" style="2973" customWidth="1"/>
    <col min="2312" max="2313" width="13.875" style="2973" customWidth="1"/>
    <col min="2314" max="2314" width="11.75" style="2973" customWidth="1"/>
    <col min="2315" max="2318" width="7.875" style="2973" customWidth="1"/>
    <col min="2319" max="2319" width="11.25" style="2973" customWidth="1"/>
    <col min="2320" max="2320" width="7.875" style="2973" customWidth="1"/>
    <col min="2321" max="2321" width="9.625" style="2973" customWidth="1"/>
    <col min="2322" max="2323" width="15.5" style="2973" customWidth="1"/>
    <col min="2324" max="2324" width="12.875" style="2973" customWidth="1"/>
    <col min="2325" max="2326" width="11.25" style="2973" customWidth="1"/>
    <col min="2327" max="2327" width="17.875" style="2973" customWidth="1"/>
    <col min="2328" max="2328" width="7.875" style="2973" customWidth="1"/>
    <col min="2329" max="2332" width="9" style="2973" customWidth="1"/>
    <col min="2333" max="2333" width="18.75" style="2973" customWidth="1"/>
    <col min="2334" max="2334" width="7.875" style="2973" customWidth="1"/>
    <col min="2335" max="2335" width="24.5" style="2973" customWidth="1"/>
    <col min="2336" max="2336" width="7.875" style="2973" customWidth="1"/>
    <col min="2337" max="2339" width="10.625" style="2973" customWidth="1"/>
    <col min="2340" max="2341" width="16" style="2973" customWidth="1"/>
    <col min="2342" max="2343" width="14.375" style="2973" customWidth="1"/>
    <col min="2344" max="2345" width="21.875" style="2973" customWidth="1"/>
    <col min="2346" max="2346" width="6.25" style="2973" customWidth="1"/>
    <col min="2347" max="2347" width="7.875" style="2973" customWidth="1"/>
    <col min="2348" max="2348" width="16.875" style="2973" customWidth="1"/>
    <col min="2349" max="2350" width="20.125" style="2973" customWidth="1"/>
    <col min="2351" max="2351" width="7.875" style="2973" customWidth="1"/>
    <col min="2352" max="2560" width="9" style="2973"/>
    <col min="2561" max="2561" width="34.375" style="2973" customWidth="1"/>
    <col min="2562" max="2562" width="6.25" style="2973" customWidth="1"/>
    <col min="2563" max="2563" width="7.875" style="2973" customWidth="1"/>
    <col min="2564" max="2564" width="19.5" style="2973" customWidth="1"/>
    <col min="2565" max="2565" width="4.625" style="2973" customWidth="1"/>
    <col min="2566" max="2566" width="34.375" style="2973" customWidth="1"/>
    <col min="2567" max="2567" width="9.25" style="2973" customWidth="1"/>
    <col min="2568" max="2569" width="13.875" style="2973" customWidth="1"/>
    <col min="2570" max="2570" width="11.75" style="2973" customWidth="1"/>
    <col min="2571" max="2574" width="7.875" style="2973" customWidth="1"/>
    <col min="2575" max="2575" width="11.25" style="2973" customWidth="1"/>
    <col min="2576" max="2576" width="7.875" style="2973" customWidth="1"/>
    <col min="2577" max="2577" width="9.625" style="2973" customWidth="1"/>
    <col min="2578" max="2579" width="15.5" style="2973" customWidth="1"/>
    <col min="2580" max="2580" width="12.875" style="2973" customWidth="1"/>
    <col min="2581" max="2582" width="11.25" style="2973" customWidth="1"/>
    <col min="2583" max="2583" width="17.875" style="2973" customWidth="1"/>
    <col min="2584" max="2584" width="7.875" style="2973" customWidth="1"/>
    <col min="2585" max="2588" width="9" style="2973" customWidth="1"/>
    <col min="2589" max="2589" width="18.75" style="2973" customWidth="1"/>
    <col min="2590" max="2590" width="7.875" style="2973" customWidth="1"/>
    <col min="2591" max="2591" width="24.5" style="2973" customWidth="1"/>
    <col min="2592" max="2592" width="7.875" style="2973" customWidth="1"/>
    <col min="2593" max="2595" width="10.625" style="2973" customWidth="1"/>
    <col min="2596" max="2597" width="16" style="2973" customWidth="1"/>
    <col min="2598" max="2599" width="14.375" style="2973" customWidth="1"/>
    <col min="2600" max="2601" width="21.875" style="2973" customWidth="1"/>
    <col min="2602" max="2602" width="6.25" style="2973" customWidth="1"/>
    <col min="2603" max="2603" width="7.875" style="2973" customWidth="1"/>
    <col min="2604" max="2604" width="16.875" style="2973" customWidth="1"/>
    <col min="2605" max="2606" width="20.125" style="2973" customWidth="1"/>
    <col min="2607" max="2607" width="7.875" style="2973" customWidth="1"/>
    <col min="2608" max="2816" width="9" style="2973"/>
    <col min="2817" max="2817" width="34.375" style="2973" customWidth="1"/>
    <col min="2818" max="2818" width="6.25" style="2973" customWidth="1"/>
    <col min="2819" max="2819" width="7.875" style="2973" customWidth="1"/>
    <col min="2820" max="2820" width="19.5" style="2973" customWidth="1"/>
    <col min="2821" max="2821" width="4.625" style="2973" customWidth="1"/>
    <col min="2822" max="2822" width="34.375" style="2973" customWidth="1"/>
    <col min="2823" max="2823" width="9.25" style="2973" customWidth="1"/>
    <col min="2824" max="2825" width="13.875" style="2973" customWidth="1"/>
    <col min="2826" max="2826" width="11.75" style="2973" customWidth="1"/>
    <col min="2827" max="2830" width="7.875" style="2973" customWidth="1"/>
    <col min="2831" max="2831" width="11.25" style="2973" customWidth="1"/>
    <col min="2832" max="2832" width="7.875" style="2973" customWidth="1"/>
    <col min="2833" max="2833" width="9.625" style="2973" customWidth="1"/>
    <col min="2834" max="2835" width="15.5" style="2973" customWidth="1"/>
    <col min="2836" max="2836" width="12.875" style="2973" customWidth="1"/>
    <col min="2837" max="2838" width="11.25" style="2973" customWidth="1"/>
    <col min="2839" max="2839" width="17.875" style="2973" customWidth="1"/>
    <col min="2840" max="2840" width="7.875" style="2973" customWidth="1"/>
    <col min="2841" max="2844" width="9" style="2973" customWidth="1"/>
    <col min="2845" max="2845" width="18.75" style="2973" customWidth="1"/>
    <col min="2846" max="2846" width="7.875" style="2973" customWidth="1"/>
    <col min="2847" max="2847" width="24.5" style="2973" customWidth="1"/>
    <col min="2848" max="2848" width="7.875" style="2973" customWidth="1"/>
    <col min="2849" max="2851" width="10.625" style="2973" customWidth="1"/>
    <col min="2852" max="2853" width="16" style="2973" customWidth="1"/>
    <col min="2854" max="2855" width="14.375" style="2973" customWidth="1"/>
    <col min="2856" max="2857" width="21.875" style="2973" customWidth="1"/>
    <col min="2858" max="2858" width="6.25" style="2973" customWidth="1"/>
    <col min="2859" max="2859" width="7.875" style="2973" customWidth="1"/>
    <col min="2860" max="2860" width="16.875" style="2973" customWidth="1"/>
    <col min="2861" max="2862" width="20.125" style="2973" customWidth="1"/>
    <col min="2863" max="2863" width="7.875" style="2973" customWidth="1"/>
    <col min="2864" max="3072" width="9" style="2973"/>
    <col min="3073" max="3073" width="34.375" style="2973" customWidth="1"/>
    <col min="3074" max="3074" width="6.25" style="2973" customWidth="1"/>
    <col min="3075" max="3075" width="7.875" style="2973" customWidth="1"/>
    <col min="3076" max="3076" width="19.5" style="2973" customWidth="1"/>
    <col min="3077" max="3077" width="4.625" style="2973" customWidth="1"/>
    <col min="3078" max="3078" width="34.375" style="2973" customWidth="1"/>
    <col min="3079" max="3079" width="9.25" style="2973" customWidth="1"/>
    <col min="3080" max="3081" width="13.875" style="2973" customWidth="1"/>
    <col min="3082" max="3082" width="11.75" style="2973" customWidth="1"/>
    <col min="3083" max="3086" width="7.875" style="2973" customWidth="1"/>
    <col min="3087" max="3087" width="11.25" style="2973" customWidth="1"/>
    <col min="3088" max="3088" width="7.875" style="2973" customWidth="1"/>
    <col min="3089" max="3089" width="9.625" style="2973" customWidth="1"/>
    <col min="3090" max="3091" width="15.5" style="2973" customWidth="1"/>
    <col min="3092" max="3092" width="12.875" style="2973" customWidth="1"/>
    <col min="3093" max="3094" width="11.25" style="2973" customWidth="1"/>
    <col min="3095" max="3095" width="17.875" style="2973" customWidth="1"/>
    <col min="3096" max="3096" width="7.875" style="2973" customWidth="1"/>
    <col min="3097" max="3100" width="9" style="2973" customWidth="1"/>
    <col min="3101" max="3101" width="18.75" style="2973" customWidth="1"/>
    <col min="3102" max="3102" width="7.875" style="2973" customWidth="1"/>
    <col min="3103" max="3103" width="24.5" style="2973" customWidth="1"/>
    <col min="3104" max="3104" width="7.875" style="2973" customWidth="1"/>
    <col min="3105" max="3107" width="10.625" style="2973" customWidth="1"/>
    <col min="3108" max="3109" width="16" style="2973" customWidth="1"/>
    <col min="3110" max="3111" width="14.375" style="2973" customWidth="1"/>
    <col min="3112" max="3113" width="21.875" style="2973" customWidth="1"/>
    <col min="3114" max="3114" width="6.25" style="2973" customWidth="1"/>
    <col min="3115" max="3115" width="7.875" style="2973" customWidth="1"/>
    <col min="3116" max="3116" width="16.875" style="2973" customWidth="1"/>
    <col min="3117" max="3118" width="20.125" style="2973" customWidth="1"/>
    <col min="3119" max="3119" width="7.875" style="2973" customWidth="1"/>
    <col min="3120" max="3328" width="9" style="2973"/>
    <col min="3329" max="3329" width="34.375" style="2973" customWidth="1"/>
    <col min="3330" max="3330" width="6.25" style="2973" customWidth="1"/>
    <col min="3331" max="3331" width="7.875" style="2973" customWidth="1"/>
    <col min="3332" max="3332" width="19.5" style="2973" customWidth="1"/>
    <col min="3333" max="3333" width="4.625" style="2973" customWidth="1"/>
    <col min="3334" max="3334" width="34.375" style="2973" customWidth="1"/>
    <col min="3335" max="3335" width="9.25" style="2973" customWidth="1"/>
    <col min="3336" max="3337" width="13.875" style="2973" customWidth="1"/>
    <col min="3338" max="3338" width="11.75" style="2973" customWidth="1"/>
    <col min="3339" max="3342" width="7.875" style="2973" customWidth="1"/>
    <col min="3343" max="3343" width="11.25" style="2973" customWidth="1"/>
    <col min="3344" max="3344" width="7.875" style="2973" customWidth="1"/>
    <col min="3345" max="3345" width="9.625" style="2973" customWidth="1"/>
    <col min="3346" max="3347" width="15.5" style="2973" customWidth="1"/>
    <col min="3348" max="3348" width="12.875" style="2973" customWidth="1"/>
    <col min="3349" max="3350" width="11.25" style="2973" customWidth="1"/>
    <col min="3351" max="3351" width="17.875" style="2973" customWidth="1"/>
    <col min="3352" max="3352" width="7.875" style="2973" customWidth="1"/>
    <col min="3353" max="3356" width="9" style="2973" customWidth="1"/>
    <col min="3357" max="3357" width="18.75" style="2973" customWidth="1"/>
    <col min="3358" max="3358" width="7.875" style="2973" customWidth="1"/>
    <col min="3359" max="3359" width="24.5" style="2973" customWidth="1"/>
    <col min="3360" max="3360" width="7.875" style="2973" customWidth="1"/>
    <col min="3361" max="3363" width="10.625" style="2973" customWidth="1"/>
    <col min="3364" max="3365" width="16" style="2973" customWidth="1"/>
    <col min="3366" max="3367" width="14.375" style="2973" customWidth="1"/>
    <col min="3368" max="3369" width="21.875" style="2973" customWidth="1"/>
    <col min="3370" max="3370" width="6.25" style="2973" customWidth="1"/>
    <col min="3371" max="3371" width="7.875" style="2973" customWidth="1"/>
    <col min="3372" max="3372" width="16.875" style="2973" customWidth="1"/>
    <col min="3373" max="3374" width="20.125" style="2973" customWidth="1"/>
    <col min="3375" max="3375" width="7.875" style="2973" customWidth="1"/>
    <col min="3376" max="3584" width="9" style="2973"/>
    <col min="3585" max="3585" width="34.375" style="2973" customWidth="1"/>
    <col min="3586" max="3586" width="6.25" style="2973" customWidth="1"/>
    <col min="3587" max="3587" width="7.875" style="2973" customWidth="1"/>
    <col min="3588" max="3588" width="19.5" style="2973" customWidth="1"/>
    <col min="3589" max="3589" width="4.625" style="2973" customWidth="1"/>
    <col min="3590" max="3590" width="34.375" style="2973" customWidth="1"/>
    <col min="3591" max="3591" width="9.25" style="2973" customWidth="1"/>
    <col min="3592" max="3593" width="13.875" style="2973" customWidth="1"/>
    <col min="3594" max="3594" width="11.75" style="2973" customWidth="1"/>
    <col min="3595" max="3598" width="7.875" style="2973" customWidth="1"/>
    <col min="3599" max="3599" width="11.25" style="2973" customWidth="1"/>
    <col min="3600" max="3600" width="7.875" style="2973" customWidth="1"/>
    <col min="3601" max="3601" width="9.625" style="2973" customWidth="1"/>
    <col min="3602" max="3603" width="15.5" style="2973" customWidth="1"/>
    <col min="3604" max="3604" width="12.875" style="2973" customWidth="1"/>
    <col min="3605" max="3606" width="11.25" style="2973" customWidth="1"/>
    <col min="3607" max="3607" width="17.875" style="2973" customWidth="1"/>
    <col min="3608" max="3608" width="7.875" style="2973" customWidth="1"/>
    <col min="3609" max="3612" width="9" style="2973" customWidth="1"/>
    <col min="3613" max="3613" width="18.75" style="2973" customWidth="1"/>
    <col min="3614" max="3614" width="7.875" style="2973" customWidth="1"/>
    <col min="3615" max="3615" width="24.5" style="2973" customWidth="1"/>
    <col min="3616" max="3616" width="7.875" style="2973" customWidth="1"/>
    <col min="3617" max="3619" width="10.625" style="2973" customWidth="1"/>
    <col min="3620" max="3621" width="16" style="2973" customWidth="1"/>
    <col min="3622" max="3623" width="14.375" style="2973" customWidth="1"/>
    <col min="3624" max="3625" width="21.875" style="2973" customWidth="1"/>
    <col min="3626" max="3626" width="6.25" style="2973" customWidth="1"/>
    <col min="3627" max="3627" width="7.875" style="2973" customWidth="1"/>
    <col min="3628" max="3628" width="16.875" style="2973" customWidth="1"/>
    <col min="3629" max="3630" width="20.125" style="2973" customWidth="1"/>
    <col min="3631" max="3631" width="7.875" style="2973" customWidth="1"/>
    <col min="3632" max="3840" width="9" style="2973"/>
    <col min="3841" max="3841" width="34.375" style="2973" customWidth="1"/>
    <col min="3842" max="3842" width="6.25" style="2973" customWidth="1"/>
    <col min="3843" max="3843" width="7.875" style="2973" customWidth="1"/>
    <col min="3844" max="3844" width="19.5" style="2973" customWidth="1"/>
    <col min="3845" max="3845" width="4.625" style="2973" customWidth="1"/>
    <col min="3846" max="3846" width="34.375" style="2973" customWidth="1"/>
    <col min="3847" max="3847" width="9.25" style="2973" customWidth="1"/>
    <col min="3848" max="3849" width="13.875" style="2973" customWidth="1"/>
    <col min="3850" max="3850" width="11.75" style="2973" customWidth="1"/>
    <col min="3851" max="3854" width="7.875" style="2973" customWidth="1"/>
    <col min="3855" max="3855" width="11.25" style="2973" customWidth="1"/>
    <col min="3856" max="3856" width="7.875" style="2973" customWidth="1"/>
    <col min="3857" max="3857" width="9.625" style="2973" customWidth="1"/>
    <col min="3858" max="3859" width="15.5" style="2973" customWidth="1"/>
    <col min="3860" max="3860" width="12.875" style="2973" customWidth="1"/>
    <col min="3861" max="3862" width="11.25" style="2973" customWidth="1"/>
    <col min="3863" max="3863" width="17.875" style="2973" customWidth="1"/>
    <col min="3864" max="3864" width="7.875" style="2973" customWidth="1"/>
    <col min="3865" max="3868" width="9" style="2973" customWidth="1"/>
    <col min="3869" max="3869" width="18.75" style="2973" customWidth="1"/>
    <col min="3870" max="3870" width="7.875" style="2973" customWidth="1"/>
    <col min="3871" max="3871" width="24.5" style="2973" customWidth="1"/>
    <col min="3872" max="3872" width="7.875" style="2973" customWidth="1"/>
    <col min="3873" max="3875" width="10.625" style="2973" customWidth="1"/>
    <col min="3876" max="3877" width="16" style="2973" customWidth="1"/>
    <col min="3878" max="3879" width="14.375" style="2973" customWidth="1"/>
    <col min="3880" max="3881" width="21.875" style="2973" customWidth="1"/>
    <col min="3882" max="3882" width="6.25" style="2973" customWidth="1"/>
    <col min="3883" max="3883" width="7.875" style="2973" customWidth="1"/>
    <col min="3884" max="3884" width="16.875" style="2973" customWidth="1"/>
    <col min="3885" max="3886" width="20.125" style="2973" customWidth="1"/>
    <col min="3887" max="3887" width="7.875" style="2973" customWidth="1"/>
    <col min="3888" max="4096" width="9" style="2973"/>
    <col min="4097" max="4097" width="34.375" style="2973" customWidth="1"/>
    <col min="4098" max="4098" width="6.25" style="2973" customWidth="1"/>
    <col min="4099" max="4099" width="7.875" style="2973" customWidth="1"/>
    <col min="4100" max="4100" width="19.5" style="2973" customWidth="1"/>
    <col min="4101" max="4101" width="4.625" style="2973" customWidth="1"/>
    <col min="4102" max="4102" width="34.375" style="2973" customWidth="1"/>
    <col min="4103" max="4103" width="9.25" style="2973" customWidth="1"/>
    <col min="4104" max="4105" width="13.875" style="2973" customWidth="1"/>
    <col min="4106" max="4106" width="11.75" style="2973" customWidth="1"/>
    <col min="4107" max="4110" width="7.875" style="2973" customWidth="1"/>
    <col min="4111" max="4111" width="11.25" style="2973" customWidth="1"/>
    <col min="4112" max="4112" width="7.875" style="2973" customWidth="1"/>
    <col min="4113" max="4113" width="9.625" style="2973" customWidth="1"/>
    <col min="4114" max="4115" width="15.5" style="2973" customWidth="1"/>
    <col min="4116" max="4116" width="12.875" style="2973" customWidth="1"/>
    <col min="4117" max="4118" width="11.25" style="2973" customWidth="1"/>
    <col min="4119" max="4119" width="17.875" style="2973" customWidth="1"/>
    <col min="4120" max="4120" width="7.875" style="2973" customWidth="1"/>
    <col min="4121" max="4124" width="9" style="2973" customWidth="1"/>
    <col min="4125" max="4125" width="18.75" style="2973" customWidth="1"/>
    <col min="4126" max="4126" width="7.875" style="2973" customWidth="1"/>
    <col min="4127" max="4127" width="24.5" style="2973" customWidth="1"/>
    <col min="4128" max="4128" width="7.875" style="2973" customWidth="1"/>
    <col min="4129" max="4131" width="10.625" style="2973" customWidth="1"/>
    <col min="4132" max="4133" width="16" style="2973" customWidth="1"/>
    <col min="4134" max="4135" width="14.375" style="2973" customWidth="1"/>
    <col min="4136" max="4137" width="21.875" style="2973" customWidth="1"/>
    <col min="4138" max="4138" width="6.25" style="2973" customWidth="1"/>
    <col min="4139" max="4139" width="7.875" style="2973" customWidth="1"/>
    <col min="4140" max="4140" width="16.875" style="2973" customWidth="1"/>
    <col min="4141" max="4142" width="20.125" style="2973" customWidth="1"/>
    <col min="4143" max="4143" width="7.875" style="2973" customWidth="1"/>
    <col min="4144" max="4352" width="9" style="2973"/>
    <col min="4353" max="4353" width="34.375" style="2973" customWidth="1"/>
    <col min="4354" max="4354" width="6.25" style="2973" customWidth="1"/>
    <col min="4355" max="4355" width="7.875" style="2973" customWidth="1"/>
    <col min="4356" max="4356" width="19.5" style="2973" customWidth="1"/>
    <col min="4357" max="4357" width="4.625" style="2973" customWidth="1"/>
    <col min="4358" max="4358" width="34.375" style="2973" customWidth="1"/>
    <col min="4359" max="4359" width="9.25" style="2973" customWidth="1"/>
    <col min="4360" max="4361" width="13.875" style="2973" customWidth="1"/>
    <col min="4362" max="4362" width="11.75" style="2973" customWidth="1"/>
    <col min="4363" max="4366" width="7.875" style="2973" customWidth="1"/>
    <col min="4367" max="4367" width="11.25" style="2973" customWidth="1"/>
    <col min="4368" max="4368" width="7.875" style="2973" customWidth="1"/>
    <col min="4369" max="4369" width="9.625" style="2973" customWidth="1"/>
    <col min="4370" max="4371" width="15.5" style="2973" customWidth="1"/>
    <col min="4372" max="4372" width="12.875" style="2973" customWidth="1"/>
    <col min="4373" max="4374" width="11.25" style="2973" customWidth="1"/>
    <col min="4375" max="4375" width="17.875" style="2973" customWidth="1"/>
    <col min="4376" max="4376" width="7.875" style="2973" customWidth="1"/>
    <col min="4377" max="4380" width="9" style="2973" customWidth="1"/>
    <col min="4381" max="4381" width="18.75" style="2973" customWidth="1"/>
    <col min="4382" max="4382" width="7.875" style="2973" customWidth="1"/>
    <col min="4383" max="4383" width="24.5" style="2973" customWidth="1"/>
    <col min="4384" max="4384" width="7.875" style="2973" customWidth="1"/>
    <col min="4385" max="4387" width="10.625" style="2973" customWidth="1"/>
    <col min="4388" max="4389" width="16" style="2973" customWidth="1"/>
    <col min="4390" max="4391" width="14.375" style="2973" customWidth="1"/>
    <col min="4392" max="4393" width="21.875" style="2973" customWidth="1"/>
    <col min="4394" max="4394" width="6.25" style="2973" customWidth="1"/>
    <col min="4395" max="4395" width="7.875" style="2973" customWidth="1"/>
    <col min="4396" max="4396" width="16.875" style="2973" customWidth="1"/>
    <col min="4397" max="4398" width="20.125" style="2973" customWidth="1"/>
    <col min="4399" max="4399" width="7.875" style="2973" customWidth="1"/>
    <col min="4400" max="4608" width="9" style="2973"/>
    <col min="4609" max="4609" width="34.375" style="2973" customWidth="1"/>
    <col min="4610" max="4610" width="6.25" style="2973" customWidth="1"/>
    <col min="4611" max="4611" width="7.875" style="2973" customWidth="1"/>
    <col min="4612" max="4612" width="19.5" style="2973" customWidth="1"/>
    <col min="4613" max="4613" width="4.625" style="2973" customWidth="1"/>
    <col min="4614" max="4614" width="34.375" style="2973" customWidth="1"/>
    <col min="4615" max="4615" width="9.25" style="2973" customWidth="1"/>
    <col min="4616" max="4617" width="13.875" style="2973" customWidth="1"/>
    <col min="4618" max="4618" width="11.75" style="2973" customWidth="1"/>
    <col min="4619" max="4622" width="7.875" style="2973" customWidth="1"/>
    <col min="4623" max="4623" width="11.25" style="2973" customWidth="1"/>
    <col min="4624" max="4624" width="7.875" style="2973" customWidth="1"/>
    <col min="4625" max="4625" width="9.625" style="2973" customWidth="1"/>
    <col min="4626" max="4627" width="15.5" style="2973" customWidth="1"/>
    <col min="4628" max="4628" width="12.875" style="2973" customWidth="1"/>
    <col min="4629" max="4630" width="11.25" style="2973" customWidth="1"/>
    <col min="4631" max="4631" width="17.875" style="2973" customWidth="1"/>
    <col min="4632" max="4632" width="7.875" style="2973" customWidth="1"/>
    <col min="4633" max="4636" width="9" style="2973" customWidth="1"/>
    <col min="4637" max="4637" width="18.75" style="2973" customWidth="1"/>
    <col min="4638" max="4638" width="7.875" style="2973" customWidth="1"/>
    <col min="4639" max="4639" width="24.5" style="2973" customWidth="1"/>
    <col min="4640" max="4640" width="7.875" style="2973" customWidth="1"/>
    <col min="4641" max="4643" width="10.625" style="2973" customWidth="1"/>
    <col min="4644" max="4645" width="16" style="2973" customWidth="1"/>
    <col min="4646" max="4647" width="14.375" style="2973" customWidth="1"/>
    <col min="4648" max="4649" width="21.875" style="2973" customWidth="1"/>
    <col min="4650" max="4650" width="6.25" style="2973" customWidth="1"/>
    <col min="4651" max="4651" width="7.875" style="2973" customWidth="1"/>
    <col min="4652" max="4652" width="16.875" style="2973" customWidth="1"/>
    <col min="4653" max="4654" width="20.125" style="2973" customWidth="1"/>
    <col min="4655" max="4655" width="7.875" style="2973" customWidth="1"/>
    <col min="4656" max="4864" width="9" style="2973"/>
    <col min="4865" max="4865" width="34.375" style="2973" customWidth="1"/>
    <col min="4866" max="4866" width="6.25" style="2973" customWidth="1"/>
    <col min="4867" max="4867" width="7.875" style="2973" customWidth="1"/>
    <col min="4868" max="4868" width="19.5" style="2973" customWidth="1"/>
    <col min="4869" max="4869" width="4.625" style="2973" customWidth="1"/>
    <col min="4870" max="4870" width="34.375" style="2973" customWidth="1"/>
    <col min="4871" max="4871" width="9.25" style="2973" customWidth="1"/>
    <col min="4872" max="4873" width="13.875" style="2973" customWidth="1"/>
    <col min="4874" max="4874" width="11.75" style="2973" customWidth="1"/>
    <col min="4875" max="4878" width="7.875" style="2973" customWidth="1"/>
    <col min="4879" max="4879" width="11.25" style="2973" customWidth="1"/>
    <col min="4880" max="4880" width="7.875" style="2973" customWidth="1"/>
    <col min="4881" max="4881" width="9.625" style="2973" customWidth="1"/>
    <col min="4882" max="4883" width="15.5" style="2973" customWidth="1"/>
    <col min="4884" max="4884" width="12.875" style="2973" customWidth="1"/>
    <col min="4885" max="4886" width="11.25" style="2973" customWidth="1"/>
    <col min="4887" max="4887" width="17.875" style="2973" customWidth="1"/>
    <col min="4888" max="4888" width="7.875" style="2973" customWidth="1"/>
    <col min="4889" max="4892" width="9" style="2973" customWidth="1"/>
    <col min="4893" max="4893" width="18.75" style="2973" customWidth="1"/>
    <col min="4894" max="4894" width="7.875" style="2973" customWidth="1"/>
    <col min="4895" max="4895" width="24.5" style="2973" customWidth="1"/>
    <col min="4896" max="4896" width="7.875" style="2973" customWidth="1"/>
    <col min="4897" max="4899" width="10.625" style="2973" customWidth="1"/>
    <col min="4900" max="4901" width="16" style="2973" customWidth="1"/>
    <col min="4902" max="4903" width="14.375" style="2973" customWidth="1"/>
    <col min="4904" max="4905" width="21.875" style="2973" customWidth="1"/>
    <col min="4906" max="4906" width="6.25" style="2973" customWidth="1"/>
    <col min="4907" max="4907" width="7.875" style="2973" customWidth="1"/>
    <col min="4908" max="4908" width="16.875" style="2973" customWidth="1"/>
    <col min="4909" max="4910" width="20.125" style="2973" customWidth="1"/>
    <col min="4911" max="4911" width="7.875" style="2973" customWidth="1"/>
    <col min="4912" max="5120" width="9" style="2973"/>
    <col min="5121" max="5121" width="34.375" style="2973" customWidth="1"/>
    <col min="5122" max="5122" width="6.25" style="2973" customWidth="1"/>
    <col min="5123" max="5123" width="7.875" style="2973" customWidth="1"/>
    <col min="5124" max="5124" width="19.5" style="2973" customWidth="1"/>
    <col min="5125" max="5125" width="4.625" style="2973" customWidth="1"/>
    <col min="5126" max="5126" width="34.375" style="2973" customWidth="1"/>
    <col min="5127" max="5127" width="9.25" style="2973" customWidth="1"/>
    <col min="5128" max="5129" width="13.875" style="2973" customWidth="1"/>
    <col min="5130" max="5130" width="11.75" style="2973" customWidth="1"/>
    <col min="5131" max="5134" width="7.875" style="2973" customWidth="1"/>
    <col min="5135" max="5135" width="11.25" style="2973" customWidth="1"/>
    <col min="5136" max="5136" width="7.875" style="2973" customWidth="1"/>
    <col min="5137" max="5137" width="9.625" style="2973" customWidth="1"/>
    <col min="5138" max="5139" width="15.5" style="2973" customWidth="1"/>
    <col min="5140" max="5140" width="12.875" style="2973" customWidth="1"/>
    <col min="5141" max="5142" width="11.25" style="2973" customWidth="1"/>
    <col min="5143" max="5143" width="17.875" style="2973" customWidth="1"/>
    <col min="5144" max="5144" width="7.875" style="2973" customWidth="1"/>
    <col min="5145" max="5148" width="9" style="2973" customWidth="1"/>
    <col min="5149" max="5149" width="18.75" style="2973" customWidth="1"/>
    <col min="5150" max="5150" width="7.875" style="2973" customWidth="1"/>
    <col min="5151" max="5151" width="24.5" style="2973" customWidth="1"/>
    <col min="5152" max="5152" width="7.875" style="2973" customWidth="1"/>
    <col min="5153" max="5155" width="10.625" style="2973" customWidth="1"/>
    <col min="5156" max="5157" width="16" style="2973" customWidth="1"/>
    <col min="5158" max="5159" width="14.375" style="2973" customWidth="1"/>
    <col min="5160" max="5161" width="21.875" style="2973" customWidth="1"/>
    <col min="5162" max="5162" width="6.25" style="2973" customWidth="1"/>
    <col min="5163" max="5163" width="7.875" style="2973" customWidth="1"/>
    <col min="5164" max="5164" width="16.875" style="2973" customWidth="1"/>
    <col min="5165" max="5166" width="20.125" style="2973" customWidth="1"/>
    <col min="5167" max="5167" width="7.875" style="2973" customWidth="1"/>
    <col min="5168" max="5376" width="9" style="2973"/>
    <col min="5377" max="5377" width="34.375" style="2973" customWidth="1"/>
    <col min="5378" max="5378" width="6.25" style="2973" customWidth="1"/>
    <col min="5379" max="5379" width="7.875" style="2973" customWidth="1"/>
    <col min="5380" max="5380" width="19.5" style="2973" customWidth="1"/>
    <col min="5381" max="5381" width="4.625" style="2973" customWidth="1"/>
    <col min="5382" max="5382" width="34.375" style="2973" customWidth="1"/>
    <col min="5383" max="5383" width="9.25" style="2973" customWidth="1"/>
    <col min="5384" max="5385" width="13.875" style="2973" customWidth="1"/>
    <col min="5386" max="5386" width="11.75" style="2973" customWidth="1"/>
    <col min="5387" max="5390" width="7.875" style="2973" customWidth="1"/>
    <col min="5391" max="5391" width="11.25" style="2973" customWidth="1"/>
    <col min="5392" max="5392" width="7.875" style="2973" customWidth="1"/>
    <col min="5393" max="5393" width="9.625" style="2973" customWidth="1"/>
    <col min="5394" max="5395" width="15.5" style="2973" customWidth="1"/>
    <col min="5396" max="5396" width="12.875" style="2973" customWidth="1"/>
    <col min="5397" max="5398" width="11.25" style="2973" customWidth="1"/>
    <col min="5399" max="5399" width="17.875" style="2973" customWidth="1"/>
    <col min="5400" max="5400" width="7.875" style="2973" customWidth="1"/>
    <col min="5401" max="5404" width="9" style="2973" customWidth="1"/>
    <col min="5405" max="5405" width="18.75" style="2973" customWidth="1"/>
    <col min="5406" max="5406" width="7.875" style="2973" customWidth="1"/>
    <col min="5407" max="5407" width="24.5" style="2973" customWidth="1"/>
    <col min="5408" max="5408" width="7.875" style="2973" customWidth="1"/>
    <col min="5409" max="5411" width="10.625" style="2973" customWidth="1"/>
    <col min="5412" max="5413" width="16" style="2973" customWidth="1"/>
    <col min="5414" max="5415" width="14.375" style="2973" customWidth="1"/>
    <col min="5416" max="5417" width="21.875" style="2973" customWidth="1"/>
    <col min="5418" max="5418" width="6.25" style="2973" customWidth="1"/>
    <col min="5419" max="5419" width="7.875" style="2973" customWidth="1"/>
    <col min="5420" max="5420" width="16.875" style="2973" customWidth="1"/>
    <col min="5421" max="5422" width="20.125" style="2973" customWidth="1"/>
    <col min="5423" max="5423" width="7.875" style="2973" customWidth="1"/>
    <col min="5424" max="5632" width="9" style="2973"/>
    <col min="5633" max="5633" width="34.375" style="2973" customWidth="1"/>
    <col min="5634" max="5634" width="6.25" style="2973" customWidth="1"/>
    <col min="5635" max="5635" width="7.875" style="2973" customWidth="1"/>
    <col min="5636" max="5636" width="19.5" style="2973" customWidth="1"/>
    <col min="5637" max="5637" width="4.625" style="2973" customWidth="1"/>
    <col min="5638" max="5638" width="34.375" style="2973" customWidth="1"/>
    <col min="5639" max="5639" width="9.25" style="2973" customWidth="1"/>
    <col min="5640" max="5641" width="13.875" style="2973" customWidth="1"/>
    <col min="5642" max="5642" width="11.75" style="2973" customWidth="1"/>
    <col min="5643" max="5646" width="7.875" style="2973" customWidth="1"/>
    <col min="5647" max="5647" width="11.25" style="2973" customWidth="1"/>
    <col min="5648" max="5648" width="7.875" style="2973" customWidth="1"/>
    <col min="5649" max="5649" width="9.625" style="2973" customWidth="1"/>
    <col min="5650" max="5651" width="15.5" style="2973" customWidth="1"/>
    <col min="5652" max="5652" width="12.875" style="2973" customWidth="1"/>
    <col min="5653" max="5654" width="11.25" style="2973" customWidth="1"/>
    <col min="5655" max="5655" width="17.875" style="2973" customWidth="1"/>
    <col min="5656" max="5656" width="7.875" style="2973" customWidth="1"/>
    <col min="5657" max="5660" width="9" style="2973" customWidth="1"/>
    <col min="5661" max="5661" width="18.75" style="2973" customWidth="1"/>
    <col min="5662" max="5662" width="7.875" style="2973" customWidth="1"/>
    <col min="5663" max="5663" width="24.5" style="2973" customWidth="1"/>
    <col min="5664" max="5664" width="7.875" style="2973" customWidth="1"/>
    <col min="5665" max="5667" width="10.625" style="2973" customWidth="1"/>
    <col min="5668" max="5669" width="16" style="2973" customWidth="1"/>
    <col min="5670" max="5671" width="14.375" style="2973" customWidth="1"/>
    <col min="5672" max="5673" width="21.875" style="2973" customWidth="1"/>
    <col min="5674" max="5674" width="6.25" style="2973" customWidth="1"/>
    <col min="5675" max="5675" width="7.875" style="2973" customWidth="1"/>
    <col min="5676" max="5676" width="16.875" style="2973" customWidth="1"/>
    <col min="5677" max="5678" width="20.125" style="2973" customWidth="1"/>
    <col min="5679" max="5679" width="7.875" style="2973" customWidth="1"/>
    <col min="5680" max="5888" width="9" style="2973"/>
    <col min="5889" max="5889" width="34.375" style="2973" customWidth="1"/>
    <col min="5890" max="5890" width="6.25" style="2973" customWidth="1"/>
    <col min="5891" max="5891" width="7.875" style="2973" customWidth="1"/>
    <col min="5892" max="5892" width="19.5" style="2973" customWidth="1"/>
    <col min="5893" max="5893" width="4.625" style="2973" customWidth="1"/>
    <col min="5894" max="5894" width="34.375" style="2973" customWidth="1"/>
    <col min="5895" max="5895" width="9.25" style="2973" customWidth="1"/>
    <col min="5896" max="5897" width="13.875" style="2973" customWidth="1"/>
    <col min="5898" max="5898" width="11.75" style="2973" customWidth="1"/>
    <col min="5899" max="5902" width="7.875" style="2973" customWidth="1"/>
    <col min="5903" max="5903" width="11.25" style="2973" customWidth="1"/>
    <col min="5904" max="5904" width="7.875" style="2973" customWidth="1"/>
    <col min="5905" max="5905" width="9.625" style="2973" customWidth="1"/>
    <col min="5906" max="5907" width="15.5" style="2973" customWidth="1"/>
    <col min="5908" max="5908" width="12.875" style="2973" customWidth="1"/>
    <col min="5909" max="5910" width="11.25" style="2973" customWidth="1"/>
    <col min="5911" max="5911" width="17.875" style="2973" customWidth="1"/>
    <col min="5912" max="5912" width="7.875" style="2973" customWidth="1"/>
    <col min="5913" max="5916" width="9" style="2973" customWidth="1"/>
    <col min="5917" max="5917" width="18.75" style="2973" customWidth="1"/>
    <col min="5918" max="5918" width="7.875" style="2973" customWidth="1"/>
    <col min="5919" max="5919" width="24.5" style="2973" customWidth="1"/>
    <col min="5920" max="5920" width="7.875" style="2973" customWidth="1"/>
    <col min="5921" max="5923" width="10.625" style="2973" customWidth="1"/>
    <col min="5924" max="5925" width="16" style="2973" customWidth="1"/>
    <col min="5926" max="5927" width="14.375" style="2973" customWidth="1"/>
    <col min="5928" max="5929" width="21.875" style="2973" customWidth="1"/>
    <col min="5930" max="5930" width="6.25" style="2973" customWidth="1"/>
    <col min="5931" max="5931" width="7.875" style="2973" customWidth="1"/>
    <col min="5932" max="5932" width="16.875" style="2973" customWidth="1"/>
    <col min="5933" max="5934" width="20.125" style="2973" customWidth="1"/>
    <col min="5935" max="5935" width="7.875" style="2973" customWidth="1"/>
    <col min="5936" max="6144" width="9" style="2973"/>
    <col min="6145" max="6145" width="34.375" style="2973" customWidth="1"/>
    <col min="6146" max="6146" width="6.25" style="2973" customWidth="1"/>
    <col min="6147" max="6147" width="7.875" style="2973" customWidth="1"/>
    <col min="6148" max="6148" width="19.5" style="2973" customWidth="1"/>
    <col min="6149" max="6149" width="4.625" style="2973" customWidth="1"/>
    <col min="6150" max="6150" width="34.375" style="2973" customWidth="1"/>
    <col min="6151" max="6151" width="9.25" style="2973" customWidth="1"/>
    <col min="6152" max="6153" width="13.875" style="2973" customWidth="1"/>
    <col min="6154" max="6154" width="11.75" style="2973" customWidth="1"/>
    <col min="6155" max="6158" width="7.875" style="2973" customWidth="1"/>
    <col min="6159" max="6159" width="11.25" style="2973" customWidth="1"/>
    <col min="6160" max="6160" width="7.875" style="2973" customWidth="1"/>
    <col min="6161" max="6161" width="9.625" style="2973" customWidth="1"/>
    <col min="6162" max="6163" width="15.5" style="2973" customWidth="1"/>
    <col min="6164" max="6164" width="12.875" style="2973" customWidth="1"/>
    <col min="6165" max="6166" width="11.25" style="2973" customWidth="1"/>
    <col min="6167" max="6167" width="17.875" style="2973" customWidth="1"/>
    <col min="6168" max="6168" width="7.875" style="2973" customWidth="1"/>
    <col min="6169" max="6172" width="9" style="2973" customWidth="1"/>
    <col min="6173" max="6173" width="18.75" style="2973" customWidth="1"/>
    <col min="6174" max="6174" width="7.875" style="2973" customWidth="1"/>
    <col min="6175" max="6175" width="24.5" style="2973" customWidth="1"/>
    <col min="6176" max="6176" width="7.875" style="2973" customWidth="1"/>
    <col min="6177" max="6179" width="10.625" style="2973" customWidth="1"/>
    <col min="6180" max="6181" width="16" style="2973" customWidth="1"/>
    <col min="6182" max="6183" width="14.375" style="2973" customWidth="1"/>
    <col min="6184" max="6185" width="21.875" style="2973" customWidth="1"/>
    <col min="6186" max="6186" width="6.25" style="2973" customWidth="1"/>
    <col min="6187" max="6187" width="7.875" style="2973" customWidth="1"/>
    <col min="6188" max="6188" width="16.875" style="2973" customWidth="1"/>
    <col min="6189" max="6190" width="20.125" style="2973" customWidth="1"/>
    <col min="6191" max="6191" width="7.875" style="2973" customWidth="1"/>
    <col min="6192" max="6400" width="9" style="2973"/>
    <col min="6401" max="6401" width="34.375" style="2973" customWidth="1"/>
    <col min="6402" max="6402" width="6.25" style="2973" customWidth="1"/>
    <col min="6403" max="6403" width="7.875" style="2973" customWidth="1"/>
    <col min="6404" max="6404" width="19.5" style="2973" customWidth="1"/>
    <col min="6405" max="6405" width="4.625" style="2973" customWidth="1"/>
    <col min="6406" max="6406" width="34.375" style="2973" customWidth="1"/>
    <col min="6407" max="6407" width="9.25" style="2973" customWidth="1"/>
    <col min="6408" max="6409" width="13.875" style="2973" customWidth="1"/>
    <col min="6410" max="6410" width="11.75" style="2973" customWidth="1"/>
    <col min="6411" max="6414" width="7.875" style="2973" customWidth="1"/>
    <col min="6415" max="6415" width="11.25" style="2973" customWidth="1"/>
    <col min="6416" max="6416" width="7.875" style="2973" customWidth="1"/>
    <col min="6417" max="6417" width="9.625" style="2973" customWidth="1"/>
    <col min="6418" max="6419" width="15.5" style="2973" customWidth="1"/>
    <col min="6420" max="6420" width="12.875" style="2973" customWidth="1"/>
    <col min="6421" max="6422" width="11.25" style="2973" customWidth="1"/>
    <col min="6423" max="6423" width="17.875" style="2973" customWidth="1"/>
    <col min="6424" max="6424" width="7.875" style="2973" customWidth="1"/>
    <col min="6425" max="6428" width="9" style="2973" customWidth="1"/>
    <col min="6429" max="6429" width="18.75" style="2973" customWidth="1"/>
    <col min="6430" max="6430" width="7.875" style="2973" customWidth="1"/>
    <col min="6431" max="6431" width="24.5" style="2973" customWidth="1"/>
    <col min="6432" max="6432" width="7.875" style="2973" customWidth="1"/>
    <col min="6433" max="6435" width="10.625" style="2973" customWidth="1"/>
    <col min="6436" max="6437" width="16" style="2973" customWidth="1"/>
    <col min="6438" max="6439" width="14.375" style="2973" customWidth="1"/>
    <col min="6440" max="6441" width="21.875" style="2973" customWidth="1"/>
    <col min="6442" max="6442" width="6.25" style="2973" customWidth="1"/>
    <col min="6443" max="6443" width="7.875" style="2973" customWidth="1"/>
    <col min="6444" max="6444" width="16.875" style="2973" customWidth="1"/>
    <col min="6445" max="6446" width="20.125" style="2973" customWidth="1"/>
    <col min="6447" max="6447" width="7.875" style="2973" customWidth="1"/>
    <col min="6448" max="6656" width="9" style="2973"/>
    <col min="6657" max="6657" width="34.375" style="2973" customWidth="1"/>
    <col min="6658" max="6658" width="6.25" style="2973" customWidth="1"/>
    <col min="6659" max="6659" width="7.875" style="2973" customWidth="1"/>
    <col min="6660" max="6660" width="19.5" style="2973" customWidth="1"/>
    <col min="6661" max="6661" width="4.625" style="2973" customWidth="1"/>
    <col min="6662" max="6662" width="34.375" style="2973" customWidth="1"/>
    <col min="6663" max="6663" width="9.25" style="2973" customWidth="1"/>
    <col min="6664" max="6665" width="13.875" style="2973" customWidth="1"/>
    <col min="6666" max="6666" width="11.75" style="2973" customWidth="1"/>
    <col min="6667" max="6670" width="7.875" style="2973" customWidth="1"/>
    <col min="6671" max="6671" width="11.25" style="2973" customWidth="1"/>
    <col min="6672" max="6672" width="7.875" style="2973" customWidth="1"/>
    <col min="6673" max="6673" width="9.625" style="2973" customWidth="1"/>
    <col min="6674" max="6675" width="15.5" style="2973" customWidth="1"/>
    <col min="6676" max="6676" width="12.875" style="2973" customWidth="1"/>
    <col min="6677" max="6678" width="11.25" style="2973" customWidth="1"/>
    <col min="6679" max="6679" width="17.875" style="2973" customWidth="1"/>
    <col min="6680" max="6680" width="7.875" style="2973" customWidth="1"/>
    <col min="6681" max="6684" width="9" style="2973" customWidth="1"/>
    <col min="6685" max="6685" width="18.75" style="2973" customWidth="1"/>
    <col min="6686" max="6686" width="7.875" style="2973" customWidth="1"/>
    <col min="6687" max="6687" width="24.5" style="2973" customWidth="1"/>
    <col min="6688" max="6688" width="7.875" style="2973" customWidth="1"/>
    <col min="6689" max="6691" width="10.625" style="2973" customWidth="1"/>
    <col min="6692" max="6693" width="16" style="2973" customWidth="1"/>
    <col min="6694" max="6695" width="14.375" style="2973" customWidth="1"/>
    <col min="6696" max="6697" width="21.875" style="2973" customWidth="1"/>
    <col min="6698" max="6698" width="6.25" style="2973" customWidth="1"/>
    <col min="6699" max="6699" width="7.875" style="2973" customWidth="1"/>
    <col min="6700" max="6700" width="16.875" style="2973" customWidth="1"/>
    <col min="6701" max="6702" width="20.125" style="2973" customWidth="1"/>
    <col min="6703" max="6703" width="7.875" style="2973" customWidth="1"/>
    <col min="6704" max="6912" width="9" style="2973"/>
    <col min="6913" max="6913" width="34.375" style="2973" customWidth="1"/>
    <col min="6914" max="6914" width="6.25" style="2973" customWidth="1"/>
    <col min="6915" max="6915" width="7.875" style="2973" customWidth="1"/>
    <col min="6916" max="6916" width="19.5" style="2973" customWidth="1"/>
    <col min="6917" max="6917" width="4.625" style="2973" customWidth="1"/>
    <col min="6918" max="6918" width="34.375" style="2973" customWidth="1"/>
    <col min="6919" max="6919" width="9.25" style="2973" customWidth="1"/>
    <col min="6920" max="6921" width="13.875" style="2973" customWidth="1"/>
    <col min="6922" max="6922" width="11.75" style="2973" customWidth="1"/>
    <col min="6923" max="6926" width="7.875" style="2973" customWidth="1"/>
    <col min="6927" max="6927" width="11.25" style="2973" customWidth="1"/>
    <col min="6928" max="6928" width="7.875" style="2973" customWidth="1"/>
    <col min="6929" max="6929" width="9.625" style="2973" customWidth="1"/>
    <col min="6930" max="6931" width="15.5" style="2973" customWidth="1"/>
    <col min="6932" max="6932" width="12.875" style="2973" customWidth="1"/>
    <col min="6933" max="6934" width="11.25" style="2973" customWidth="1"/>
    <col min="6935" max="6935" width="17.875" style="2973" customWidth="1"/>
    <col min="6936" max="6936" width="7.875" style="2973" customWidth="1"/>
    <col min="6937" max="6940" width="9" style="2973" customWidth="1"/>
    <col min="6941" max="6941" width="18.75" style="2973" customWidth="1"/>
    <col min="6942" max="6942" width="7.875" style="2973" customWidth="1"/>
    <col min="6943" max="6943" width="24.5" style="2973" customWidth="1"/>
    <col min="6944" max="6944" width="7.875" style="2973" customWidth="1"/>
    <col min="6945" max="6947" width="10.625" style="2973" customWidth="1"/>
    <col min="6948" max="6949" width="16" style="2973" customWidth="1"/>
    <col min="6950" max="6951" width="14.375" style="2973" customWidth="1"/>
    <col min="6952" max="6953" width="21.875" style="2973" customWidth="1"/>
    <col min="6954" max="6954" width="6.25" style="2973" customWidth="1"/>
    <col min="6955" max="6955" width="7.875" style="2973" customWidth="1"/>
    <col min="6956" max="6956" width="16.875" style="2973" customWidth="1"/>
    <col min="6957" max="6958" width="20.125" style="2973" customWidth="1"/>
    <col min="6959" max="6959" width="7.875" style="2973" customWidth="1"/>
    <col min="6960" max="7168" width="9" style="2973"/>
    <col min="7169" max="7169" width="34.375" style="2973" customWidth="1"/>
    <col min="7170" max="7170" width="6.25" style="2973" customWidth="1"/>
    <col min="7171" max="7171" width="7.875" style="2973" customWidth="1"/>
    <col min="7172" max="7172" width="19.5" style="2973" customWidth="1"/>
    <col min="7173" max="7173" width="4.625" style="2973" customWidth="1"/>
    <col min="7174" max="7174" width="34.375" style="2973" customWidth="1"/>
    <col min="7175" max="7175" width="9.25" style="2973" customWidth="1"/>
    <col min="7176" max="7177" width="13.875" style="2973" customWidth="1"/>
    <col min="7178" max="7178" width="11.75" style="2973" customWidth="1"/>
    <col min="7179" max="7182" width="7.875" style="2973" customWidth="1"/>
    <col min="7183" max="7183" width="11.25" style="2973" customWidth="1"/>
    <col min="7184" max="7184" width="7.875" style="2973" customWidth="1"/>
    <col min="7185" max="7185" width="9.625" style="2973" customWidth="1"/>
    <col min="7186" max="7187" width="15.5" style="2973" customWidth="1"/>
    <col min="7188" max="7188" width="12.875" style="2973" customWidth="1"/>
    <col min="7189" max="7190" width="11.25" style="2973" customWidth="1"/>
    <col min="7191" max="7191" width="17.875" style="2973" customWidth="1"/>
    <col min="7192" max="7192" width="7.875" style="2973" customWidth="1"/>
    <col min="7193" max="7196" width="9" style="2973" customWidth="1"/>
    <col min="7197" max="7197" width="18.75" style="2973" customWidth="1"/>
    <col min="7198" max="7198" width="7.875" style="2973" customWidth="1"/>
    <col min="7199" max="7199" width="24.5" style="2973" customWidth="1"/>
    <col min="7200" max="7200" width="7.875" style="2973" customWidth="1"/>
    <col min="7201" max="7203" width="10.625" style="2973" customWidth="1"/>
    <col min="7204" max="7205" width="16" style="2973" customWidth="1"/>
    <col min="7206" max="7207" width="14.375" style="2973" customWidth="1"/>
    <col min="7208" max="7209" width="21.875" style="2973" customWidth="1"/>
    <col min="7210" max="7210" width="6.25" style="2973" customWidth="1"/>
    <col min="7211" max="7211" width="7.875" style="2973" customWidth="1"/>
    <col min="7212" max="7212" width="16.875" style="2973" customWidth="1"/>
    <col min="7213" max="7214" width="20.125" style="2973" customWidth="1"/>
    <col min="7215" max="7215" width="7.875" style="2973" customWidth="1"/>
    <col min="7216" max="7424" width="9" style="2973"/>
    <col min="7425" max="7425" width="34.375" style="2973" customWidth="1"/>
    <col min="7426" max="7426" width="6.25" style="2973" customWidth="1"/>
    <col min="7427" max="7427" width="7.875" style="2973" customWidth="1"/>
    <col min="7428" max="7428" width="19.5" style="2973" customWidth="1"/>
    <col min="7429" max="7429" width="4.625" style="2973" customWidth="1"/>
    <col min="7430" max="7430" width="34.375" style="2973" customWidth="1"/>
    <col min="7431" max="7431" width="9.25" style="2973" customWidth="1"/>
    <col min="7432" max="7433" width="13.875" style="2973" customWidth="1"/>
    <col min="7434" max="7434" width="11.75" style="2973" customWidth="1"/>
    <col min="7435" max="7438" width="7.875" style="2973" customWidth="1"/>
    <col min="7439" max="7439" width="11.25" style="2973" customWidth="1"/>
    <col min="7440" max="7440" width="7.875" style="2973" customWidth="1"/>
    <col min="7441" max="7441" width="9.625" style="2973" customWidth="1"/>
    <col min="7442" max="7443" width="15.5" style="2973" customWidth="1"/>
    <col min="7444" max="7444" width="12.875" style="2973" customWidth="1"/>
    <col min="7445" max="7446" width="11.25" style="2973" customWidth="1"/>
    <col min="7447" max="7447" width="17.875" style="2973" customWidth="1"/>
    <col min="7448" max="7448" width="7.875" style="2973" customWidth="1"/>
    <col min="7449" max="7452" width="9" style="2973" customWidth="1"/>
    <col min="7453" max="7453" width="18.75" style="2973" customWidth="1"/>
    <col min="7454" max="7454" width="7.875" style="2973" customWidth="1"/>
    <col min="7455" max="7455" width="24.5" style="2973" customWidth="1"/>
    <col min="7456" max="7456" width="7.875" style="2973" customWidth="1"/>
    <col min="7457" max="7459" width="10.625" style="2973" customWidth="1"/>
    <col min="7460" max="7461" width="16" style="2973" customWidth="1"/>
    <col min="7462" max="7463" width="14.375" style="2973" customWidth="1"/>
    <col min="7464" max="7465" width="21.875" style="2973" customWidth="1"/>
    <col min="7466" max="7466" width="6.25" style="2973" customWidth="1"/>
    <col min="7467" max="7467" width="7.875" style="2973" customWidth="1"/>
    <col min="7468" max="7468" width="16.875" style="2973" customWidth="1"/>
    <col min="7469" max="7470" width="20.125" style="2973" customWidth="1"/>
    <col min="7471" max="7471" width="7.875" style="2973" customWidth="1"/>
    <col min="7472" max="7680" width="9" style="2973"/>
    <col min="7681" max="7681" width="34.375" style="2973" customWidth="1"/>
    <col min="7682" max="7682" width="6.25" style="2973" customWidth="1"/>
    <col min="7683" max="7683" width="7.875" style="2973" customWidth="1"/>
    <col min="7684" max="7684" width="19.5" style="2973" customWidth="1"/>
    <col min="7685" max="7685" width="4.625" style="2973" customWidth="1"/>
    <col min="7686" max="7686" width="34.375" style="2973" customWidth="1"/>
    <col min="7687" max="7687" width="9.25" style="2973" customWidth="1"/>
    <col min="7688" max="7689" width="13.875" style="2973" customWidth="1"/>
    <col min="7690" max="7690" width="11.75" style="2973" customWidth="1"/>
    <col min="7691" max="7694" width="7.875" style="2973" customWidth="1"/>
    <col min="7695" max="7695" width="11.25" style="2973" customWidth="1"/>
    <col min="7696" max="7696" width="7.875" style="2973" customWidth="1"/>
    <col min="7697" max="7697" width="9.625" style="2973" customWidth="1"/>
    <col min="7698" max="7699" width="15.5" style="2973" customWidth="1"/>
    <col min="7700" max="7700" width="12.875" style="2973" customWidth="1"/>
    <col min="7701" max="7702" width="11.25" style="2973" customWidth="1"/>
    <col min="7703" max="7703" width="17.875" style="2973" customWidth="1"/>
    <col min="7704" max="7704" width="7.875" style="2973" customWidth="1"/>
    <col min="7705" max="7708" width="9" style="2973" customWidth="1"/>
    <col min="7709" max="7709" width="18.75" style="2973" customWidth="1"/>
    <col min="7710" max="7710" width="7.875" style="2973" customWidth="1"/>
    <col min="7711" max="7711" width="24.5" style="2973" customWidth="1"/>
    <col min="7712" max="7712" width="7.875" style="2973" customWidth="1"/>
    <col min="7713" max="7715" width="10.625" style="2973" customWidth="1"/>
    <col min="7716" max="7717" width="16" style="2973" customWidth="1"/>
    <col min="7718" max="7719" width="14.375" style="2973" customWidth="1"/>
    <col min="7720" max="7721" width="21.875" style="2973" customWidth="1"/>
    <col min="7722" max="7722" width="6.25" style="2973" customWidth="1"/>
    <col min="7723" max="7723" width="7.875" style="2973" customWidth="1"/>
    <col min="7724" max="7724" width="16.875" style="2973" customWidth="1"/>
    <col min="7725" max="7726" width="20.125" style="2973" customWidth="1"/>
    <col min="7727" max="7727" width="7.875" style="2973" customWidth="1"/>
    <col min="7728" max="7936" width="9" style="2973"/>
    <col min="7937" max="7937" width="34.375" style="2973" customWidth="1"/>
    <col min="7938" max="7938" width="6.25" style="2973" customWidth="1"/>
    <col min="7939" max="7939" width="7.875" style="2973" customWidth="1"/>
    <col min="7940" max="7940" width="19.5" style="2973" customWidth="1"/>
    <col min="7941" max="7941" width="4.625" style="2973" customWidth="1"/>
    <col min="7942" max="7942" width="34.375" style="2973" customWidth="1"/>
    <col min="7943" max="7943" width="9.25" style="2973" customWidth="1"/>
    <col min="7944" max="7945" width="13.875" style="2973" customWidth="1"/>
    <col min="7946" max="7946" width="11.75" style="2973" customWidth="1"/>
    <col min="7947" max="7950" width="7.875" style="2973" customWidth="1"/>
    <col min="7951" max="7951" width="11.25" style="2973" customWidth="1"/>
    <col min="7952" max="7952" width="7.875" style="2973" customWidth="1"/>
    <col min="7953" max="7953" width="9.625" style="2973" customWidth="1"/>
    <col min="7954" max="7955" width="15.5" style="2973" customWidth="1"/>
    <col min="7956" max="7956" width="12.875" style="2973" customWidth="1"/>
    <col min="7957" max="7958" width="11.25" style="2973" customWidth="1"/>
    <col min="7959" max="7959" width="17.875" style="2973" customWidth="1"/>
    <col min="7960" max="7960" width="7.875" style="2973" customWidth="1"/>
    <col min="7961" max="7964" width="9" style="2973" customWidth="1"/>
    <col min="7965" max="7965" width="18.75" style="2973" customWidth="1"/>
    <col min="7966" max="7966" width="7.875" style="2973" customWidth="1"/>
    <col min="7967" max="7967" width="24.5" style="2973" customWidth="1"/>
    <col min="7968" max="7968" width="7.875" style="2973" customWidth="1"/>
    <col min="7969" max="7971" width="10.625" style="2973" customWidth="1"/>
    <col min="7972" max="7973" width="16" style="2973" customWidth="1"/>
    <col min="7974" max="7975" width="14.375" style="2973" customWidth="1"/>
    <col min="7976" max="7977" width="21.875" style="2973" customWidth="1"/>
    <col min="7978" max="7978" width="6.25" style="2973" customWidth="1"/>
    <col min="7979" max="7979" width="7.875" style="2973" customWidth="1"/>
    <col min="7980" max="7980" width="16.875" style="2973" customWidth="1"/>
    <col min="7981" max="7982" width="20.125" style="2973" customWidth="1"/>
    <col min="7983" max="7983" width="7.875" style="2973" customWidth="1"/>
    <col min="7984" max="8192" width="9" style="2973"/>
    <col min="8193" max="8193" width="34.375" style="2973" customWidth="1"/>
    <col min="8194" max="8194" width="6.25" style="2973" customWidth="1"/>
    <col min="8195" max="8195" width="7.875" style="2973" customWidth="1"/>
    <col min="8196" max="8196" width="19.5" style="2973" customWidth="1"/>
    <col min="8197" max="8197" width="4.625" style="2973" customWidth="1"/>
    <col min="8198" max="8198" width="34.375" style="2973" customWidth="1"/>
    <col min="8199" max="8199" width="9.25" style="2973" customWidth="1"/>
    <col min="8200" max="8201" width="13.875" style="2973" customWidth="1"/>
    <col min="8202" max="8202" width="11.75" style="2973" customWidth="1"/>
    <col min="8203" max="8206" width="7.875" style="2973" customWidth="1"/>
    <col min="8207" max="8207" width="11.25" style="2973" customWidth="1"/>
    <col min="8208" max="8208" width="7.875" style="2973" customWidth="1"/>
    <col min="8209" max="8209" width="9.625" style="2973" customWidth="1"/>
    <col min="8210" max="8211" width="15.5" style="2973" customWidth="1"/>
    <col min="8212" max="8212" width="12.875" style="2973" customWidth="1"/>
    <col min="8213" max="8214" width="11.25" style="2973" customWidth="1"/>
    <col min="8215" max="8215" width="17.875" style="2973" customWidth="1"/>
    <col min="8216" max="8216" width="7.875" style="2973" customWidth="1"/>
    <col min="8217" max="8220" width="9" style="2973" customWidth="1"/>
    <col min="8221" max="8221" width="18.75" style="2973" customWidth="1"/>
    <col min="8222" max="8222" width="7.875" style="2973" customWidth="1"/>
    <col min="8223" max="8223" width="24.5" style="2973" customWidth="1"/>
    <col min="8224" max="8224" width="7.875" style="2973" customWidth="1"/>
    <col min="8225" max="8227" width="10.625" style="2973" customWidth="1"/>
    <col min="8228" max="8229" width="16" style="2973" customWidth="1"/>
    <col min="8230" max="8231" width="14.375" style="2973" customWidth="1"/>
    <col min="8232" max="8233" width="21.875" style="2973" customWidth="1"/>
    <col min="8234" max="8234" width="6.25" style="2973" customWidth="1"/>
    <col min="8235" max="8235" width="7.875" style="2973" customWidth="1"/>
    <col min="8236" max="8236" width="16.875" style="2973" customWidth="1"/>
    <col min="8237" max="8238" width="20.125" style="2973" customWidth="1"/>
    <col min="8239" max="8239" width="7.875" style="2973" customWidth="1"/>
    <col min="8240" max="8448" width="9" style="2973"/>
    <col min="8449" max="8449" width="34.375" style="2973" customWidth="1"/>
    <col min="8450" max="8450" width="6.25" style="2973" customWidth="1"/>
    <col min="8451" max="8451" width="7.875" style="2973" customWidth="1"/>
    <col min="8452" max="8452" width="19.5" style="2973" customWidth="1"/>
    <col min="8453" max="8453" width="4.625" style="2973" customWidth="1"/>
    <col min="8454" max="8454" width="34.375" style="2973" customWidth="1"/>
    <col min="8455" max="8455" width="9.25" style="2973" customWidth="1"/>
    <col min="8456" max="8457" width="13.875" style="2973" customWidth="1"/>
    <col min="8458" max="8458" width="11.75" style="2973" customWidth="1"/>
    <col min="8459" max="8462" width="7.875" style="2973" customWidth="1"/>
    <col min="8463" max="8463" width="11.25" style="2973" customWidth="1"/>
    <col min="8464" max="8464" width="7.875" style="2973" customWidth="1"/>
    <col min="8465" max="8465" width="9.625" style="2973" customWidth="1"/>
    <col min="8466" max="8467" width="15.5" style="2973" customWidth="1"/>
    <col min="8468" max="8468" width="12.875" style="2973" customWidth="1"/>
    <col min="8469" max="8470" width="11.25" style="2973" customWidth="1"/>
    <col min="8471" max="8471" width="17.875" style="2973" customWidth="1"/>
    <col min="8472" max="8472" width="7.875" style="2973" customWidth="1"/>
    <col min="8473" max="8476" width="9" style="2973" customWidth="1"/>
    <col min="8477" max="8477" width="18.75" style="2973" customWidth="1"/>
    <col min="8478" max="8478" width="7.875" style="2973" customWidth="1"/>
    <col min="8479" max="8479" width="24.5" style="2973" customWidth="1"/>
    <col min="8480" max="8480" width="7.875" style="2973" customWidth="1"/>
    <col min="8481" max="8483" width="10.625" style="2973" customWidth="1"/>
    <col min="8484" max="8485" width="16" style="2973" customWidth="1"/>
    <col min="8486" max="8487" width="14.375" style="2973" customWidth="1"/>
    <col min="8488" max="8489" width="21.875" style="2973" customWidth="1"/>
    <col min="8490" max="8490" width="6.25" style="2973" customWidth="1"/>
    <col min="8491" max="8491" width="7.875" style="2973" customWidth="1"/>
    <col min="8492" max="8492" width="16.875" style="2973" customWidth="1"/>
    <col min="8493" max="8494" width="20.125" style="2973" customWidth="1"/>
    <col min="8495" max="8495" width="7.875" style="2973" customWidth="1"/>
    <col min="8496" max="8704" width="9" style="2973"/>
    <col min="8705" max="8705" width="34.375" style="2973" customWidth="1"/>
    <col min="8706" max="8706" width="6.25" style="2973" customWidth="1"/>
    <col min="8707" max="8707" width="7.875" style="2973" customWidth="1"/>
    <col min="8708" max="8708" width="19.5" style="2973" customWidth="1"/>
    <col min="8709" max="8709" width="4.625" style="2973" customWidth="1"/>
    <col min="8710" max="8710" width="34.375" style="2973" customWidth="1"/>
    <col min="8711" max="8711" width="9.25" style="2973" customWidth="1"/>
    <col min="8712" max="8713" width="13.875" style="2973" customWidth="1"/>
    <col min="8714" max="8714" width="11.75" style="2973" customWidth="1"/>
    <col min="8715" max="8718" width="7.875" style="2973" customWidth="1"/>
    <col min="8719" max="8719" width="11.25" style="2973" customWidth="1"/>
    <col min="8720" max="8720" width="7.875" style="2973" customWidth="1"/>
    <col min="8721" max="8721" width="9.625" style="2973" customWidth="1"/>
    <col min="8722" max="8723" width="15.5" style="2973" customWidth="1"/>
    <col min="8724" max="8724" width="12.875" style="2973" customWidth="1"/>
    <col min="8725" max="8726" width="11.25" style="2973" customWidth="1"/>
    <col min="8727" max="8727" width="17.875" style="2973" customWidth="1"/>
    <col min="8728" max="8728" width="7.875" style="2973" customWidth="1"/>
    <col min="8729" max="8732" width="9" style="2973" customWidth="1"/>
    <col min="8733" max="8733" width="18.75" style="2973" customWidth="1"/>
    <col min="8734" max="8734" width="7.875" style="2973" customWidth="1"/>
    <col min="8735" max="8735" width="24.5" style="2973" customWidth="1"/>
    <col min="8736" max="8736" width="7.875" style="2973" customWidth="1"/>
    <col min="8737" max="8739" width="10.625" style="2973" customWidth="1"/>
    <col min="8740" max="8741" width="16" style="2973" customWidth="1"/>
    <col min="8742" max="8743" width="14.375" style="2973" customWidth="1"/>
    <col min="8744" max="8745" width="21.875" style="2973" customWidth="1"/>
    <col min="8746" max="8746" width="6.25" style="2973" customWidth="1"/>
    <col min="8747" max="8747" width="7.875" style="2973" customWidth="1"/>
    <col min="8748" max="8748" width="16.875" style="2973" customWidth="1"/>
    <col min="8749" max="8750" width="20.125" style="2973" customWidth="1"/>
    <col min="8751" max="8751" width="7.875" style="2973" customWidth="1"/>
    <col min="8752" max="8960" width="9" style="2973"/>
    <col min="8961" max="8961" width="34.375" style="2973" customWidth="1"/>
    <col min="8962" max="8962" width="6.25" style="2973" customWidth="1"/>
    <col min="8963" max="8963" width="7.875" style="2973" customWidth="1"/>
    <col min="8964" max="8964" width="19.5" style="2973" customWidth="1"/>
    <col min="8965" max="8965" width="4.625" style="2973" customWidth="1"/>
    <col min="8966" max="8966" width="34.375" style="2973" customWidth="1"/>
    <col min="8967" max="8967" width="9.25" style="2973" customWidth="1"/>
    <col min="8968" max="8969" width="13.875" style="2973" customWidth="1"/>
    <col min="8970" max="8970" width="11.75" style="2973" customWidth="1"/>
    <col min="8971" max="8974" width="7.875" style="2973" customWidth="1"/>
    <col min="8975" max="8975" width="11.25" style="2973" customWidth="1"/>
    <col min="8976" max="8976" width="7.875" style="2973" customWidth="1"/>
    <col min="8977" max="8977" width="9.625" style="2973" customWidth="1"/>
    <col min="8978" max="8979" width="15.5" style="2973" customWidth="1"/>
    <col min="8980" max="8980" width="12.875" style="2973" customWidth="1"/>
    <col min="8981" max="8982" width="11.25" style="2973" customWidth="1"/>
    <col min="8983" max="8983" width="17.875" style="2973" customWidth="1"/>
    <col min="8984" max="8984" width="7.875" style="2973" customWidth="1"/>
    <col min="8985" max="8988" width="9" style="2973" customWidth="1"/>
    <col min="8989" max="8989" width="18.75" style="2973" customWidth="1"/>
    <col min="8990" max="8990" width="7.875" style="2973" customWidth="1"/>
    <col min="8991" max="8991" width="24.5" style="2973" customWidth="1"/>
    <col min="8992" max="8992" width="7.875" style="2973" customWidth="1"/>
    <col min="8993" max="8995" width="10.625" style="2973" customWidth="1"/>
    <col min="8996" max="8997" width="16" style="2973" customWidth="1"/>
    <col min="8998" max="8999" width="14.375" style="2973" customWidth="1"/>
    <col min="9000" max="9001" width="21.875" style="2973" customWidth="1"/>
    <col min="9002" max="9002" width="6.25" style="2973" customWidth="1"/>
    <col min="9003" max="9003" width="7.875" style="2973" customWidth="1"/>
    <col min="9004" max="9004" width="16.875" style="2973" customWidth="1"/>
    <col min="9005" max="9006" width="20.125" style="2973" customWidth="1"/>
    <col min="9007" max="9007" width="7.875" style="2973" customWidth="1"/>
    <col min="9008" max="9216" width="9" style="2973"/>
    <col min="9217" max="9217" width="34.375" style="2973" customWidth="1"/>
    <col min="9218" max="9218" width="6.25" style="2973" customWidth="1"/>
    <col min="9219" max="9219" width="7.875" style="2973" customWidth="1"/>
    <col min="9220" max="9220" width="19.5" style="2973" customWidth="1"/>
    <col min="9221" max="9221" width="4.625" style="2973" customWidth="1"/>
    <col min="9222" max="9222" width="34.375" style="2973" customWidth="1"/>
    <col min="9223" max="9223" width="9.25" style="2973" customWidth="1"/>
    <col min="9224" max="9225" width="13.875" style="2973" customWidth="1"/>
    <col min="9226" max="9226" width="11.75" style="2973" customWidth="1"/>
    <col min="9227" max="9230" width="7.875" style="2973" customWidth="1"/>
    <col min="9231" max="9231" width="11.25" style="2973" customWidth="1"/>
    <col min="9232" max="9232" width="7.875" style="2973" customWidth="1"/>
    <col min="9233" max="9233" width="9.625" style="2973" customWidth="1"/>
    <col min="9234" max="9235" width="15.5" style="2973" customWidth="1"/>
    <col min="9236" max="9236" width="12.875" style="2973" customWidth="1"/>
    <col min="9237" max="9238" width="11.25" style="2973" customWidth="1"/>
    <col min="9239" max="9239" width="17.875" style="2973" customWidth="1"/>
    <col min="9240" max="9240" width="7.875" style="2973" customWidth="1"/>
    <col min="9241" max="9244" width="9" style="2973" customWidth="1"/>
    <col min="9245" max="9245" width="18.75" style="2973" customWidth="1"/>
    <col min="9246" max="9246" width="7.875" style="2973" customWidth="1"/>
    <col min="9247" max="9247" width="24.5" style="2973" customWidth="1"/>
    <col min="9248" max="9248" width="7.875" style="2973" customWidth="1"/>
    <col min="9249" max="9251" width="10.625" style="2973" customWidth="1"/>
    <col min="9252" max="9253" width="16" style="2973" customWidth="1"/>
    <col min="9254" max="9255" width="14.375" style="2973" customWidth="1"/>
    <col min="9256" max="9257" width="21.875" style="2973" customWidth="1"/>
    <col min="9258" max="9258" width="6.25" style="2973" customWidth="1"/>
    <col min="9259" max="9259" width="7.875" style="2973" customWidth="1"/>
    <col min="9260" max="9260" width="16.875" style="2973" customWidth="1"/>
    <col min="9261" max="9262" width="20.125" style="2973" customWidth="1"/>
    <col min="9263" max="9263" width="7.875" style="2973" customWidth="1"/>
    <col min="9264" max="9472" width="9" style="2973"/>
    <col min="9473" max="9473" width="34.375" style="2973" customWidth="1"/>
    <col min="9474" max="9474" width="6.25" style="2973" customWidth="1"/>
    <col min="9475" max="9475" width="7.875" style="2973" customWidth="1"/>
    <col min="9476" max="9476" width="19.5" style="2973" customWidth="1"/>
    <col min="9477" max="9477" width="4.625" style="2973" customWidth="1"/>
    <col min="9478" max="9478" width="34.375" style="2973" customWidth="1"/>
    <col min="9479" max="9479" width="9.25" style="2973" customWidth="1"/>
    <col min="9480" max="9481" width="13.875" style="2973" customWidth="1"/>
    <col min="9482" max="9482" width="11.75" style="2973" customWidth="1"/>
    <col min="9483" max="9486" width="7.875" style="2973" customWidth="1"/>
    <col min="9487" max="9487" width="11.25" style="2973" customWidth="1"/>
    <col min="9488" max="9488" width="7.875" style="2973" customWidth="1"/>
    <col min="9489" max="9489" width="9.625" style="2973" customWidth="1"/>
    <col min="9490" max="9491" width="15.5" style="2973" customWidth="1"/>
    <col min="9492" max="9492" width="12.875" style="2973" customWidth="1"/>
    <col min="9493" max="9494" width="11.25" style="2973" customWidth="1"/>
    <col min="9495" max="9495" width="17.875" style="2973" customWidth="1"/>
    <col min="9496" max="9496" width="7.875" style="2973" customWidth="1"/>
    <col min="9497" max="9500" width="9" style="2973" customWidth="1"/>
    <col min="9501" max="9501" width="18.75" style="2973" customWidth="1"/>
    <col min="9502" max="9502" width="7.875" style="2973" customWidth="1"/>
    <col min="9503" max="9503" width="24.5" style="2973" customWidth="1"/>
    <col min="9504" max="9504" width="7.875" style="2973" customWidth="1"/>
    <col min="9505" max="9507" width="10.625" style="2973" customWidth="1"/>
    <col min="9508" max="9509" width="16" style="2973" customWidth="1"/>
    <col min="9510" max="9511" width="14.375" style="2973" customWidth="1"/>
    <col min="9512" max="9513" width="21.875" style="2973" customWidth="1"/>
    <col min="9514" max="9514" width="6.25" style="2973" customWidth="1"/>
    <col min="9515" max="9515" width="7.875" style="2973" customWidth="1"/>
    <col min="9516" max="9516" width="16.875" style="2973" customWidth="1"/>
    <col min="9517" max="9518" width="20.125" style="2973" customWidth="1"/>
    <col min="9519" max="9519" width="7.875" style="2973" customWidth="1"/>
    <col min="9520" max="9728" width="9" style="2973"/>
    <col min="9729" max="9729" width="34.375" style="2973" customWidth="1"/>
    <col min="9730" max="9730" width="6.25" style="2973" customWidth="1"/>
    <col min="9731" max="9731" width="7.875" style="2973" customWidth="1"/>
    <col min="9732" max="9732" width="19.5" style="2973" customWidth="1"/>
    <col min="9733" max="9733" width="4.625" style="2973" customWidth="1"/>
    <col min="9734" max="9734" width="34.375" style="2973" customWidth="1"/>
    <col min="9735" max="9735" width="9.25" style="2973" customWidth="1"/>
    <col min="9736" max="9737" width="13.875" style="2973" customWidth="1"/>
    <col min="9738" max="9738" width="11.75" style="2973" customWidth="1"/>
    <col min="9739" max="9742" width="7.875" style="2973" customWidth="1"/>
    <col min="9743" max="9743" width="11.25" style="2973" customWidth="1"/>
    <col min="9744" max="9744" width="7.875" style="2973" customWidth="1"/>
    <col min="9745" max="9745" width="9.625" style="2973" customWidth="1"/>
    <col min="9746" max="9747" width="15.5" style="2973" customWidth="1"/>
    <col min="9748" max="9748" width="12.875" style="2973" customWidth="1"/>
    <col min="9749" max="9750" width="11.25" style="2973" customWidth="1"/>
    <col min="9751" max="9751" width="17.875" style="2973" customWidth="1"/>
    <col min="9752" max="9752" width="7.875" style="2973" customWidth="1"/>
    <col min="9753" max="9756" width="9" style="2973" customWidth="1"/>
    <col min="9757" max="9757" width="18.75" style="2973" customWidth="1"/>
    <col min="9758" max="9758" width="7.875" style="2973" customWidth="1"/>
    <col min="9759" max="9759" width="24.5" style="2973" customWidth="1"/>
    <col min="9760" max="9760" width="7.875" style="2973" customWidth="1"/>
    <col min="9761" max="9763" width="10.625" style="2973" customWidth="1"/>
    <col min="9764" max="9765" width="16" style="2973" customWidth="1"/>
    <col min="9766" max="9767" width="14.375" style="2973" customWidth="1"/>
    <col min="9768" max="9769" width="21.875" style="2973" customWidth="1"/>
    <col min="9770" max="9770" width="6.25" style="2973" customWidth="1"/>
    <col min="9771" max="9771" width="7.875" style="2973" customWidth="1"/>
    <col min="9772" max="9772" width="16.875" style="2973" customWidth="1"/>
    <col min="9773" max="9774" width="20.125" style="2973" customWidth="1"/>
    <col min="9775" max="9775" width="7.875" style="2973" customWidth="1"/>
    <col min="9776" max="9984" width="9" style="2973"/>
    <col min="9985" max="9985" width="34.375" style="2973" customWidth="1"/>
    <col min="9986" max="9986" width="6.25" style="2973" customWidth="1"/>
    <col min="9987" max="9987" width="7.875" style="2973" customWidth="1"/>
    <col min="9988" max="9988" width="19.5" style="2973" customWidth="1"/>
    <col min="9989" max="9989" width="4.625" style="2973" customWidth="1"/>
    <col min="9990" max="9990" width="34.375" style="2973" customWidth="1"/>
    <col min="9991" max="9991" width="9.25" style="2973" customWidth="1"/>
    <col min="9992" max="9993" width="13.875" style="2973" customWidth="1"/>
    <col min="9994" max="9994" width="11.75" style="2973" customWidth="1"/>
    <col min="9995" max="9998" width="7.875" style="2973" customWidth="1"/>
    <col min="9999" max="9999" width="11.25" style="2973" customWidth="1"/>
    <col min="10000" max="10000" width="7.875" style="2973" customWidth="1"/>
    <col min="10001" max="10001" width="9.625" style="2973" customWidth="1"/>
    <col min="10002" max="10003" width="15.5" style="2973" customWidth="1"/>
    <col min="10004" max="10004" width="12.875" style="2973" customWidth="1"/>
    <col min="10005" max="10006" width="11.25" style="2973" customWidth="1"/>
    <col min="10007" max="10007" width="17.875" style="2973" customWidth="1"/>
    <col min="10008" max="10008" width="7.875" style="2973" customWidth="1"/>
    <col min="10009" max="10012" width="9" style="2973" customWidth="1"/>
    <col min="10013" max="10013" width="18.75" style="2973" customWidth="1"/>
    <col min="10014" max="10014" width="7.875" style="2973" customWidth="1"/>
    <col min="10015" max="10015" width="24.5" style="2973" customWidth="1"/>
    <col min="10016" max="10016" width="7.875" style="2973" customWidth="1"/>
    <col min="10017" max="10019" width="10.625" style="2973" customWidth="1"/>
    <col min="10020" max="10021" width="16" style="2973" customWidth="1"/>
    <col min="10022" max="10023" width="14.375" style="2973" customWidth="1"/>
    <col min="10024" max="10025" width="21.875" style="2973" customWidth="1"/>
    <col min="10026" max="10026" width="6.25" style="2973" customWidth="1"/>
    <col min="10027" max="10027" width="7.875" style="2973" customWidth="1"/>
    <col min="10028" max="10028" width="16.875" style="2973" customWidth="1"/>
    <col min="10029" max="10030" width="20.125" style="2973" customWidth="1"/>
    <col min="10031" max="10031" width="7.875" style="2973" customWidth="1"/>
    <col min="10032" max="10240" width="9" style="2973"/>
    <col min="10241" max="10241" width="34.375" style="2973" customWidth="1"/>
    <col min="10242" max="10242" width="6.25" style="2973" customWidth="1"/>
    <col min="10243" max="10243" width="7.875" style="2973" customWidth="1"/>
    <col min="10244" max="10244" width="19.5" style="2973" customWidth="1"/>
    <col min="10245" max="10245" width="4.625" style="2973" customWidth="1"/>
    <col min="10246" max="10246" width="34.375" style="2973" customWidth="1"/>
    <col min="10247" max="10247" width="9.25" style="2973" customWidth="1"/>
    <col min="10248" max="10249" width="13.875" style="2973" customWidth="1"/>
    <col min="10250" max="10250" width="11.75" style="2973" customWidth="1"/>
    <col min="10251" max="10254" width="7.875" style="2973" customWidth="1"/>
    <col min="10255" max="10255" width="11.25" style="2973" customWidth="1"/>
    <col min="10256" max="10256" width="7.875" style="2973" customWidth="1"/>
    <col min="10257" max="10257" width="9.625" style="2973" customWidth="1"/>
    <col min="10258" max="10259" width="15.5" style="2973" customWidth="1"/>
    <col min="10260" max="10260" width="12.875" style="2973" customWidth="1"/>
    <col min="10261" max="10262" width="11.25" style="2973" customWidth="1"/>
    <col min="10263" max="10263" width="17.875" style="2973" customWidth="1"/>
    <col min="10264" max="10264" width="7.875" style="2973" customWidth="1"/>
    <col min="10265" max="10268" width="9" style="2973" customWidth="1"/>
    <col min="10269" max="10269" width="18.75" style="2973" customWidth="1"/>
    <col min="10270" max="10270" width="7.875" style="2973" customWidth="1"/>
    <col min="10271" max="10271" width="24.5" style="2973" customWidth="1"/>
    <col min="10272" max="10272" width="7.875" style="2973" customWidth="1"/>
    <col min="10273" max="10275" width="10.625" style="2973" customWidth="1"/>
    <col min="10276" max="10277" width="16" style="2973" customWidth="1"/>
    <col min="10278" max="10279" width="14.375" style="2973" customWidth="1"/>
    <col min="10280" max="10281" width="21.875" style="2973" customWidth="1"/>
    <col min="10282" max="10282" width="6.25" style="2973" customWidth="1"/>
    <col min="10283" max="10283" width="7.875" style="2973" customWidth="1"/>
    <col min="10284" max="10284" width="16.875" style="2973" customWidth="1"/>
    <col min="10285" max="10286" width="20.125" style="2973" customWidth="1"/>
    <col min="10287" max="10287" width="7.875" style="2973" customWidth="1"/>
    <col min="10288" max="10496" width="9" style="2973"/>
    <col min="10497" max="10497" width="34.375" style="2973" customWidth="1"/>
    <col min="10498" max="10498" width="6.25" style="2973" customWidth="1"/>
    <col min="10499" max="10499" width="7.875" style="2973" customWidth="1"/>
    <col min="10500" max="10500" width="19.5" style="2973" customWidth="1"/>
    <col min="10501" max="10501" width="4.625" style="2973" customWidth="1"/>
    <col min="10502" max="10502" width="34.375" style="2973" customWidth="1"/>
    <col min="10503" max="10503" width="9.25" style="2973" customWidth="1"/>
    <col min="10504" max="10505" width="13.875" style="2973" customWidth="1"/>
    <col min="10506" max="10506" width="11.75" style="2973" customWidth="1"/>
    <col min="10507" max="10510" width="7.875" style="2973" customWidth="1"/>
    <col min="10511" max="10511" width="11.25" style="2973" customWidth="1"/>
    <col min="10512" max="10512" width="7.875" style="2973" customWidth="1"/>
    <col min="10513" max="10513" width="9.625" style="2973" customWidth="1"/>
    <col min="10514" max="10515" width="15.5" style="2973" customWidth="1"/>
    <col min="10516" max="10516" width="12.875" style="2973" customWidth="1"/>
    <col min="10517" max="10518" width="11.25" style="2973" customWidth="1"/>
    <col min="10519" max="10519" width="17.875" style="2973" customWidth="1"/>
    <col min="10520" max="10520" width="7.875" style="2973" customWidth="1"/>
    <col min="10521" max="10524" width="9" style="2973" customWidth="1"/>
    <col min="10525" max="10525" width="18.75" style="2973" customWidth="1"/>
    <col min="10526" max="10526" width="7.875" style="2973" customWidth="1"/>
    <col min="10527" max="10527" width="24.5" style="2973" customWidth="1"/>
    <col min="10528" max="10528" width="7.875" style="2973" customWidth="1"/>
    <col min="10529" max="10531" width="10.625" style="2973" customWidth="1"/>
    <col min="10532" max="10533" width="16" style="2973" customWidth="1"/>
    <col min="10534" max="10535" width="14.375" style="2973" customWidth="1"/>
    <col min="10536" max="10537" width="21.875" style="2973" customWidth="1"/>
    <col min="10538" max="10538" width="6.25" style="2973" customWidth="1"/>
    <col min="10539" max="10539" width="7.875" style="2973" customWidth="1"/>
    <col min="10540" max="10540" width="16.875" style="2973" customWidth="1"/>
    <col min="10541" max="10542" width="20.125" style="2973" customWidth="1"/>
    <col min="10543" max="10543" width="7.875" style="2973" customWidth="1"/>
    <col min="10544" max="10752" width="9" style="2973"/>
    <col min="10753" max="10753" width="34.375" style="2973" customWidth="1"/>
    <col min="10754" max="10754" width="6.25" style="2973" customWidth="1"/>
    <col min="10755" max="10755" width="7.875" style="2973" customWidth="1"/>
    <col min="10756" max="10756" width="19.5" style="2973" customWidth="1"/>
    <col min="10757" max="10757" width="4.625" style="2973" customWidth="1"/>
    <col min="10758" max="10758" width="34.375" style="2973" customWidth="1"/>
    <col min="10759" max="10759" width="9.25" style="2973" customWidth="1"/>
    <col min="10760" max="10761" width="13.875" style="2973" customWidth="1"/>
    <col min="10762" max="10762" width="11.75" style="2973" customWidth="1"/>
    <col min="10763" max="10766" width="7.875" style="2973" customWidth="1"/>
    <col min="10767" max="10767" width="11.25" style="2973" customWidth="1"/>
    <col min="10768" max="10768" width="7.875" style="2973" customWidth="1"/>
    <col min="10769" max="10769" width="9.625" style="2973" customWidth="1"/>
    <col min="10770" max="10771" width="15.5" style="2973" customWidth="1"/>
    <col min="10772" max="10772" width="12.875" style="2973" customWidth="1"/>
    <col min="10773" max="10774" width="11.25" style="2973" customWidth="1"/>
    <col min="10775" max="10775" width="17.875" style="2973" customWidth="1"/>
    <col min="10776" max="10776" width="7.875" style="2973" customWidth="1"/>
    <col min="10777" max="10780" width="9" style="2973" customWidth="1"/>
    <col min="10781" max="10781" width="18.75" style="2973" customWidth="1"/>
    <col min="10782" max="10782" width="7.875" style="2973" customWidth="1"/>
    <col min="10783" max="10783" width="24.5" style="2973" customWidth="1"/>
    <col min="10784" max="10784" width="7.875" style="2973" customWidth="1"/>
    <col min="10785" max="10787" width="10.625" style="2973" customWidth="1"/>
    <col min="10788" max="10789" width="16" style="2973" customWidth="1"/>
    <col min="10790" max="10791" width="14.375" style="2973" customWidth="1"/>
    <col min="10792" max="10793" width="21.875" style="2973" customWidth="1"/>
    <col min="10794" max="10794" width="6.25" style="2973" customWidth="1"/>
    <col min="10795" max="10795" width="7.875" style="2973" customWidth="1"/>
    <col min="10796" max="10796" width="16.875" style="2973" customWidth="1"/>
    <col min="10797" max="10798" width="20.125" style="2973" customWidth="1"/>
    <col min="10799" max="10799" width="7.875" style="2973" customWidth="1"/>
    <col min="10800" max="11008" width="9" style="2973"/>
    <col min="11009" max="11009" width="34.375" style="2973" customWidth="1"/>
    <col min="11010" max="11010" width="6.25" style="2973" customWidth="1"/>
    <col min="11011" max="11011" width="7.875" style="2973" customWidth="1"/>
    <col min="11012" max="11012" width="19.5" style="2973" customWidth="1"/>
    <col min="11013" max="11013" width="4.625" style="2973" customWidth="1"/>
    <col min="11014" max="11014" width="34.375" style="2973" customWidth="1"/>
    <col min="11015" max="11015" width="9.25" style="2973" customWidth="1"/>
    <col min="11016" max="11017" width="13.875" style="2973" customWidth="1"/>
    <col min="11018" max="11018" width="11.75" style="2973" customWidth="1"/>
    <col min="11019" max="11022" width="7.875" style="2973" customWidth="1"/>
    <col min="11023" max="11023" width="11.25" style="2973" customWidth="1"/>
    <col min="11024" max="11024" width="7.875" style="2973" customWidth="1"/>
    <col min="11025" max="11025" width="9.625" style="2973" customWidth="1"/>
    <col min="11026" max="11027" width="15.5" style="2973" customWidth="1"/>
    <col min="11028" max="11028" width="12.875" style="2973" customWidth="1"/>
    <col min="11029" max="11030" width="11.25" style="2973" customWidth="1"/>
    <col min="11031" max="11031" width="17.875" style="2973" customWidth="1"/>
    <col min="11032" max="11032" width="7.875" style="2973" customWidth="1"/>
    <col min="11033" max="11036" width="9" style="2973" customWidth="1"/>
    <col min="11037" max="11037" width="18.75" style="2973" customWidth="1"/>
    <col min="11038" max="11038" width="7.875" style="2973" customWidth="1"/>
    <col min="11039" max="11039" width="24.5" style="2973" customWidth="1"/>
    <col min="11040" max="11040" width="7.875" style="2973" customWidth="1"/>
    <col min="11041" max="11043" width="10.625" style="2973" customWidth="1"/>
    <col min="11044" max="11045" width="16" style="2973" customWidth="1"/>
    <col min="11046" max="11047" width="14.375" style="2973" customWidth="1"/>
    <col min="11048" max="11049" width="21.875" style="2973" customWidth="1"/>
    <col min="11050" max="11050" width="6.25" style="2973" customWidth="1"/>
    <col min="11051" max="11051" width="7.875" style="2973" customWidth="1"/>
    <col min="11052" max="11052" width="16.875" style="2973" customWidth="1"/>
    <col min="11053" max="11054" width="20.125" style="2973" customWidth="1"/>
    <col min="11055" max="11055" width="7.875" style="2973" customWidth="1"/>
    <col min="11056" max="11264" width="9" style="2973"/>
    <col min="11265" max="11265" width="34.375" style="2973" customWidth="1"/>
    <col min="11266" max="11266" width="6.25" style="2973" customWidth="1"/>
    <col min="11267" max="11267" width="7.875" style="2973" customWidth="1"/>
    <col min="11268" max="11268" width="19.5" style="2973" customWidth="1"/>
    <col min="11269" max="11269" width="4.625" style="2973" customWidth="1"/>
    <col min="11270" max="11270" width="34.375" style="2973" customWidth="1"/>
    <col min="11271" max="11271" width="9.25" style="2973" customWidth="1"/>
    <col min="11272" max="11273" width="13.875" style="2973" customWidth="1"/>
    <col min="11274" max="11274" width="11.75" style="2973" customWidth="1"/>
    <col min="11275" max="11278" width="7.875" style="2973" customWidth="1"/>
    <col min="11279" max="11279" width="11.25" style="2973" customWidth="1"/>
    <col min="11280" max="11280" width="7.875" style="2973" customWidth="1"/>
    <col min="11281" max="11281" width="9.625" style="2973" customWidth="1"/>
    <col min="11282" max="11283" width="15.5" style="2973" customWidth="1"/>
    <col min="11284" max="11284" width="12.875" style="2973" customWidth="1"/>
    <col min="11285" max="11286" width="11.25" style="2973" customWidth="1"/>
    <col min="11287" max="11287" width="17.875" style="2973" customWidth="1"/>
    <col min="11288" max="11288" width="7.875" style="2973" customWidth="1"/>
    <col min="11289" max="11292" width="9" style="2973" customWidth="1"/>
    <col min="11293" max="11293" width="18.75" style="2973" customWidth="1"/>
    <col min="11294" max="11294" width="7.875" style="2973" customWidth="1"/>
    <col min="11295" max="11295" width="24.5" style="2973" customWidth="1"/>
    <col min="11296" max="11296" width="7.875" style="2973" customWidth="1"/>
    <col min="11297" max="11299" width="10.625" style="2973" customWidth="1"/>
    <col min="11300" max="11301" width="16" style="2973" customWidth="1"/>
    <col min="11302" max="11303" width="14.375" style="2973" customWidth="1"/>
    <col min="11304" max="11305" width="21.875" style="2973" customWidth="1"/>
    <col min="11306" max="11306" width="6.25" style="2973" customWidth="1"/>
    <col min="11307" max="11307" width="7.875" style="2973" customWidth="1"/>
    <col min="11308" max="11308" width="16.875" style="2973" customWidth="1"/>
    <col min="11309" max="11310" width="20.125" style="2973" customWidth="1"/>
    <col min="11311" max="11311" width="7.875" style="2973" customWidth="1"/>
    <col min="11312" max="11520" width="9" style="2973"/>
    <col min="11521" max="11521" width="34.375" style="2973" customWidth="1"/>
    <col min="11522" max="11522" width="6.25" style="2973" customWidth="1"/>
    <col min="11523" max="11523" width="7.875" style="2973" customWidth="1"/>
    <col min="11524" max="11524" width="19.5" style="2973" customWidth="1"/>
    <col min="11525" max="11525" width="4.625" style="2973" customWidth="1"/>
    <col min="11526" max="11526" width="34.375" style="2973" customWidth="1"/>
    <col min="11527" max="11527" width="9.25" style="2973" customWidth="1"/>
    <col min="11528" max="11529" width="13.875" style="2973" customWidth="1"/>
    <col min="11530" max="11530" width="11.75" style="2973" customWidth="1"/>
    <col min="11531" max="11534" width="7.875" style="2973" customWidth="1"/>
    <col min="11535" max="11535" width="11.25" style="2973" customWidth="1"/>
    <col min="11536" max="11536" width="7.875" style="2973" customWidth="1"/>
    <col min="11537" max="11537" width="9.625" style="2973" customWidth="1"/>
    <col min="11538" max="11539" width="15.5" style="2973" customWidth="1"/>
    <col min="11540" max="11540" width="12.875" style="2973" customWidth="1"/>
    <col min="11541" max="11542" width="11.25" style="2973" customWidth="1"/>
    <col min="11543" max="11543" width="17.875" style="2973" customWidth="1"/>
    <col min="11544" max="11544" width="7.875" style="2973" customWidth="1"/>
    <col min="11545" max="11548" width="9" style="2973" customWidth="1"/>
    <col min="11549" max="11549" width="18.75" style="2973" customWidth="1"/>
    <col min="11550" max="11550" width="7.875" style="2973" customWidth="1"/>
    <col min="11551" max="11551" width="24.5" style="2973" customWidth="1"/>
    <col min="11552" max="11552" width="7.875" style="2973" customWidth="1"/>
    <col min="11553" max="11555" width="10.625" style="2973" customWidth="1"/>
    <col min="11556" max="11557" width="16" style="2973" customWidth="1"/>
    <col min="11558" max="11559" width="14.375" style="2973" customWidth="1"/>
    <col min="11560" max="11561" width="21.875" style="2973" customWidth="1"/>
    <col min="11562" max="11562" width="6.25" style="2973" customWidth="1"/>
    <col min="11563" max="11563" width="7.875" style="2973" customWidth="1"/>
    <col min="11564" max="11564" width="16.875" style="2973" customWidth="1"/>
    <col min="11565" max="11566" width="20.125" style="2973" customWidth="1"/>
    <col min="11567" max="11567" width="7.875" style="2973" customWidth="1"/>
    <col min="11568" max="11776" width="9" style="2973"/>
    <col min="11777" max="11777" width="34.375" style="2973" customWidth="1"/>
    <col min="11778" max="11778" width="6.25" style="2973" customWidth="1"/>
    <col min="11779" max="11779" width="7.875" style="2973" customWidth="1"/>
    <col min="11780" max="11780" width="19.5" style="2973" customWidth="1"/>
    <col min="11781" max="11781" width="4.625" style="2973" customWidth="1"/>
    <col min="11782" max="11782" width="34.375" style="2973" customWidth="1"/>
    <col min="11783" max="11783" width="9.25" style="2973" customWidth="1"/>
    <col min="11784" max="11785" width="13.875" style="2973" customWidth="1"/>
    <col min="11786" max="11786" width="11.75" style="2973" customWidth="1"/>
    <col min="11787" max="11790" width="7.875" style="2973" customWidth="1"/>
    <col min="11791" max="11791" width="11.25" style="2973" customWidth="1"/>
    <col min="11792" max="11792" width="7.875" style="2973" customWidth="1"/>
    <col min="11793" max="11793" width="9.625" style="2973" customWidth="1"/>
    <col min="11794" max="11795" width="15.5" style="2973" customWidth="1"/>
    <col min="11796" max="11796" width="12.875" style="2973" customWidth="1"/>
    <col min="11797" max="11798" width="11.25" style="2973" customWidth="1"/>
    <col min="11799" max="11799" width="17.875" style="2973" customWidth="1"/>
    <col min="11800" max="11800" width="7.875" style="2973" customWidth="1"/>
    <col min="11801" max="11804" width="9" style="2973" customWidth="1"/>
    <col min="11805" max="11805" width="18.75" style="2973" customWidth="1"/>
    <col min="11806" max="11806" width="7.875" style="2973" customWidth="1"/>
    <col min="11807" max="11807" width="24.5" style="2973" customWidth="1"/>
    <col min="11808" max="11808" width="7.875" style="2973" customWidth="1"/>
    <col min="11809" max="11811" width="10.625" style="2973" customWidth="1"/>
    <col min="11812" max="11813" width="16" style="2973" customWidth="1"/>
    <col min="11814" max="11815" width="14.375" style="2973" customWidth="1"/>
    <col min="11816" max="11817" width="21.875" style="2973" customWidth="1"/>
    <col min="11818" max="11818" width="6.25" style="2973" customWidth="1"/>
    <col min="11819" max="11819" width="7.875" style="2973" customWidth="1"/>
    <col min="11820" max="11820" width="16.875" style="2973" customWidth="1"/>
    <col min="11821" max="11822" width="20.125" style="2973" customWidth="1"/>
    <col min="11823" max="11823" width="7.875" style="2973" customWidth="1"/>
    <col min="11824" max="12032" width="9" style="2973"/>
    <col min="12033" max="12033" width="34.375" style="2973" customWidth="1"/>
    <col min="12034" max="12034" width="6.25" style="2973" customWidth="1"/>
    <col min="12035" max="12035" width="7.875" style="2973" customWidth="1"/>
    <col min="12036" max="12036" width="19.5" style="2973" customWidth="1"/>
    <col min="12037" max="12037" width="4.625" style="2973" customWidth="1"/>
    <col min="12038" max="12038" width="34.375" style="2973" customWidth="1"/>
    <col min="12039" max="12039" width="9.25" style="2973" customWidth="1"/>
    <col min="12040" max="12041" width="13.875" style="2973" customWidth="1"/>
    <col min="12042" max="12042" width="11.75" style="2973" customWidth="1"/>
    <col min="12043" max="12046" width="7.875" style="2973" customWidth="1"/>
    <col min="12047" max="12047" width="11.25" style="2973" customWidth="1"/>
    <col min="12048" max="12048" width="7.875" style="2973" customWidth="1"/>
    <col min="12049" max="12049" width="9.625" style="2973" customWidth="1"/>
    <col min="12050" max="12051" width="15.5" style="2973" customWidth="1"/>
    <col min="12052" max="12052" width="12.875" style="2973" customWidth="1"/>
    <col min="12053" max="12054" width="11.25" style="2973" customWidth="1"/>
    <col min="12055" max="12055" width="17.875" style="2973" customWidth="1"/>
    <col min="12056" max="12056" width="7.875" style="2973" customWidth="1"/>
    <col min="12057" max="12060" width="9" style="2973" customWidth="1"/>
    <col min="12061" max="12061" width="18.75" style="2973" customWidth="1"/>
    <col min="12062" max="12062" width="7.875" style="2973" customWidth="1"/>
    <col min="12063" max="12063" width="24.5" style="2973" customWidth="1"/>
    <col min="12064" max="12064" width="7.875" style="2973" customWidth="1"/>
    <col min="12065" max="12067" width="10.625" style="2973" customWidth="1"/>
    <col min="12068" max="12069" width="16" style="2973" customWidth="1"/>
    <col min="12070" max="12071" width="14.375" style="2973" customWidth="1"/>
    <col min="12072" max="12073" width="21.875" style="2973" customWidth="1"/>
    <col min="12074" max="12074" width="6.25" style="2973" customWidth="1"/>
    <col min="12075" max="12075" width="7.875" style="2973" customWidth="1"/>
    <col min="12076" max="12076" width="16.875" style="2973" customWidth="1"/>
    <col min="12077" max="12078" width="20.125" style="2973" customWidth="1"/>
    <col min="12079" max="12079" width="7.875" style="2973" customWidth="1"/>
    <col min="12080" max="12288" width="9" style="2973"/>
    <col min="12289" max="12289" width="34.375" style="2973" customWidth="1"/>
    <col min="12290" max="12290" width="6.25" style="2973" customWidth="1"/>
    <col min="12291" max="12291" width="7.875" style="2973" customWidth="1"/>
    <col min="12292" max="12292" width="19.5" style="2973" customWidth="1"/>
    <col min="12293" max="12293" width="4.625" style="2973" customWidth="1"/>
    <col min="12294" max="12294" width="34.375" style="2973" customWidth="1"/>
    <col min="12295" max="12295" width="9.25" style="2973" customWidth="1"/>
    <col min="12296" max="12297" width="13.875" style="2973" customWidth="1"/>
    <col min="12298" max="12298" width="11.75" style="2973" customWidth="1"/>
    <col min="12299" max="12302" width="7.875" style="2973" customWidth="1"/>
    <col min="12303" max="12303" width="11.25" style="2973" customWidth="1"/>
    <col min="12304" max="12304" width="7.875" style="2973" customWidth="1"/>
    <col min="12305" max="12305" width="9.625" style="2973" customWidth="1"/>
    <col min="12306" max="12307" width="15.5" style="2973" customWidth="1"/>
    <col min="12308" max="12308" width="12.875" style="2973" customWidth="1"/>
    <col min="12309" max="12310" width="11.25" style="2973" customWidth="1"/>
    <col min="12311" max="12311" width="17.875" style="2973" customWidth="1"/>
    <col min="12312" max="12312" width="7.875" style="2973" customWidth="1"/>
    <col min="12313" max="12316" width="9" style="2973" customWidth="1"/>
    <col min="12317" max="12317" width="18.75" style="2973" customWidth="1"/>
    <col min="12318" max="12318" width="7.875" style="2973" customWidth="1"/>
    <col min="12319" max="12319" width="24.5" style="2973" customWidth="1"/>
    <col min="12320" max="12320" width="7.875" style="2973" customWidth="1"/>
    <col min="12321" max="12323" width="10.625" style="2973" customWidth="1"/>
    <col min="12324" max="12325" width="16" style="2973" customWidth="1"/>
    <col min="12326" max="12327" width="14.375" style="2973" customWidth="1"/>
    <col min="12328" max="12329" width="21.875" style="2973" customWidth="1"/>
    <col min="12330" max="12330" width="6.25" style="2973" customWidth="1"/>
    <col min="12331" max="12331" width="7.875" style="2973" customWidth="1"/>
    <col min="12332" max="12332" width="16.875" style="2973" customWidth="1"/>
    <col min="12333" max="12334" width="20.125" style="2973" customWidth="1"/>
    <col min="12335" max="12335" width="7.875" style="2973" customWidth="1"/>
    <col min="12336" max="12544" width="9" style="2973"/>
    <col min="12545" max="12545" width="34.375" style="2973" customWidth="1"/>
    <col min="12546" max="12546" width="6.25" style="2973" customWidth="1"/>
    <col min="12547" max="12547" width="7.875" style="2973" customWidth="1"/>
    <col min="12548" max="12548" width="19.5" style="2973" customWidth="1"/>
    <col min="12549" max="12549" width="4.625" style="2973" customWidth="1"/>
    <col min="12550" max="12550" width="34.375" style="2973" customWidth="1"/>
    <col min="12551" max="12551" width="9.25" style="2973" customWidth="1"/>
    <col min="12552" max="12553" width="13.875" style="2973" customWidth="1"/>
    <col min="12554" max="12554" width="11.75" style="2973" customWidth="1"/>
    <col min="12555" max="12558" width="7.875" style="2973" customWidth="1"/>
    <col min="12559" max="12559" width="11.25" style="2973" customWidth="1"/>
    <col min="12560" max="12560" width="7.875" style="2973" customWidth="1"/>
    <col min="12561" max="12561" width="9.625" style="2973" customWidth="1"/>
    <col min="12562" max="12563" width="15.5" style="2973" customWidth="1"/>
    <col min="12564" max="12564" width="12.875" style="2973" customWidth="1"/>
    <col min="12565" max="12566" width="11.25" style="2973" customWidth="1"/>
    <col min="12567" max="12567" width="17.875" style="2973" customWidth="1"/>
    <col min="12568" max="12568" width="7.875" style="2973" customWidth="1"/>
    <col min="12569" max="12572" width="9" style="2973" customWidth="1"/>
    <col min="12573" max="12573" width="18.75" style="2973" customWidth="1"/>
    <col min="12574" max="12574" width="7.875" style="2973" customWidth="1"/>
    <col min="12575" max="12575" width="24.5" style="2973" customWidth="1"/>
    <col min="12576" max="12576" width="7.875" style="2973" customWidth="1"/>
    <col min="12577" max="12579" width="10.625" style="2973" customWidth="1"/>
    <col min="12580" max="12581" width="16" style="2973" customWidth="1"/>
    <col min="12582" max="12583" width="14.375" style="2973" customWidth="1"/>
    <col min="12584" max="12585" width="21.875" style="2973" customWidth="1"/>
    <col min="12586" max="12586" width="6.25" style="2973" customWidth="1"/>
    <col min="12587" max="12587" width="7.875" style="2973" customWidth="1"/>
    <col min="12588" max="12588" width="16.875" style="2973" customWidth="1"/>
    <col min="12589" max="12590" width="20.125" style="2973" customWidth="1"/>
    <col min="12591" max="12591" width="7.875" style="2973" customWidth="1"/>
    <col min="12592" max="12800" width="9" style="2973"/>
    <col min="12801" max="12801" width="34.375" style="2973" customWidth="1"/>
    <col min="12802" max="12802" width="6.25" style="2973" customWidth="1"/>
    <col min="12803" max="12803" width="7.875" style="2973" customWidth="1"/>
    <col min="12804" max="12804" width="19.5" style="2973" customWidth="1"/>
    <col min="12805" max="12805" width="4.625" style="2973" customWidth="1"/>
    <col min="12806" max="12806" width="34.375" style="2973" customWidth="1"/>
    <col min="12807" max="12807" width="9.25" style="2973" customWidth="1"/>
    <col min="12808" max="12809" width="13.875" style="2973" customWidth="1"/>
    <col min="12810" max="12810" width="11.75" style="2973" customWidth="1"/>
    <col min="12811" max="12814" width="7.875" style="2973" customWidth="1"/>
    <col min="12815" max="12815" width="11.25" style="2973" customWidth="1"/>
    <col min="12816" max="12816" width="7.875" style="2973" customWidth="1"/>
    <col min="12817" max="12817" width="9.625" style="2973" customWidth="1"/>
    <col min="12818" max="12819" width="15.5" style="2973" customWidth="1"/>
    <col min="12820" max="12820" width="12.875" style="2973" customWidth="1"/>
    <col min="12821" max="12822" width="11.25" style="2973" customWidth="1"/>
    <col min="12823" max="12823" width="17.875" style="2973" customWidth="1"/>
    <col min="12824" max="12824" width="7.875" style="2973" customWidth="1"/>
    <col min="12825" max="12828" width="9" style="2973" customWidth="1"/>
    <col min="12829" max="12829" width="18.75" style="2973" customWidth="1"/>
    <col min="12830" max="12830" width="7.875" style="2973" customWidth="1"/>
    <col min="12831" max="12831" width="24.5" style="2973" customWidth="1"/>
    <col min="12832" max="12832" width="7.875" style="2973" customWidth="1"/>
    <col min="12833" max="12835" width="10.625" style="2973" customWidth="1"/>
    <col min="12836" max="12837" width="16" style="2973" customWidth="1"/>
    <col min="12838" max="12839" width="14.375" style="2973" customWidth="1"/>
    <col min="12840" max="12841" width="21.875" style="2973" customWidth="1"/>
    <col min="12842" max="12842" width="6.25" style="2973" customWidth="1"/>
    <col min="12843" max="12843" width="7.875" style="2973" customWidth="1"/>
    <col min="12844" max="12844" width="16.875" style="2973" customWidth="1"/>
    <col min="12845" max="12846" width="20.125" style="2973" customWidth="1"/>
    <col min="12847" max="12847" width="7.875" style="2973" customWidth="1"/>
    <col min="12848" max="13056" width="9" style="2973"/>
    <col min="13057" max="13057" width="34.375" style="2973" customWidth="1"/>
    <col min="13058" max="13058" width="6.25" style="2973" customWidth="1"/>
    <col min="13059" max="13059" width="7.875" style="2973" customWidth="1"/>
    <col min="13060" max="13060" width="19.5" style="2973" customWidth="1"/>
    <col min="13061" max="13061" width="4.625" style="2973" customWidth="1"/>
    <col min="13062" max="13062" width="34.375" style="2973" customWidth="1"/>
    <col min="13063" max="13063" width="9.25" style="2973" customWidth="1"/>
    <col min="13064" max="13065" width="13.875" style="2973" customWidth="1"/>
    <col min="13066" max="13066" width="11.75" style="2973" customWidth="1"/>
    <col min="13067" max="13070" width="7.875" style="2973" customWidth="1"/>
    <col min="13071" max="13071" width="11.25" style="2973" customWidth="1"/>
    <col min="13072" max="13072" width="7.875" style="2973" customWidth="1"/>
    <col min="13073" max="13073" width="9.625" style="2973" customWidth="1"/>
    <col min="13074" max="13075" width="15.5" style="2973" customWidth="1"/>
    <col min="13076" max="13076" width="12.875" style="2973" customWidth="1"/>
    <col min="13077" max="13078" width="11.25" style="2973" customWidth="1"/>
    <col min="13079" max="13079" width="17.875" style="2973" customWidth="1"/>
    <col min="13080" max="13080" width="7.875" style="2973" customWidth="1"/>
    <col min="13081" max="13084" width="9" style="2973" customWidth="1"/>
    <col min="13085" max="13085" width="18.75" style="2973" customWidth="1"/>
    <col min="13086" max="13086" width="7.875" style="2973" customWidth="1"/>
    <col min="13087" max="13087" width="24.5" style="2973" customWidth="1"/>
    <col min="13088" max="13088" width="7.875" style="2973" customWidth="1"/>
    <col min="13089" max="13091" width="10.625" style="2973" customWidth="1"/>
    <col min="13092" max="13093" width="16" style="2973" customWidth="1"/>
    <col min="13094" max="13095" width="14.375" style="2973" customWidth="1"/>
    <col min="13096" max="13097" width="21.875" style="2973" customWidth="1"/>
    <col min="13098" max="13098" width="6.25" style="2973" customWidth="1"/>
    <col min="13099" max="13099" width="7.875" style="2973" customWidth="1"/>
    <col min="13100" max="13100" width="16.875" style="2973" customWidth="1"/>
    <col min="13101" max="13102" width="20.125" style="2973" customWidth="1"/>
    <col min="13103" max="13103" width="7.875" style="2973" customWidth="1"/>
    <col min="13104" max="13312" width="9" style="2973"/>
    <col min="13313" max="13313" width="34.375" style="2973" customWidth="1"/>
    <col min="13314" max="13314" width="6.25" style="2973" customWidth="1"/>
    <col min="13315" max="13315" width="7.875" style="2973" customWidth="1"/>
    <col min="13316" max="13316" width="19.5" style="2973" customWidth="1"/>
    <col min="13317" max="13317" width="4.625" style="2973" customWidth="1"/>
    <col min="13318" max="13318" width="34.375" style="2973" customWidth="1"/>
    <col min="13319" max="13319" width="9.25" style="2973" customWidth="1"/>
    <col min="13320" max="13321" width="13.875" style="2973" customWidth="1"/>
    <col min="13322" max="13322" width="11.75" style="2973" customWidth="1"/>
    <col min="13323" max="13326" width="7.875" style="2973" customWidth="1"/>
    <col min="13327" max="13327" width="11.25" style="2973" customWidth="1"/>
    <col min="13328" max="13328" width="7.875" style="2973" customWidth="1"/>
    <col min="13329" max="13329" width="9.625" style="2973" customWidth="1"/>
    <col min="13330" max="13331" width="15.5" style="2973" customWidth="1"/>
    <col min="13332" max="13332" width="12.875" style="2973" customWidth="1"/>
    <col min="13333" max="13334" width="11.25" style="2973" customWidth="1"/>
    <col min="13335" max="13335" width="17.875" style="2973" customWidth="1"/>
    <col min="13336" max="13336" width="7.875" style="2973" customWidth="1"/>
    <col min="13337" max="13340" width="9" style="2973" customWidth="1"/>
    <col min="13341" max="13341" width="18.75" style="2973" customWidth="1"/>
    <col min="13342" max="13342" width="7.875" style="2973" customWidth="1"/>
    <col min="13343" max="13343" width="24.5" style="2973" customWidth="1"/>
    <col min="13344" max="13344" width="7.875" style="2973" customWidth="1"/>
    <col min="13345" max="13347" width="10.625" style="2973" customWidth="1"/>
    <col min="13348" max="13349" width="16" style="2973" customWidth="1"/>
    <col min="13350" max="13351" width="14.375" style="2973" customWidth="1"/>
    <col min="13352" max="13353" width="21.875" style="2973" customWidth="1"/>
    <col min="13354" max="13354" width="6.25" style="2973" customWidth="1"/>
    <col min="13355" max="13355" width="7.875" style="2973" customWidth="1"/>
    <col min="13356" max="13356" width="16.875" style="2973" customWidth="1"/>
    <col min="13357" max="13358" width="20.125" style="2973" customWidth="1"/>
    <col min="13359" max="13359" width="7.875" style="2973" customWidth="1"/>
    <col min="13360" max="13568" width="9" style="2973"/>
    <col min="13569" max="13569" width="34.375" style="2973" customWidth="1"/>
    <col min="13570" max="13570" width="6.25" style="2973" customWidth="1"/>
    <col min="13571" max="13571" width="7.875" style="2973" customWidth="1"/>
    <col min="13572" max="13572" width="19.5" style="2973" customWidth="1"/>
    <col min="13573" max="13573" width="4.625" style="2973" customWidth="1"/>
    <col min="13574" max="13574" width="34.375" style="2973" customWidth="1"/>
    <col min="13575" max="13575" width="9.25" style="2973" customWidth="1"/>
    <col min="13576" max="13577" width="13.875" style="2973" customWidth="1"/>
    <col min="13578" max="13578" width="11.75" style="2973" customWidth="1"/>
    <col min="13579" max="13582" width="7.875" style="2973" customWidth="1"/>
    <col min="13583" max="13583" width="11.25" style="2973" customWidth="1"/>
    <col min="13584" max="13584" width="7.875" style="2973" customWidth="1"/>
    <col min="13585" max="13585" width="9.625" style="2973" customWidth="1"/>
    <col min="13586" max="13587" width="15.5" style="2973" customWidth="1"/>
    <col min="13588" max="13588" width="12.875" style="2973" customWidth="1"/>
    <col min="13589" max="13590" width="11.25" style="2973" customWidth="1"/>
    <col min="13591" max="13591" width="17.875" style="2973" customWidth="1"/>
    <col min="13592" max="13592" width="7.875" style="2973" customWidth="1"/>
    <col min="13593" max="13596" width="9" style="2973" customWidth="1"/>
    <col min="13597" max="13597" width="18.75" style="2973" customWidth="1"/>
    <col min="13598" max="13598" width="7.875" style="2973" customWidth="1"/>
    <col min="13599" max="13599" width="24.5" style="2973" customWidth="1"/>
    <col min="13600" max="13600" width="7.875" style="2973" customWidth="1"/>
    <col min="13601" max="13603" width="10.625" style="2973" customWidth="1"/>
    <col min="13604" max="13605" width="16" style="2973" customWidth="1"/>
    <col min="13606" max="13607" width="14.375" style="2973" customWidth="1"/>
    <col min="13608" max="13609" width="21.875" style="2973" customWidth="1"/>
    <col min="13610" max="13610" width="6.25" style="2973" customWidth="1"/>
    <col min="13611" max="13611" width="7.875" style="2973" customWidth="1"/>
    <col min="13612" max="13612" width="16.875" style="2973" customWidth="1"/>
    <col min="13613" max="13614" width="20.125" style="2973" customWidth="1"/>
    <col min="13615" max="13615" width="7.875" style="2973" customWidth="1"/>
    <col min="13616" max="13824" width="9" style="2973"/>
    <col min="13825" max="13825" width="34.375" style="2973" customWidth="1"/>
    <col min="13826" max="13826" width="6.25" style="2973" customWidth="1"/>
    <col min="13827" max="13827" width="7.875" style="2973" customWidth="1"/>
    <col min="13828" max="13828" width="19.5" style="2973" customWidth="1"/>
    <col min="13829" max="13829" width="4.625" style="2973" customWidth="1"/>
    <col min="13830" max="13830" width="34.375" style="2973" customWidth="1"/>
    <col min="13831" max="13831" width="9.25" style="2973" customWidth="1"/>
    <col min="13832" max="13833" width="13.875" style="2973" customWidth="1"/>
    <col min="13834" max="13834" width="11.75" style="2973" customWidth="1"/>
    <col min="13835" max="13838" width="7.875" style="2973" customWidth="1"/>
    <col min="13839" max="13839" width="11.25" style="2973" customWidth="1"/>
    <col min="13840" max="13840" width="7.875" style="2973" customWidth="1"/>
    <col min="13841" max="13841" width="9.625" style="2973" customWidth="1"/>
    <col min="13842" max="13843" width="15.5" style="2973" customWidth="1"/>
    <col min="13844" max="13844" width="12.875" style="2973" customWidth="1"/>
    <col min="13845" max="13846" width="11.25" style="2973" customWidth="1"/>
    <col min="13847" max="13847" width="17.875" style="2973" customWidth="1"/>
    <col min="13848" max="13848" width="7.875" style="2973" customWidth="1"/>
    <col min="13849" max="13852" width="9" style="2973" customWidth="1"/>
    <col min="13853" max="13853" width="18.75" style="2973" customWidth="1"/>
    <col min="13854" max="13854" width="7.875" style="2973" customWidth="1"/>
    <col min="13855" max="13855" width="24.5" style="2973" customWidth="1"/>
    <col min="13856" max="13856" width="7.875" style="2973" customWidth="1"/>
    <col min="13857" max="13859" width="10.625" style="2973" customWidth="1"/>
    <col min="13860" max="13861" width="16" style="2973" customWidth="1"/>
    <col min="13862" max="13863" width="14.375" style="2973" customWidth="1"/>
    <col min="13864" max="13865" width="21.875" style="2973" customWidth="1"/>
    <col min="13866" max="13866" width="6.25" style="2973" customWidth="1"/>
    <col min="13867" max="13867" width="7.875" style="2973" customWidth="1"/>
    <col min="13868" max="13868" width="16.875" style="2973" customWidth="1"/>
    <col min="13869" max="13870" width="20.125" style="2973" customWidth="1"/>
    <col min="13871" max="13871" width="7.875" style="2973" customWidth="1"/>
    <col min="13872" max="14080" width="9" style="2973"/>
    <col min="14081" max="14081" width="34.375" style="2973" customWidth="1"/>
    <col min="14082" max="14082" width="6.25" style="2973" customWidth="1"/>
    <col min="14083" max="14083" width="7.875" style="2973" customWidth="1"/>
    <col min="14084" max="14084" width="19.5" style="2973" customWidth="1"/>
    <col min="14085" max="14085" width="4.625" style="2973" customWidth="1"/>
    <col min="14086" max="14086" width="34.375" style="2973" customWidth="1"/>
    <col min="14087" max="14087" width="9.25" style="2973" customWidth="1"/>
    <col min="14088" max="14089" width="13.875" style="2973" customWidth="1"/>
    <col min="14090" max="14090" width="11.75" style="2973" customWidth="1"/>
    <col min="14091" max="14094" width="7.875" style="2973" customWidth="1"/>
    <col min="14095" max="14095" width="11.25" style="2973" customWidth="1"/>
    <col min="14096" max="14096" width="7.875" style="2973" customWidth="1"/>
    <col min="14097" max="14097" width="9.625" style="2973" customWidth="1"/>
    <col min="14098" max="14099" width="15.5" style="2973" customWidth="1"/>
    <col min="14100" max="14100" width="12.875" style="2973" customWidth="1"/>
    <col min="14101" max="14102" width="11.25" style="2973" customWidth="1"/>
    <col min="14103" max="14103" width="17.875" style="2973" customWidth="1"/>
    <col min="14104" max="14104" width="7.875" style="2973" customWidth="1"/>
    <col min="14105" max="14108" width="9" style="2973" customWidth="1"/>
    <col min="14109" max="14109" width="18.75" style="2973" customWidth="1"/>
    <col min="14110" max="14110" width="7.875" style="2973" customWidth="1"/>
    <col min="14111" max="14111" width="24.5" style="2973" customWidth="1"/>
    <col min="14112" max="14112" width="7.875" style="2973" customWidth="1"/>
    <col min="14113" max="14115" width="10.625" style="2973" customWidth="1"/>
    <col min="14116" max="14117" width="16" style="2973" customWidth="1"/>
    <col min="14118" max="14119" width="14.375" style="2973" customWidth="1"/>
    <col min="14120" max="14121" width="21.875" style="2973" customWidth="1"/>
    <col min="14122" max="14122" width="6.25" style="2973" customWidth="1"/>
    <col min="14123" max="14123" width="7.875" style="2973" customWidth="1"/>
    <col min="14124" max="14124" width="16.875" style="2973" customWidth="1"/>
    <col min="14125" max="14126" width="20.125" style="2973" customWidth="1"/>
    <col min="14127" max="14127" width="7.875" style="2973" customWidth="1"/>
    <col min="14128" max="14336" width="9" style="2973"/>
    <col min="14337" max="14337" width="34.375" style="2973" customWidth="1"/>
    <col min="14338" max="14338" width="6.25" style="2973" customWidth="1"/>
    <col min="14339" max="14339" width="7.875" style="2973" customWidth="1"/>
    <col min="14340" max="14340" width="19.5" style="2973" customWidth="1"/>
    <col min="14341" max="14341" width="4.625" style="2973" customWidth="1"/>
    <col min="14342" max="14342" width="34.375" style="2973" customWidth="1"/>
    <col min="14343" max="14343" width="9.25" style="2973" customWidth="1"/>
    <col min="14344" max="14345" width="13.875" style="2973" customWidth="1"/>
    <col min="14346" max="14346" width="11.75" style="2973" customWidth="1"/>
    <col min="14347" max="14350" width="7.875" style="2973" customWidth="1"/>
    <col min="14351" max="14351" width="11.25" style="2973" customWidth="1"/>
    <col min="14352" max="14352" width="7.875" style="2973" customWidth="1"/>
    <col min="14353" max="14353" width="9.625" style="2973" customWidth="1"/>
    <col min="14354" max="14355" width="15.5" style="2973" customWidth="1"/>
    <col min="14356" max="14356" width="12.875" style="2973" customWidth="1"/>
    <col min="14357" max="14358" width="11.25" style="2973" customWidth="1"/>
    <col min="14359" max="14359" width="17.875" style="2973" customWidth="1"/>
    <col min="14360" max="14360" width="7.875" style="2973" customWidth="1"/>
    <col min="14361" max="14364" width="9" style="2973" customWidth="1"/>
    <col min="14365" max="14365" width="18.75" style="2973" customWidth="1"/>
    <col min="14366" max="14366" width="7.875" style="2973" customWidth="1"/>
    <col min="14367" max="14367" width="24.5" style="2973" customWidth="1"/>
    <col min="14368" max="14368" width="7.875" style="2973" customWidth="1"/>
    <col min="14369" max="14371" width="10.625" style="2973" customWidth="1"/>
    <col min="14372" max="14373" width="16" style="2973" customWidth="1"/>
    <col min="14374" max="14375" width="14.375" style="2973" customWidth="1"/>
    <col min="14376" max="14377" width="21.875" style="2973" customWidth="1"/>
    <col min="14378" max="14378" width="6.25" style="2973" customWidth="1"/>
    <col min="14379" max="14379" width="7.875" style="2973" customWidth="1"/>
    <col min="14380" max="14380" width="16.875" style="2973" customWidth="1"/>
    <col min="14381" max="14382" width="20.125" style="2973" customWidth="1"/>
    <col min="14383" max="14383" width="7.875" style="2973" customWidth="1"/>
    <col min="14384" max="14592" width="9" style="2973"/>
    <col min="14593" max="14593" width="34.375" style="2973" customWidth="1"/>
    <col min="14594" max="14594" width="6.25" style="2973" customWidth="1"/>
    <col min="14595" max="14595" width="7.875" style="2973" customWidth="1"/>
    <col min="14596" max="14596" width="19.5" style="2973" customWidth="1"/>
    <col min="14597" max="14597" width="4.625" style="2973" customWidth="1"/>
    <col min="14598" max="14598" width="34.375" style="2973" customWidth="1"/>
    <col min="14599" max="14599" width="9.25" style="2973" customWidth="1"/>
    <col min="14600" max="14601" width="13.875" style="2973" customWidth="1"/>
    <col min="14602" max="14602" width="11.75" style="2973" customWidth="1"/>
    <col min="14603" max="14606" width="7.875" style="2973" customWidth="1"/>
    <col min="14607" max="14607" width="11.25" style="2973" customWidth="1"/>
    <col min="14608" max="14608" width="7.875" style="2973" customWidth="1"/>
    <col min="14609" max="14609" width="9.625" style="2973" customWidth="1"/>
    <col min="14610" max="14611" width="15.5" style="2973" customWidth="1"/>
    <col min="14612" max="14612" width="12.875" style="2973" customWidth="1"/>
    <col min="14613" max="14614" width="11.25" style="2973" customWidth="1"/>
    <col min="14615" max="14615" width="17.875" style="2973" customWidth="1"/>
    <col min="14616" max="14616" width="7.875" style="2973" customWidth="1"/>
    <col min="14617" max="14620" width="9" style="2973" customWidth="1"/>
    <col min="14621" max="14621" width="18.75" style="2973" customWidth="1"/>
    <col min="14622" max="14622" width="7.875" style="2973" customWidth="1"/>
    <col min="14623" max="14623" width="24.5" style="2973" customWidth="1"/>
    <col min="14624" max="14624" width="7.875" style="2973" customWidth="1"/>
    <col min="14625" max="14627" width="10.625" style="2973" customWidth="1"/>
    <col min="14628" max="14629" width="16" style="2973" customWidth="1"/>
    <col min="14630" max="14631" width="14.375" style="2973" customWidth="1"/>
    <col min="14632" max="14633" width="21.875" style="2973" customWidth="1"/>
    <col min="14634" max="14634" width="6.25" style="2973" customWidth="1"/>
    <col min="14635" max="14635" width="7.875" style="2973" customWidth="1"/>
    <col min="14636" max="14636" width="16.875" style="2973" customWidth="1"/>
    <col min="14637" max="14638" width="20.125" style="2973" customWidth="1"/>
    <col min="14639" max="14639" width="7.875" style="2973" customWidth="1"/>
    <col min="14640" max="14848" width="9" style="2973"/>
    <col min="14849" max="14849" width="34.375" style="2973" customWidth="1"/>
    <col min="14850" max="14850" width="6.25" style="2973" customWidth="1"/>
    <col min="14851" max="14851" width="7.875" style="2973" customWidth="1"/>
    <col min="14852" max="14852" width="19.5" style="2973" customWidth="1"/>
    <col min="14853" max="14853" width="4.625" style="2973" customWidth="1"/>
    <col min="14854" max="14854" width="34.375" style="2973" customWidth="1"/>
    <col min="14855" max="14855" width="9.25" style="2973" customWidth="1"/>
    <col min="14856" max="14857" width="13.875" style="2973" customWidth="1"/>
    <col min="14858" max="14858" width="11.75" style="2973" customWidth="1"/>
    <col min="14859" max="14862" width="7.875" style="2973" customWidth="1"/>
    <col min="14863" max="14863" width="11.25" style="2973" customWidth="1"/>
    <col min="14864" max="14864" width="7.875" style="2973" customWidth="1"/>
    <col min="14865" max="14865" width="9.625" style="2973" customWidth="1"/>
    <col min="14866" max="14867" width="15.5" style="2973" customWidth="1"/>
    <col min="14868" max="14868" width="12.875" style="2973" customWidth="1"/>
    <col min="14869" max="14870" width="11.25" style="2973" customWidth="1"/>
    <col min="14871" max="14871" width="17.875" style="2973" customWidth="1"/>
    <col min="14872" max="14872" width="7.875" style="2973" customWidth="1"/>
    <col min="14873" max="14876" width="9" style="2973" customWidth="1"/>
    <col min="14877" max="14877" width="18.75" style="2973" customWidth="1"/>
    <col min="14878" max="14878" width="7.875" style="2973" customWidth="1"/>
    <col min="14879" max="14879" width="24.5" style="2973" customWidth="1"/>
    <col min="14880" max="14880" width="7.875" style="2973" customWidth="1"/>
    <col min="14881" max="14883" width="10.625" style="2973" customWidth="1"/>
    <col min="14884" max="14885" width="16" style="2973" customWidth="1"/>
    <col min="14886" max="14887" width="14.375" style="2973" customWidth="1"/>
    <col min="14888" max="14889" width="21.875" style="2973" customWidth="1"/>
    <col min="14890" max="14890" width="6.25" style="2973" customWidth="1"/>
    <col min="14891" max="14891" width="7.875" style="2973" customWidth="1"/>
    <col min="14892" max="14892" width="16.875" style="2973" customWidth="1"/>
    <col min="14893" max="14894" width="20.125" style="2973" customWidth="1"/>
    <col min="14895" max="14895" width="7.875" style="2973" customWidth="1"/>
    <col min="14896" max="15104" width="9" style="2973"/>
    <col min="15105" max="15105" width="34.375" style="2973" customWidth="1"/>
    <col min="15106" max="15106" width="6.25" style="2973" customWidth="1"/>
    <col min="15107" max="15107" width="7.875" style="2973" customWidth="1"/>
    <col min="15108" max="15108" width="19.5" style="2973" customWidth="1"/>
    <col min="15109" max="15109" width="4.625" style="2973" customWidth="1"/>
    <col min="15110" max="15110" width="34.375" style="2973" customWidth="1"/>
    <col min="15111" max="15111" width="9.25" style="2973" customWidth="1"/>
    <col min="15112" max="15113" width="13.875" style="2973" customWidth="1"/>
    <col min="15114" max="15114" width="11.75" style="2973" customWidth="1"/>
    <col min="15115" max="15118" width="7.875" style="2973" customWidth="1"/>
    <col min="15119" max="15119" width="11.25" style="2973" customWidth="1"/>
    <col min="15120" max="15120" width="7.875" style="2973" customWidth="1"/>
    <col min="15121" max="15121" width="9.625" style="2973" customWidth="1"/>
    <col min="15122" max="15123" width="15.5" style="2973" customWidth="1"/>
    <col min="15124" max="15124" width="12.875" style="2973" customWidth="1"/>
    <col min="15125" max="15126" width="11.25" style="2973" customWidth="1"/>
    <col min="15127" max="15127" width="17.875" style="2973" customWidth="1"/>
    <col min="15128" max="15128" width="7.875" style="2973" customWidth="1"/>
    <col min="15129" max="15132" width="9" style="2973" customWidth="1"/>
    <col min="15133" max="15133" width="18.75" style="2973" customWidth="1"/>
    <col min="15134" max="15134" width="7.875" style="2973" customWidth="1"/>
    <col min="15135" max="15135" width="24.5" style="2973" customWidth="1"/>
    <col min="15136" max="15136" width="7.875" style="2973" customWidth="1"/>
    <col min="15137" max="15139" width="10.625" style="2973" customWidth="1"/>
    <col min="15140" max="15141" width="16" style="2973" customWidth="1"/>
    <col min="15142" max="15143" width="14.375" style="2973" customWidth="1"/>
    <col min="15144" max="15145" width="21.875" style="2973" customWidth="1"/>
    <col min="15146" max="15146" width="6.25" style="2973" customWidth="1"/>
    <col min="15147" max="15147" width="7.875" style="2973" customWidth="1"/>
    <col min="15148" max="15148" width="16.875" style="2973" customWidth="1"/>
    <col min="15149" max="15150" width="20.125" style="2973" customWidth="1"/>
    <col min="15151" max="15151" width="7.875" style="2973" customWidth="1"/>
    <col min="15152" max="15360" width="9" style="2973"/>
    <col min="15361" max="15361" width="34.375" style="2973" customWidth="1"/>
    <col min="15362" max="15362" width="6.25" style="2973" customWidth="1"/>
    <col min="15363" max="15363" width="7.875" style="2973" customWidth="1"/>
    <col min="15364" max="15364" width="19.5" style="2973" customWidth="1"/>
    <col min="15365" max="15365" width="4.625" style="2973" customWidth="1"/>
    <col min="15366" max="15366" width="34.375" style="2973" customWidth="1"/>
    <col min="15367" max="15367" width="9.25" style="2973" customWidth="1"/>
    <col min="15368" max="15369" width="13.875" style="2973" customWidth="1"/>
    <col min="15370" max="15370" width="11.75" style="2973" customWidth="1"/>
    <col min="15371" max="15374" width="7.875" style="2973" customWidth="1"/>
    <col min="15375" max="15375" width="11.25" style="2973" customWidth="1"/>
    <col min="15376" max="15376" width="7.875" style="2973" customWidth="1"/>
    <col min="15377" max="15377" width="9.625" style="2973" customWidth="1"/>
    <col min="15378" max="15379" width="15.5" style="2973" customWidth="1"/>
    <col min="15380" max="15380" width="12.875" style="2973" customWidth="1"/>
    <col min="15381" max="15382" width="11.25" style="2973" customWidth="1"/>
    <col min="15383" max="15383" width="17.875" style="2973" customWidth="1"/>
    <col min="15384" max="15384" width="7.875" style="2973" customWidth="1"/>
    <col min="15385" max="15388" width="9" style="2973" customWidth="1"/>
    <col min="15389" max="15389" width="18.75" style="2973" customWidth="1"/>
    <col min="15390" max="15390" width="7.875" style="2973" customWidth="1"/>
    <col min="15391" max="15391" width="24.5" style="2973" customWidth="1"/>
    <col min="15392" max="15392" width="7.875" style="2973" customWidth="1"/>
    <col min="15393" max="15395" width="10.625" style="2973" customWidth="1"/>
    <col min="15396" max="15397" width="16" style="2973" customWidth="1"/>
    <col min="15398" max="15399" width="14.375" style="2973" customWidth="1"/>
    <col min="15400" max="15401" width="21.875" style="2973" customWidth="1"/>
    <col min="15402" max="15402" width="6.25" style="2973" customWidth="1"/>
    <col min="15403" max="15403" width="7.875" style="2973" customWidth="1"/>
    <col min="15404" max="15404" width="16.875" style="2973" customWidth="1"/>
    <col min="15405" max="15406" width="20.125" style="2973" customWidth="1"/>
    <col min="15407" max="15407" width="7.875" style="2973" customWidth="1"/>
    <col min="15408" max="15616" width="9" style="2973"/>
    <col min="15617" max="15617" width="34.375" style="2973" customWidth="1"/>
    <col min="15618" max="15618" width="6.25" style="2973" customWidth="1"/>
    <col min="15619" max="15619" width="7.875" style="2973" customWidth="1"/>
    <col min="15620" max="15620" width="19.5" style="2973" customWidth="1"/>
    <col min="15621" max="15621" width="4.625" style="2973" customWidth="1"/>
    <col min="15622" max="15622" width="34.375" style="2973" customWidth="1"/>
    <col min="15623" max="15623" width="9.25" style="2973" customWidth="1"/>
    <col min="15624" max="15625" width="13.875" style="2973" customWidth="1"/>
    <col min="15626" max="15626" width="11.75" style="2973" customWidth="1"/>
    <col min="15627" max="15630" width="7.875" style="2973" customWidth="1"/>
    <col min="15631" max="15631" width="11.25" style="2973" customWidth="1"/>
    <col min="15632" max="15632" width="7.875" style="2973" customWidth="1"/>
    <col min="15633" max="15633" width="9.625" style="2973" customWidth="1"/>
    <col min="15634" max="15635" width="15.5" style="2973" customWidth="1"/>
    <col min="15636" max="15636" width="12.875" style="2973" customWidth="1"/>
    <col min="15637" max="15638" width="11.25" style="2973" customWidth="1"/>
    <col min="15639" max="15639" width="17.875" style="2973" customWidth="1"/>
    <col min="15640" max="15640" width="7.875" style="2973" customWidth="1"/>
    <col min="15641" max="15644" width="9" style="2973" customWidth="1"/>
    <col min="15645" max="15645" width="18.75" style="2973" customWidth="1"/>
    <col min="15646" max="15646" width="7.875" style="2973" customWidth="1"/>
    <col min="15647" max="15647" width="24.5" style="2973" customWidth="1"/>
    <col min="15648" max="15648" width="7.875" style="2973" customWidth="1"/>
    <col min="15649" max="15651" width="10.625" style="2973" customWidth="1"/>
    <col min="15652" max="15653" width="16" style="2973" customWidth="1"/>
    <col min="15654" max="15655" width="14.375" style="2973" customWidth="1"/>
    <col min="15656" max="15657" width="21.875" style="2973" customWidth="1"/>
    <col min="15658" max="15658" width="6.25" style="2973" customWidth="1"/>
    <col min="15659" max="15659" width="7.875" style="2973" customWidth="1"/>
    <col min="15660" max="15660" width="16.875" style="2973" customWidth="1"/>
    <col min="15661" max="15662" width="20.125" style="2973" customWidth="1"/>
    <col min="15663" max="15663" width="7.875" style="2973" customWidth="1"/>
    <col min="15664" max="15872" width="9" style="2973"/>
    <col min="15873" max="15873" width="34.375" style="2973" customWidth="1"/>
    <col min="15874" max="15874" width="6.25" style="2973" customWidth="1"/>
    <col min="15875" max="15875" width="7.875" style="2973" customWidth="1"/>
    <col min="15876" max="15876" width="19.5" style="2973" customWidth="1"/>
    <col min="15877" max="15877" width="4.625" style="2973" customWidth="1"/>
    <col min="15878" max="15878" width="34.375" style="2973" customWidth="1"/>
    <col min="15879" max="15879" width="9.25" style="2973" customWidth="1"/>
    <col min="15880" max="15881" width="13.875" style="2973" customWidth="1"/>
    <col min="15882" max="15882" width="11.75" style="2973" customWidth="1"/>
    <col min="15883" max="15886" width="7.875" style="2973" customWidth="1"/>
    <col min="15887" max="15887" width="11.25" style="2973" customWidth="1"/>
    <col min="15888" max="15888" width="7.875" style="2973" customWidth="1"/>
    <col min="15889" max="15889" width="9.625" style="2973" customWidth="1"/>
    <col min="15890" max="15891" width="15.5" style="2973" customWidth="1"/>
    <col min="15892" max="15892" width="12.875" style="2973" customWidth="1"/>
    <col min="15893" max="15894" width="11.25" style="2973" customWidth="1"/>
    <col min="15895" max="15895" width="17.875" style="2973" customWidth="1"/>
    <col min="15896" max="15896" width="7.875" style="2973" customWidth="1"/>
    <col min="15897" max="15900" width="9" style="2973" customWidth="1"/>
    <col min="15901" max="15901" width="18.75" style="2973" customWidth="1"/>
    <col min="15902" max="15902" width="7.875" style="2973" customWidth="1"/>
    <col min="15903" max="15903" width="24.5" style="2973" customWidth="1"/>
    <col min="15904" max="15904" width="7.875" style="2973" customWidth="1"/>
    <col min="15905" max="15907" width="10.625" style="2973" customWidth="1"/>
    <col min="15908" max="15909" width="16" style="2973" customWidth="1"/>
    <col min="15910" max="15911" width="14.375" style="2973" customWidth="1"/>
    <col min="15912" max="15913" width="21.875" style="2973" customWidth="1"/>
    <col min="15914" max="15914" width="6.25" style="2973" customWidth="1"/>
    <col min="15915" max="15915" width="7.875" style="2973" customWidth="1"/>
    <col min="15916" max="15916" width="16.875" style="2973" customWidth="1"/>
    <col min="15917" max="15918" width="20.125" style="2973" customWidth="1"/>
    <col min="15919" max="15919" width="7.875" style="2973" customWidth="1"/>
    <col min="15920" max="16128" width="9" style="2973"/>
    <col min="16129" max="16129" width="34.375" style="2973" customWidth="1"/>
    <col min="16130" max="16130" width="6.25" style="2973" customWidth="1"/>
    <col min="16131" max="16131" width="7.875" style="2973" customWidth="1"/>
    <col min="16132" max="16132" width="19.5" style="2973" customWidth="1"/>
    <col min="16133" max="16133" width="4.625" style="2973" customWidth="1"/>
    <col min="16134" max="16134" width="34.375" style="2973" customWidth="1"/>
    <col min="16135" max="16135" width="9.25" style="2973" customWidth="1"/>
    <col min="16136" max="16137" width="13.875" style="2973" customWidth="1"/>
    <col min="16138" max="16138" width="11.75" style="2973" customWidth="1"/>
    <col min="16139" max="16142" width="7.875" style="2973" customWidth="1"/>
    <col min="16143" max="16143" width="11.25" style="2973" customWidth="1"/>
    <col min="16144" max="16144" width="7.875" style="2973" customWidth="1"/>
    <col min="16145" max="16145" width="9.625" style="2973" customWidth="1"/>
    <col min="16146" max="16147" width="15.5" style="2973" customWidth="1"/>
    <col min="16148" max="16148" width="12.875" style="2973" customWidth="1"/>
    <col min="16149" max="16150" width="11.25" style="2973" customWidth="1"/>
    <col min="16151" max="16151" width="17.875" style="2973" customWidth="1"/>
    <col min="16152" max="16152" width="7.875" style="2973" customWidth="1"/>
    <col min="16153" max="16156" width="9" style="2973" customWidth="1"/>
    <col min="16157" max="16157" width="18.75" style="2973" customWidth="1"/>
    <col min="16158" max="16158" width="7.875" style="2973" customWidth="1"/>
    <col min="16159" max="16159" width="24.5" style="2973" customWidth="1"/>
    <col min="16160" max="16160" width="7.875" style="2973" customWidth="1"/>
    <col min="16161" max="16163" width="10.625" style="2973" customWidth="1"/>
    <col min="16164" max="16165" width="16" style="2973" customWidth="1"/>
    <col min="16166" max="16167" width="14.375" style="2973" customWidth="1"/>
    <col min="16168" max="16169" width="21.875" style="2973" customWidth="1"/>
    <col min="16170" max="16170" width="6.25" style="2973" customWidth="1"/>
    <col min="16171" max="16171" width="7.875" style="2973" customWidth="1"/>
    <col min="16172" max="16172" width="16.875" style="2973" customWidth="1"/>
    <col min="16173" max="16174" width="20.125" style="2973" customWidth="1"/>
    <col min="16175" max="16175" width="7.875" style="2973" customWidth="1"/>
    <col min="16176" max="16384" width="9" style="2973"/>
  </cols>
  <sheetData>
    <row r="1" spans="1:48">
      <c r="A1" s="2973" t="s">
        <v>2500</v>
      </c>
      <c r="B1" s="2973" t="s">
        <v>2501</v>
      </c>
      <c r="C1" s="2973" t="s">
        <v>2502</v>
      </c>
      <c r="D1" s="2973" t="s">
        <v>1773</v>
      </c>
      <c r="E1" s="2973" t="s">
        <v>2503</v>
      </c>
      <c r="F1" s="2973" t="s">
        <v>2504</v>
      </c>
      <c r="G1" s="2973" t="s">
        <v>2506</v>
      </c>
      <c r="H1" s="2973" t="s">
        <v>2508</v>
      </c>
      <c r="I1" s="2973" t="s">
        <v>2509</v>
      </c>
      <c r="J1" s="2973" t="s">
        <v>1911</v>
      </c>
      <c r="K1" s="2973" t="s">
        <v>2505</v>
      </c>
      <c r="L1" s="2973" t="s">
        <v>2507</v>
      </c>
      <c r="M1" s="2973" t="s">
        <v>2579</v>
      </c>
      <c r="N1" s="2973" t="s">
        <v>2510</v>
      </c>
      <c r="O1" s="2973" t="s">
        <v>2511</v>
      </c>
      <c r="P1" s="2973" t="s">
        <v>2512</v>
      </c>
      <c r="Q1" s="2973" t="s">
        <v>2513</v>
      </c>
      <c r="R1" s="2973" t="s">
        <v>2514</v>
      </c>
      <c r="S1" s="2973" t="s">
        <v>2515</v>
      </c>
      <c r="T1" s="2973" t="s">
        <v>2516</v>
      </c>
      <c r="U1" s="2973" t="s">
        <v>2517</v>
      </c>
      <c r="V1" s="2973" t="s">
        <v>2518</v>
      </c>
      <c r="W1" s="2973" t="s">
        <v>2519</v>
      </c>
      <c r="X1" s="2973" t="s">
        <v>2520</v>
      </c>
      <c r="Y1" s="2973" t="s">
        <v>2521</v>
      </c>
      <c r="Z1" s="2973" t="s">
        <v>2522</v>
      </c>
      <c r="AA1" s="2973" t="s">
        <v>2523</v>
      </c>
      <c r="AB1" s="2973" t="s">
        <v>2524</v>
      </c>
      <c r="AC1" s="2973" t="s">
        <v>2525</v>
      </c>
      <c r="AD1" s="2973" t="s">
        <v>2526</v>
      </c>
      <c r="AE1" s="2973" t="s">
        <v>2527</v>
      </c>
      <c r="AF1" s="2973" t="s">
        <v>2580</v>
      </c>
      <c r="AG1" s="2973" t="s">
        <v>2528</v>
      </c>
      <c r="AH1" s="2973" t="s">
        <v>2529</v>
      </c>
      <c r="AI1" s="2973" t="s">
        <v>2530</v>
      </c>
      <c r="AJ1" s="2973" t="s">
        <v>2531</v>
      </c>
      <c r="AK1" s="2973" t="s">
        <v>2532</v>
      </c>
      <c r="AL1" s="2973" t="s">
        <v>2533</v>
      </c>
      <c r="AM1" s="2973" t="s">
        <v>2534</v>
      </c>
      <c r="AN1" s="2973" t="s">
        <v>2535</v>
      </c>
      <c r="AO1" s="2973" t="s">
        <v>2536</v>
      </c>
      <c r="AP1" s="2973" t="s">
        <v>2548</v>
      </c>
      <c r="AQ1" s="2973" t="s">
        <v>2537</v>
      </c>
      <c r="AR1" s="2973" t="s">
        <v>2538</v>
      </c>
      <c r="AS1" s="2973" t="s">
        <v>2539</v>
      </c>
      <c r="AT1" s="2973" t="s">
        <v>2540</v>
      </c>
      <c r="AU1" s="2973" t="s">
        <v>2541</v>
      </c>
      <c r="AV1" s="2973" t="s">
        <v>2581</v>
      </c>
    </row>
    <row r="2" spans="1:48" s="2974" customFormat="1">
      <c r="A2" s="2974" t="s">
        <v>2582</v>
      </c>
      <c r="B2" s="2974" t="s">
        <v>2583</v>
      </c>
      <c r="C2" s="2974" t="s">
        <v>1756</v>
      </c>
      <c r="D2" s="2974" t="s">
        <v>2584</v>
      </c>
      <c r="E2" s="2974" t="s">
        <v>2491</v>
      </c>
      <c r="F2" s="2974" t="s">
        <v>2585</v>
      </c>
      <c r="G2" s="2974" t="s">
        <v>2586</v>
      </c>
      <c r="H2" s="2974">
        <v>18130</v>
      </c>
      <c r="I2" s="2974">
        <v>14504</v>
      </c>
      <c r="J2" s="2974" t="s">
        <v>2587</v>
      </c>
      <c r="K2" s="2974" t="s">
        <v>2542</v>
      </c>
      <c r="L2" s="2974" t="s">
        <v>1756</v>
      </c>
      <c r="M2" s="2974">
        <v>0</v>
      </c>
      <c r="N2" s="2974" t="s">
        <v>2491</v>
      </c>
      <c r="O2" s="2974" t="s">
        <v>2588</v>
      </c>
      <c r="P2" s="2974" t="s">
        <v>2491</v>
      </c>
      <c r="Q2" s="2974" t="s">
        <v>2491</v>
      </c>
      <c r="R2" s="2974" t="s">
        <v>2491</v>
      </c>
      <c r="S2" s="2974" t="s">
        <v>2491</v>
      </c>
      <c r="T2" s="2974" t="s">
        <v>2491</v>
      </c>
      <c r="U2" s="2974" t="s">
        <v>2491</v>
      </c>
      <c r="V2" s="2974" t="s">
        <v>2491</v>
      </c>
      <c r="W2" s="2974" t="s">
        <v>2491</v>
      </c>
      <c r="X2" s="2974" t="s">
        <v>2543</v>
      </c>
      <c r="Y2" s="2974" t="s">
        <v>2589</v>
      </c>
      <c r="Z2" s="2974" t="s">
        <v>2590</v>
      </c>
      <c r="AA2" s="2974" t="s">
        <v>2591</v>
      </c>
      <c r="AB2" s="2974" t="s">
        <v>2591</v>
      </c>
      <c r="AC2" s="2974" t="s">
        <v>2592</v>
      </c>
      <c r="AD2" s="2974" t="s">
        <v>2544</v>
      </c>
      <c r="AE2" s="2974" t="s">
        <v>2593</v>
      </c>
      <c r="AF2" s="2974" t="s">
        <v>2491</v>
      </c>
      <c r="AG2" s="2974">
        <v>400</v>
      </c>
      <c r="AH2" s="2974">
        <v>400</v>
      </c>
      <c r="AI2" s="2974">
        <v>400</v>
      </c>
      <c r="AJ2" s="2974">
        <v>14.71</v>
      </c>
      <c r="AK2" s="2974">
        <v>14.71</v>
      </c>
      <c r="AL2" s="2974">
        <v>275.77999999999997</v>
      </c>
      <c r="AM2" s="2974">
        <v>275.79000000000002</v>
      </c>
      <c r="AN2" s="2974" t="s">
        <v>2491</v>
      </c>
      <c r="AO2" s="2974" t="s">
        <v>2491</v>
      </c>
      <c r="AP2" s="2974">
        <v>0</v>
      </c>
      <c r="AQ2" s="2974" t="s">
        <v>2545</v>
      </c>
      <c r="AR2" s="2974" t="s">
        <v>2491</v>
      </c>
      <c r="AS2" s="2974" t="s">
        <v>2491</v>
      </c>
      <c r="AT2" s="2974" t="s">
        <v>2491</v>
      </c>
      <c r="AU2" s="2974" t="s">
        <v>2546</v>
      </c>
      <c r="AV2" s="2974">
        <f>ROUND(AI2/H2*10000,0)</f>
        <v>221</v>
      </c>
    </row>
    <row r="3" spans="1:48">
      <c r="A3" s="2973" t="s">
        <v>2582</v>
      </c>
      <c r="B3" s="2973" t="s">
        <v>2583</v>
      </c>
      <c r="C3" s="2973" t="s">
        <v>1756</v>
      </c>
      <c r="D3" s="2973" t="s">
        <v>2584</v>
      </c>
      <c r="E3" s="2973" t="s">
        <v>2491</v>
      </c>
      <c r="F3" s="2973" t="s">
        <v>2582</v>
      </c>
      <c r="G3" s="2973" t="s">
        <v>2594</v>
      </c>
      <c r="H3" s="2973">
        <v>100001</v>
      </c>
      <c r="I3" s="2973">
        <v>80000.800000000003</v>
      </c>
      <c r="J3" s="2973" t="s">
        <v>2587</v>
      </c>
      <c r="K3" s="2973" t="s">
        <v>2542</v>
      </c>
      <c r="L3" s="2973" t="s">
        <v>1756</v>
      </c>
      <c r="M3" s="2973">
        <v>0</v>
      </c>
      <c r="N3" s="2973" t="s">
        <v>2491</v>
      </c>
      <c r="O3" s="2973" t="s">
        <v>2588</v>
      </c>
      <c r="P3" s="2973" t="s">
        <v>2491</v>
      </c>
      <c r="Q3" s="2973" t="s">
        <v>2491</v>
      </c>
      <c r="R3" s="2973" t="s">
        <v>2491</v>
      </c>
      <c r="S3" s="2973" t="s">
        <v>2491</v>
      </c>
      <c r="T3" s="2973" t="s">
        <v>2491</v>
      </c>
      <c r="U3" s="2973" t="s">
        <v>2491</v>
      </c>
      <c r="V3" s="2973" t="s">
        <v>2491</v>
      </c>
      <c r="W3" s="2973" t="s">
        <v>2491</v>
      </c>
      <c r="X3" s="2973" t="s">
        <v>2543</v>
      </c>
      <c r="Y3" s="2973" t="s">
        <v>2589</v>
      </c>
      <c r="Z3" s="2973" t="s">
        <v>2590</v>
      </c>
      <c r="AA3" s="2973" t="s">
        <v>2591</v>
      </c>
      <c r="AB3" s="2973" t="s">
        <v>2591</v>
      </c>
      <c r="AC3" s="2973" t="s">
        <v>2592</v>
      </c>
      <c r="AD3" s="2973" t="s">
        <v>2544</v>
      </c>
      <c r="AE3" s="2973" t="s">
        <v>2595</v>
      </c>
      <c r="AF3" s="2973" t="s">
        <v>2491</v>
      </c>
      <c r="AG3" s="2973">
        <v>1100</v>
      </c>
      <c r="AH3" s="2973">
        <v>2196</v>
      </c>
      <c r="AI3" s="2973">
        <v>2196</v>
      </c>
      <c r="AJ3" s="2973">
        <v>14.64</v>
      </c>
      <c r="AK3" s="2973">
        <v>14.64</v>
      </c>
      <c r="AL3" s="2973">
        <v>274.49</v>
      </c>
      <c r="AM3" s="2973">
        <v>274.5</v>
      </c>
      <c r="AN3" s="2973" t="s">
        <v>2491</v>
      </c>
      <c r="AO3" s="2973" t="s">
        <v>2491</v>
      </c>
      <c r="AP3" s="2973">
        <v>0</v>
      </c>
      <c r="AQ3" s="2973" t="s">
        <v>2545</v>
      </c>
      <c r="AR3" s="2973" t="s">
        <v>2491</v>
      </c>
      <c r="AS3" s="2973" t="s">
        <v>2491</v>
      </c>
      <c r="AT3" s="2973" t="s">
        <v>2491</v>
      </c>
      <c r="AU3" s="2973" t="s">
        <v>2546</v>
      </c>
      <c r="AV3" s="2973">
        <f t="shared" ref="AV3:AV51" si="0">ROUND(AI3/H3*10000,0)</f>
        <v>220</v>
      </c>
    </row>
    <row r="4" spans="1:48">
      <c r="A4" s="2973" t="s">
        <v>2596</v>
      </c>
      <c r="B4" s="2973" t="s">
        <v>2583</v>
      </c>
      <c r="C4" s="2973" t="s">
        <v>1756</v>
      </c>
      <c r="D4" s="2973" t="s">
        <v>2584</v>
      </c>
      <c r="E4" s="2973" t="s">
        <v>2491</v>
      </c>
      <c r="F4" s="2973" t="s">
        <v>2596</v>
      </c>
      <c r="G4" s="2973" t="s">
        <v>2597</v>
      </c>
      <c r="H4" s="2973">
        <v>37549.01</v>
      </c>
      <c r="I4" s="2973">
        <v>37549.01</v>
      </c>
      <c r="J4" s="2973">
        <v>1</v>
      </c>
      <c r="K4" s="2973" t="s">
        <v>2542</v>
      </c>
      <c r="L4" s="2973" t="s">
        <v>1756</v>
      </c>
      <c r="M4" s="2973">
        <v>0</v>
      </c>
      <c r="N4" s="2973" t="s">
        <v>2491</v>
      </c>
      <c r="O4" s="2973">
        <v>45</v>
      </c>
      <c r="P4" s="2973" t="s">
        <v>2491</v>
      </c>
      <c r="Q4" s="2973" t="s">
        <v>2491</v>
      </c>
      <c r="R4" s="2973" t="s">
        <v>2491</v>
      </c>
      <c r="S4" s="2973" t="s">
        <v>2491</v>
      </c>
      <c r="T4" s="2973" t="s">
        <v>2491</v>
      </c>
      <c r="U4" s="2973" t="s">
        <v>2491</v>
      </c>
      <c r="V4" s="2973" t="s">
        <v>2491</v>
      </c>
      <c r="W4" s="2973" t="s">
        <v>2491</v>
      </c>
      <c r="X4" s="2973" t="s">
        <v>2543</v>
      </c>
      <c r="Y4" s="2973" t="s">
        <v>2598</v>
      </c>
      <c r="Z4" s="2973" t="s">
        <v>2599</v>
      </c>
      <c r="AA4" s="2973" t="s">
        <v>2600</v>
      </c>
      <c r="AB4" s="2973" t="s">
        <v>2600</v>
      </c>
      <c r="AC4" s="2973" t="s">
        <v>2601</v>
      </c>
      <c r="AD4" s="2973" t="s">
        <v>2544</v>
      </c>
      <c r="AE4" s="2973" t="s">
        <v>2602</v>
      </c>
      <c r="AF4" s="2973" t="s">
        <v>2491</v>
      </c>
      <c r="AG4" s="2973">
        <v>840</v>
      </c>
      <c r="AH4" s="2973">
        <v>840</v>
      </c>
      <c r="AI4" s="2973">
        <v>840</v>
      </c>
      <c r="AJ4" s="2973">
        <v>14.91</v>
      </c>
      <c r="AK4" s="2973">
        <v>14.91</v>
      </c>
      <c r="AL4" s="2973">
        <v>223.7</v>
      </c>
      <c r="AM4" s="2973">
        <v>223.71</v>
      </c>
      <c r="AN4" s="2973" t="s">
        <v>2491</v>
      </c>
      <c r="AO4" s="2973" t="s">
        <v>2491</v>
      </c>
      <c r="AP4" s="2973">
        <v>0</v>
      </c>
      <c r="AQ4" s="2973" t="s">
        <v>2545</v>
      </c>
      <c r="AR4" s="2973" t="s">
        <v>2491</v>
      </c>
      <c r="AS4" s="2973" t="s">
        <v>2491</v>
      </c>
      <c r="AT4" s="2973" t="s">
        <v>2491</v>
      </c>
      <c r="AU4" s="2973" t="s">
        <v>2546</v>
      </c>
      <c r="AV4" s="2973">
        <f t="shared" si="0"/>
        <v>224</v>
      </c>
    </row>
    <row r="5" spans="1:48" s="2974" customFormat="1">
      <c r="A5" s="2974" t="s">
        <v>2603</v>
      </c>
      <c r="B5" s="2974" t="s">
        <v>2583</v>
      </c>
      <c r="C5" s="2974" t="s">
        <v>1756</v>
      </c>
      <c r="D5" s="2974" t="s">
        <v>2584</v>
      </c>
      <c r="E5" s="2974" t="s">
        <v>2491</v>
      </c>
      <c r="F5" s="2974" t="s">
        <v>2603</v>
      </c>
      <c r="G5" s="2974" t="s">
        <v>2604</v>
      </c>
      <c r="H5" s="2974">
        <v>35628</v>
      </c>
      <c r="I5" s="2974">
        <v>28502.400000000001</v>
      </c>
      <c r="J5" s="2974" t="s">
        <v>2605</v>
      </c>
      <c r="K5" s="2974" t="s">
        <v>2542</v>
      </c>
      <c r="L5" s="2974" t="s">
        <v>1756</v>
      </c>
      <c r="M5" s="2974">
        <v>0</v>
      </c>
      <c r="N5" s="2974" t="s">
        <v>2491</v>
      </c>
      <c r="O5" s="2974" t="s">
        <v>2606</v>
      </c>
      <c r="P5" s="2974" t="s">
        <v>2491</v>
      </c>
      <c r="Q5" s="2974" t="s">
        <v>2491</v>
      </c>
      <c r="R5" s="2974" t="s">
        <v>2491</v>
      </c>
      <c r="S5" s="2974" t="s">
        <v>2491</v>
      </c>
      <c r="T5" s="2974" t="s">
        <v>2491</v>
      </c>
      <c r="U5" s="2974" t="s">
        <v>2491</v>
      </c>
      <c r="V5" s="2974" t="s">
        <v>2491</v>
      </c>
      <c r="W5" s="2974" t="s">
        <v>2491</v>
      </c>
      <c r="X5" s="2974" t="s">
        <v>2543</v>
      </c>
      <c r="Y5" s="2974" t="s">
        <v>2598</v>
      </c>
      <c r="Z5" s="2974" t="s">
        <v>2599</v>
      </c>
      <c r="AA5" s="2974" t="s">
        <v>2600</v>
      </c>
      <c r="AB5" s="2974" t="s">
        <v>2600</v>
      </c>
      <c r="AC5" s="2974" t="s">
        <v>2601</v>
      </c>
      <c r="AD5" s="2974" t="s">
        <v>2544</v>
      </c>
      <c r="AE5" s="2974" t="s">
        <v>2607</v>
      </c>
      <c r="AF5" s="2974" t="s">
        <v>2491</v>
      </c>
      <c r="AG5" s="2974">
        <v>784</v>
      </c>
      <c r="AH5" s="2974">
        <v>784</v>
      </c>
      <c r="AI5" s="2974">
        <v>784</v>
      </c>
      <c r="AJ5" s="2974">
        <v>14.67</v>
      </c>
      <c r="AK5" s="2974">
        <v>14.67</v>
      </c>
      <c r="AL5" s="2974">
        <v>275.06</v>
      </c>
      <c r="AM5" s="2974">
        <v>275.06</v>
      </c>
      <c r="AN5" s="2974" t="s">
        <v>2491</v>
      </c>
      <c r="AO5" s="2974" t="s">
        <v>2491</v>
      </c>
      <c r="AP5" s="2974">
        <v>0</v>
      </c>
      <c r="AQ5" s="2974" t="s">
        <v>2545</v>
      </c>
      <c r="AR5" s="2974" t="s">
        <v>2491</v>
      </c>
      <c r="AS5" s="2974" t="s">
        <v>2491</v>
      </c>
      <c r="AT5" s="2974" t="s">
        <v>2491</v>
      </c>
      <c r="AU5" s="2974" t="s">
        <v>2546</v>
      </c>
      <c r="AV5" s="2974">
        <f t="shared" si="0"/>
        <v>220</v>
      </c>
    </row>
    <row r="6" spans="1:48" s="2974" customFormat="1">
      <c r="A6" s="2974" t="s">
        <v>2608</v>
      </c>
      <c r="B6" s="2974" t="s">
        <v>2583</v>
      </c>
      <c r="C6" s="2974" t="s">
        <v>1756</v>
      </c>
      <c r="D6" s="2974" t="s">
        <v>2584</v>
      </c>
      <c r="E6" s="2974" t="s">
        <v>2491</v>
      </c>
      <c r="F6" s="2974" t="s">
        <v>2608</v>
      </c>
      <c r="G6" s="2974" t="s">
        <v>2609</v>
      </c>
      <c r="H6" s="2974">
        <v>33535</v>
      </c>
      <c r="I6" s="2974">
        <v>26828</v>
      </c>
      <c r="J6" s="2974" t="s">
        <v>2605</v>
      </c>
      <c r="K6" s="2974" t="s">
        <v>2542</v>
      </c>
      <c r="L6" s="2974" t="s">
        <v>1756</v>
      </c>
      <c r="M6" s="2974">
        <v>0</v>
      </c>
      <c r="N6" s="2974" t="s">
        <v>2491</v>
      </c>
      <c r="O6" s="2974" t="s">
        <v>2606</v>
      </c>
      <c r="P6" s="2974" t="s">
        <v>2491</v>
      </c>
      <c r="Q6" s="2974" t="s">
        <v>2491</v>
      </c>
      <c r="R6" s="2974" t="s">
        <v>2491</v>
      </c>
      <c r="S6" s="2974" t="s">
        <v>2491</v>
      </c>
      <c r="T6" s="2974" t="s">
        <v>2491</v>
      </c>
      <c r="U6" s="2974" t="s">
        <v>2491</v>
      </c>
      <c r="V6" s="2974" t="s">
        <v>2491</v>
      </c>
      <c r="W6" s="2974" t="s">
        <v>2491</v>
      </c>
      <c r="X6" s="2974" t="s">
        <v>2543</v>
      </c>
      <c r="Y6" s="2974" t="s">
        <v>2598</v>
      </c>
      <c r="Z6" s="2974" t="s">
        <v>2599</v>
      </c>
      <c r="AA6" s="2974" t="s">
        <v>2600</v>
      </c>
      <c r="AB6" s="2974" t="s">
        <v>2600</v>
      </c>
      <c r="AC6" s="2974" t="s">
        <v>2601</v>
      </c>
      <c r="AD6" s="2974" t="s">
        <v>2544</v>
      </c>
      <c r="AE6" s="2974" t="s">
        <v>2610</v>
      </c>
      <c r="AF6" s="2974" t="s">
        <v>2491</v>
      </c>
      <c r="AG6" s="2974">
        <v>738</v>
      </c>
      <c r="AH6" s="2974">
        <v>738</v>
      </c>
      <c r="AI6" s="2974">
        <v>738</v>
      </c>
      <c r="AJ6" s="2974">
        <v>14.67</v>
      </c>
      <c r="AK6" s="2974">
        <v>14.67</v>
      </c>
      <c r="AL6" s="2974">
        <v>275.08</v>
      </c>
      <c r="AM6" s="2974">
        <v>275.08</v>
      </c>
      <c r="AN6" s="2974" t="s">
        <v>2491</v>
      </c>
      <c r="AO6" s="2974" t="s">
        <v>2491</v>
      </c>
      <c r="AP6" s="2974">
        <v>0</v>
      </c>
      <c r="AQ6" s="2974" t="s">
        <v>2545</v>
      </c>
      <c r="AR6" s="2974" t="s">
        <v>2491</v>
      </c>
      <c r="AS6" s="2974" t="s">
        <v>2491</v>
      </c>
      <c r="AT6" s="2974" t="s">
        <v>2491</v>
      </c>
      <c r="AU6" s="2974" t="s">
        <v>2546</v>
      </c>
      <c r="AV6" s="2974">
        <f t="shared" si="0"/>
        <v>220</v>
      </c>
    </row>
    <row r="7" spans="1:48">
      <c r="A7" s="2973" t="s">
        <v>2611</v>
      </c>
      <c r="B7" s="2973" t="s">
        <v>2583</v>
      </c>
      <c r="C7" s="2973" t="s">
        <v>1756</v>
      </c>
      <c r="D7" s="2973" t="s">
        <v>2584</v>
      </c>
      <c r="E7" s="2973" t="s">
        <v>2491</v>
      </c>
      <c r="F7" s="2973" t="s">
        <v>2611</v>
      </c>
      <c r="G7" s="2973" t="s">
        <v>2612</v>
      </c>
      <c r="H7" s="2973">
        <v>27913</v>
      </c>
      <c r="I7" s="2973">
        <v>22330.400000000001</v>
      </c>
      <c r="J7" s="2973" t="s">
        <v>2605</v>
      </c>
      <c r="K7" s="2973" t="s">
        <v>2542</v>
      </c>
      <c r="L7" s="2973" t="s">
        <v>1756</v>
      </c>
      <c r="M7" s="2973">
        <v>0</v>
      </c>
      <c r="N7" s="2973" t="s">
        <v>2491</v>
      </c>
      <c r="O7" s="2973" t="s">
        <v>2606</v>
      </c>
      <c r="P7" s="2973" t="s">
        <v>2491</v>
      </c>
      <c r="Q7" s="2973" t="s">
        <v>2491</v>
      </c>
      <c r="R7" s="2973" t="s">
        <v>2491</v>
      </c>
      <c r="S7" s="2973" t="s">
        <v>2491</v>
      </c>
      <c r="T7" s="2973" t="s">
        <v>2491</v>
      </c>
      <c r="U7" s="2973" t="s">
        <v>2491</v>
      </c>
      <c r="V7" s="2973" t="s">
        <v>2491</v>
      </c>
      <c r="W7" s="2973" t="s">
        <v>2491</v>
      </c>
      <c r="X7" s="2973" t="s">
        <v>2543</v>
      </c>
      <c r="Y7" s="2973" t="s">
        <v>2598</v>
      </c>
      <c r="Z7" s="2973" t="s">
        <v>2599</v>
      </c>
      <c r="AA7" s="2973" t="s">
        <v>2600</v>
      </c>
      <c r="AB7" s="2973" t="s">
        <v>2600</v>
      </c>
      <c r="AC7" s="2973" t="s">
        <v>2601</v>
      </c>
      <c r="AD7" s="2973" t="s">
        <v>2544</v>
      </c>
      <c r="AE7" s="2973" t="s">
        <v>2613</v>
      </c>
      <c r="AF7" s="2973" t="s">
        <v>2491</v>
      </c>
      <c r="AG7" s="2973">
        <v>615</v>
      </c>
      <c r="AH7" s="2973">
        <v>615</v>
      </c>
      <c r="AI7" s="2973">
        <v>615</v>
      </c>
      <c r="AJ7" s="2973">
        <v>14.69</v>
      </c>
      <c r="AK7" s="2973">
        <v>14.69</v>
      </c>
      <c r="AL7" s="2973">
        <v>275.39999999999998</v>
      </c>
      <c r="AM7" s="2973">
        <v>275.41000000000003</v>
      </c>
      <c r="AN7" s="2973" t="s">
        <v>2491</v>
      </c>
      <c r="AO7" s="2973" t="s">
        <v>2491</v>
      </c>
      <c r="AP7" s="2973">
        <v>0</v>
      </c>
      <c r="AQ7" s="2973" t="s">
        <v>2545</v>
      </c>
      <c r="AR7" s="2973" t="s">
        <v>2491</v>
      </c>
      <c r="AS7" s="2973" t="s">
        <v>2491</v>
      </c>
      <c r="AT7" s="2973" t="s">
        <v>2491</v>
      </c>
      <c r="AU7" s="2973" t="s">
        <v>2546</v>
      </c>
      <c r="AV7" s="2973">
        <f t="shared" si="0"/>
        <v>220</v>
      </c>
    </row>
    <row r="8" spans="1:48">
      <c r="A8" s="2973" t="s">
        <v>2614</v>
      </c>
      <c r="B8" s="2973" t="s">
        <v>2583</v>
      </c>
      <c r="C8" s="2973" t="s">
        <v>1756</v>
      </c>
      <c r="D8" s="2973" t="s">
        <v>2584</v>
      </c>
      <c r="E8" s="2973" t="s">
        <v>2491</v>
      </c>
      <c r="F8" s="2973" t="s">
        <v>2614</v>
      </c>
      <c r="G8" s="2973" t="s">
        <v>2615</v>
      </c>
      <c r="H8" s="2973">
        <v>400</v>
      </c>
      <c r="I8" s="2973">
        <v>312</v>
      </c>
      <c r="J8" s="2973">
        <v>0.78</v>
      </c>
      <c r="K8" s="2973" t="s">
        <v>2542</v>
      </c>
      <c r="L8" s="2973" t="s">
        <v>1756</v>
      </c>
      <c r="M8" s="2973">
        <v>0</v>
      </c>
      <c r="N8" s="2973" t="s">
        <v>2491</v>
      </c>
      <c r="O8" s="2973">
        <v>50</v>
      </c>
      <c r="P8" s="2973" t="s">
        <v>2491</v>
      </c>
      <c r="Q8" s="2973" t="s">
        <v>2491</v>
      </c>
      <c r="R8" s="2973" t="s">
        <v>2491</v>
      </c>
      <c r="S8" s="2973" t="s">
        <v>2491</v>
      </c>
      <c r="T8" s="2973" t="s">
        <v>2491</v>
      </c>
      <c r="U8" s="2973" t="s">
        <v>2491</v>
      </c>
      <c r="V8" s="2973" t="s">
        <v>2491</v>
      </c>
      <c r="W8" s="2973" t="s">
        <v>2491</v>
      </c>
      <c r="X8" s="2973" t="s">
        <v>2543</v>
      </c>
      <c r="Y8" s="2973" t="s">
        <v>2598</v>
      </c>
      <c r="Z8" s="2973" t="s">
        <v>2599</v>
      </c>
      <c r="AA8" s="2973" t="s">
        <v>2600</v>
      </c>
      <c r="AB8" s="2973" t="s">
        <v>2600</v>
      </c>
      <c r="AC8" s="2973" t="s">
        <v>2601</v>
      </c>
      <c r="AD8" s="2973" t="s">
        <v>2544</v>
      </c>
      <c r="AE8" s="2973" t="s">
        <v>2616</v>
      </c>
      <c r="AF8" s="2973" t="s">
        <v>2491</v>
      </c>
      <c r="AG8" s="2973">
        <v>7</v>
      </c>
      <c r="AH8" s="2973">
        <v>7</v>
      </c>
      <c r="AI8" s="2973">
        <v>7</v>
      </c>
      <c r="AJ8" s="2973">
        <v>11.67</v>
      </c>
      <c r="AK8" s="2973">
        <v>11.67</v>
      </c>
      <c r="AL8" s="2973">
        <v>224.35</v>
      </c>
      <c r="AM8" s="2973">
        <v>224.36</v>
      </c>
      <c r="AN8" s="2973" t="s">
        <v>2491</v>
      </c>
      <c r="AO8" s="2973" t="s">
        <v>2491</v>
      </c>
      <c r="AP8" s="2973">
        <v>0</v>
      </c>
      <c r="AQ8" s="2973" t="s">
        <v>2545</v>
      </c>
      <c r="AR8" s="2973" t="s">
        <v>2491</v>
      </c>
      <c r="AS8" s="2973" t="s">
        <v>2491</v>
      </c>
      <c r="AT8" s="2973" t="s">
        <v>2491</v>
      </c>
      <c r="AU8" s="2973" t="s">
        <v>2546</v>
      </c>
      <c r="AV8" s="2973">
        <f t="shared" si="0"/>
        <v>175</v>
      </c>
    </row>
    <row r="9" spans="1:48">
      <c r="A9" s="2973" t="s">
        <v>2582</v>
      </c>
      <c r="B9" s="2973" t="s">
        <v>2583</v>
      </c>
      <c r="C9" s="2973" t="s">
        <v>1756</v>
      </c>
      <c r="D9" s="2973" t="s">
        <v>2584</v>
      </c>
      <c r="E9" s="2973" t="s">
        <v>2491</v>
      </c>
      <c r="F9" s="2973" t="s">
        <v>2582</v>
      </c>
      <c r="G9" s="2973" t="s">
        <v>2617</v>
      </c>
      <c r="H9" s="2973">
        <v>6849</v>
      </c>
      <c r="I9" s="2973">
        <v>5479.2</v>
      </c>
      <c r="J9" s="2973" t="s">
        <v>2587</v>
      </c>
      <c r="K9" s="2973" t="s">
        <v>2542</v>
      </c>
      <c r="L9" s="2973" t="s">
        <v>1756</v>
      </c>
      <c r="M9" s="2973">
        <v>0</v>
      </c>
      <c r="N9" s="2973" t="s">
        <v>2491</v>
      </c>
      <c r="O9" s="2973" t="s">
        <v>2588</v>
      </c>
      <c r="P9" s="2973" t="s">
        <v>2491</v>
      </c>
      <c r="Q9" s="2973" t="s">
        <v>2491</v>
      </c>
      <c r="R9" s="2973" t="s">
        <v>2491</v>
      </c>
      <c r="S9" s="2973" t="s">
        <v>2491</v>
      </c>
      <c r="T9" s="2973" t="s">
        <v>2491</v>
      </c>
      <c r="U9" s="2973" t="s">
        <v>2491</v>
      </c>
      <c r="V9" s="2973" t="s">
        <v>2491</v>
      </c>
      <c r="W9" s="2973" t="s">
        <v>2491</v>
      </c>
      <c r="X9" s="2973" t="s">
        <v>2551</v>
      </c>
      <c r="Y9" s="2973" t="s">
        <v>2618</v>
      </c>
      <c r="Z9" s="2973" t="s">
        <v>2619</v>
      </c>
      <c r="AA9" s="2973" t="s">
        <v>2620</v>
      </c>
      <c r="AB9" s="2973" t="s">
        <v>2620</v>
      </c>
      <c r="AC9" s="2973" t="s">
        <v>2621</v>
      </c>
      <c r="AD9" s="2973" t="s">
        <v>2544</v>
      </c>
      <c r="AE9" s="2973" t="s">
        <v>2622</v>
      </c>
      <c r="AF9" s="2973" t="s">
        <v>2491</v>
      </c>
      <c r="AG9" s="2973">
        <v>150</v>
      </c>
      <c r="AH9" s="2973">
        <v>150</v>
      </c>
      <c r="AI9" s="2973">
        <v>150</v>
      </c>
      <c r="AJ9" s="2973">
        <v>14.6</v>
      </c>
      <c r="AK9" s="2973">
        <v>14.6</v>
      </c>
      <c r="AL9" s="2973">
        <v>273.76</v>
      </c>
      <c r="AM9" s="2973">
        <v>273.75</v>
      </c>
      <c r="AN9" s="2973" t="s">
        <v>2491</v>
      </c>
      <c r="AO9" s="2973" t="s">
        <v>2491</v>
      </c>
      <c r="AP9" s="2973">
        <v>0</v>
      </c>
      <c r="AQ9" s="2973" t="s">
        <v>2545</v>
      </c>
      <c r="AR9" s="2973" t="s">
        <v>2491</v>
      </c>
      <c r="AS9" s="2973" t="s">
        <v>2491</v>
      </c>
      <c r="AT9" s="2973" t="s">
        <v>2491</v>
      </c>
      <c r="AU9" s="2973" t="s">
        <v>2546</v>
      </c>
      <c r="AV9" s="2973">
        <f t="shared" si="0"/>
        <v>219</v>
      </c>
    </row>
    <row r="10" spans="1:48">
      <c r="A10" s="2973" t="s">
        <v>2582</v>
      </c>
      <c r="B10" s="2973" t="s">
        <v>2583</v>
      </c>
      <c r="C10" s="2973" t="s">
        <v>1756</v>
      </c>
      <c r="D10" s="2973" t="s">
        <v>2584</v>
      </c>
      <c r="E10" s="2973" t="s">
        <v>2491</v>
      </c>
      <c r="F10" s="2973" t="s">
        <v>2582</v>
      </c>
      <c r="G10" s="2973" t="s">
        <v>2623</v>
      </c>
      <c r="H10" s="2973">
        <v>15805</v>
      </c>
      <c r="I10" s="2973">
        <v>12644</v>
      </c>
      <c r="J10" s="2973" t="s">
        <v>2587</v>
      </c>
      <c r="K10" s="2973" t="s">
        <v>2542</v>
      </c>
      <c r="L10" s="2973" t="s">
        <v>1756</v>
      </c>
      <c r="M10" s="2973">
        <v>0</v>
      </c>
      <c r="N10" s="2973" t="s">
        <v>2491</v>
      </c>
      <c r="O10" s="2973" t="s">
        <v>2588</v>
      </c>
      <c r="P10" s="2973" t="s">
        <v>2491</v>
      </c>
      <c r="Q10" s="2973" t="s">
        <v>2491</v>
      </c>
      <c r="R10" s="2973" t="s">
        <v>2491</v>
      </c>
      <c r="S10" s="2973" t="s">
        <v>2491</v>
      </c>
      <c r="T10" s="2973" t="s">
        <v>2491</v>
      </c>
      <c r="U10" s="2973" t="s">
        <v>2491</v>
      </c>
      <c r="V10" s="2973" t="s">
        <v>2491</v>
      </c>
      <c r="W10" s="2973" t="s">
        <v>2491</v>
      </c>
      <c r="X10" s="2973" t="s">
        <v>2551</v>
      </c>
      <c r="Y10" s="2973" t="s">
        <v>2618</v>
      </c>
      <c r="Z10" s="2973" t="s">
        <v>2619</v>
      </c>
      <c r="AA10" s="2973" t="s">
        <v>2620</v>
      </c>
      <c r="AB10" s="2973" t="s">
        <v>2620</v>
      </c>
      <c r="AC10" s="2973" t="s">
        <v>2621</v>
      </c>
      <c r="AD10" s="2973" t="s">
        <v>2544</v>
      </c>
      <c r="AE10" s="2973" t="s">
        <v>2624</v>
      </c>
      <c r="AF10" s="2973" t="s">
        <v>2491</v>
      </c>
      <c r="AG10" s="2973">
        <v>349</v>
      </c>
      <c r="AH10" s="2973">
        <v>349</v>
      </c>
      <c r="AI10" s="2973">
        <v>349</v>
      </c>
      <c r="AJ10" s="2973">
        <v>14.72</v>
      </c>
      <c r="AK10" s="2973">
        <v>14.72</v>
      </c>
      <c r="AL10" s="2973">
        <v>276.02</v>
      </c>
      <c r="AM10" s="2973">
        <v>276.01</v>
      </c>
      <c r="AN10" s="2973" t="s">
        <v>2491</v>
      </c>
      <c r="AO10" s="2973" t="s">
        <v>2491</v>
      </c>
      <c r="AP10" s="2973">
        <v>0</v>
      </c>
      <c r="AQ10" s="2973" t="s">
        <v>2545</v>
      </c>
      <c r="AR10" s="2973" t="s">
        <v>2491</v>
      </c>
      <c r="AS10" s="2973" t="s">
        <v>2491</v>
      </c>
      <c r="AT10" s="2973" t="s">
        <v>2491</v>
      </c>
      <c r="AU10" s="2973" t="s">
        <v>2546</v>
      </c>
      <c r="AV10" s="2973">
        <f t="shared" si="0"/>
        <v>221</v>
      </c>
    </row>
    <row r="11" spans="1:48">
      <c r="A11" s="2973" t="s">
        <v>2582</v>
      </c>
      <c r="B11" s="2973" t="s">
        <v>2583</v>
      </c>
      <c r="C11" s="2973" t="s">
        <v>1756</v>
      </c>
      <c r="D11" s="2973" t="s">
        <v>2584</v>
      </c>
      <c r="E11" s="2973" t="s">
        <v>2491</v>
      </c>
      <c r="F11" s="2973" t="s">
        <v>2582</v>
      </c>
      <c r="G11" s="2973" t="s">
        <v>2625</v>
      </c>
      <c r="H11" s="2973">
        <v>12001</v>
      </c>
      <c r="I11" s="2973">
        <v>9600.7999999999993</v>
      </c>
      <c r="J11" s="2973" t="s">
        <v>2626</v>
      </c>
      <c r="K11" s="2973" t="s">
        <v>2542</v>
      </c>
      <c r="L11" s="2973" t="s">
        <v>1756</v>
      </c>
      <c r="M11" s="2973">
        <v>0</v>
      </c>
      <c r="N11" s="2973" t="s">
        <v>2491</v>
      </c>
      <c r="O11" s="2973" t="s">
        <v>2627</v>
      </c>
      <c r="P11" s="2973" t="s">
        <v>2491</v>
      </c>
      <c r="Q11" s="2973" t="s">
        <v>2491</v>
      </c>
      <c r="R11" s="2973" t="s">
        <v>2491</v>
      </c>
      <c r="S11" s="2973" t="s">
        <v>2491</v>
      </c>
      <c r="T11" s="2973" t="s">
        <v>2491</v>
      </c>
      <c r="U11" s="2973" t="s">
        <v>2491</v>
      </c>
      <c r="V11" s="2973" t="s">
        <v>2491</v>
      </c>
      <c r="W11" s="2973" t="s">
        <v>2491</v>
      </c>
      <c r="X11" s="2973" t="s">
        <v>2551</v>
      </c>
      <c r="Y11" s="2973" t="s">
        <v>2618</v>
      </c>
      <c r="Z11" s="2973" t="s">
        <v>2619</v>
      </c>
      <c r="AA11" s="2973" t="s">
        <v>2620</v>
      </c>
      <c r="AB11" s="2973" t="s">
        <v>2620</v>
      </c>
      <c r="AC11" s="2973" t="s">
        <v>2621</v>
      </c>
      <c r="AD11" s="2973" t="s">
        <v>2544</v>
      </c>
      <c r="AE11" s="2973" t="s">
        <v>2628</v>
      </c>
      <c r="AF11" s="2973" t="s">
        <v>2491</v>
      </c>
      <c r="AG11" s="2973">
        <v>257</v>
      </c>
      <c r="AH11" s="2973">
        <v>257</v>
      </c>
      <c r="AI11" s="2973">
        <v>257</v>
      </c>
      <c r="AJ11" s="2973">
        <v>14.28</v>
      </c>
      <c r="AK11" s="2973">
        <v>14.28</v>
      </c>
      <c r="AL11" s="2973">
        <v>267.68</v>
      </c>
      <c r="AM11" s="2973">
        <v>267.68</v>
      </c>
      <c r="AN11" s="2973" t="s">
        <v>2491</v>
      </c>
      <c r="AO11" s="2973" t="s">
        <v>2491</v>
      </c>
      <c r="AP11" s="2973">
        <v>0</v>
      </c>
      <c r="AQ11" s="2973" t="s">
        <v>2545</v>
      </c>
      <c r="AR11" s="2973" t="s">
        <v>2491</v>
      </c>
      <c r="AS11" s="2973" t="s">
        <v>2491</v>
      </c>
      <c r="AT11" s="2973" t="s">
        <v>2491</v>
      </c>
      <c r="AU11" s="2973" t="s">
        <v>2546</v>
      </c>
      <c r="AV11" s="2973">
        <f t="shared" si="0"/>
        <v>214</v>
      </c>
    </row>
    <row r="12" spans="1:48">
      <c r="A12" s="2973" t="s">
        <v>2629</v>
      </c>
      <c r="B12" s="2973" t="s">
        <v>2583</v>
      </c>
      <c r="C12" s="2973" t="s">
        <v>1756</v>
      </c>
      <c r="D12" s="2973" t="s">
        <v>2584</v>
      </c>
      <c r="E12" s="2973" t="s">
        <v>2491</v>
      </c>
      <c r="F12" s="2973" t="s">
        <v>2629</v>
      </c>
      <c r="G12" s="2973" t="s">
        <v>2630</v>
      </c>
      <c r="H12" s="2973">
        <v>3727</v>
      </c>
      <c r="I12" s="2973">
        <v>2981.6</v>
      </c>
      <c r="J12" s="2973" t="s">
        <v>2626</v>
      </c>
      <c r="K12" s="2973" t="s">
        <v>2542</v>
      </c>
      <c r="L12" s="2973" t="s">
        <v>1756</v>
      </c>
      <c r="M12" s="2973">
        <v>0</v>
      </c>
      <c r="N12" s="2973" t="s">
        <v>2491</v>
      </c>
      <c r="O12" s="2973" t="s">
        <v>2631</v>
      </c>
      <c r="P12" s="2973" t="s">
        <v>2491</v>
      </c>
      <c r="Q12" s="2973" t="s">
        <v>2491</v>
      </c>
      <c r="R12" s="2973" t="s">
        <v>2491</v>
      </c>
      <c r="S12" s="2973" t="s">
        <v>2491</v>
      </c>
      <c r="T12" s="2973" t="s">
        <v>2491</v>
      </c>
      <c r="U12" s="2973" t="s">
        <v>2491</v>
      </c>
      <c r="V12" s="2973" t="s">
        <v>2491</v>
      </c>
      <c r="W12" s="2973" t="s">
        <v>2491</v>
      </c>
      <c r="X12" s="2973" t="s">
        <v>2551</v>
      </c>
      <c r="Y12" s="2973" t="s">
        <v>2618</v>
      </c>
      <c r="Z12" s="2973" t="s">
        <v>2619</v>
      </c>
      <c r="AA12" s="2973" t="s">
        <v>2620</v>
      </c>
      <c r="AB12" s="2973" t="s">
        <v>2620</v>
      </c>
      <c r="AC12" s="2973" t="s">
        <v>2621</v>
      </c>
      <c r="AD12" s="2973" t="s">
        <v>2544</v>
      </c>
      <c r="AE12" s="2973" t="s">
        <v>2632</v>
      </c>
      <c r="AF12" s="2973" t="s">
        <v>2491</v>
      </c>
      <c r="AG12" s="2973">
        <v>85</v>
      </c>
      <c r="AH12" s="2973">
        <v>85</v>
      </c>
      <c r="AI12" s="2973">
        <v>85</v>
      </c>
      <c r="AJ12" s="2973">
        <v>15.2</v>
      </c>
      <c r="AK12" s="2973">
        <v>15.2</v>
      </c>
      <c r="AL12" s="2973">
        <v>285.08</v>
      </c>
      <c r="AM12" s="2973">
        <v>285.07</v>
      </c>
      <c r="AN12" s="2973" t="s">
        <v>2491</v>
      </c>
      <c r="AO12" s="2973" t="s">
        <v>2491</v>
      </c>
      <c r="AP12" s="2973">
        <v>0</v>
      </c>
      <c r="AQ12" s="2973" t="s">
        <v>2545</v>
      </c>
      <c r="AR12" s="2973" t="s">
        <v>2491</v>
      </c>
      <c r="AS12" s="2973" t="s">
        <v>2491</v>
      </c>
      <c r="AT12" s="2973" t="s">
        <v>2491</v>
      </c>
      <c r="AU12" s="2973" t="s">
        <v>2546</v>
      </c>
      <c r="AV12" s="2973">
        <f t="shared" si="0"/>
        <v>228</v>
      </c>
    </row>
    <row r="13" spans="1:48">
      <c r="A13" s="2973" t="s">
        <v>2633</v>
      </c>
      <c r="B13" s="2973" t="s">
        <v>2583</v>
      </c>
      <c r="C13" s="2973" t="s">
        <v>1756</v>
      </c>
      <c r="D13" s="2973" t="s">
        <v>2584</v>
      </c>
      <c r="E13" s="2973" t="s">
        <v>2491</v>
      </c>
      <c r="F13" s="2973" t="s">
        <v>2633</v>
      </c>
      <c r="G13" s="2973" t="s">
        <v>2634</v>
      </c>
      <c r="H13" s="2973">
        <v>203656.82</v>
      </c>
      <c r="I13" s="2973">
        <v>215876.23</v>
      </c>
      <c r="J13" s="2973" t="s">
        <v>2635</v>
      </c>
      <c r="K13" s="2973" t="s">
        <v>2542</v>
      </c>
      <c r="L13" s="2973" t="s">
        <v>1756</v>
      </c>
      <c r="M13" s="2973">
        <v>0</v>
      </c>
      <c r="N13" s="2973" t="s">
        <v>2491</v>
      </c>
      <c r="O13" s="2973" t="s">
        <v>2636</v>
      </c>
      <c r="P13" s="2973" t="s">
        <v>2491</v>
      </c>
      <c r="Q13" s="2973" t="s">
        <v>2491</v>
      </c>
      <c r="R13" s="2973" t="s">
        <v>2491</v>
      </c>
      <c r="S13" s="2973" t="s">
        <v>2491</v>
      </c>
      <c r="T13" s="2973" t="s">
        <v>2491</v>
      </c>
      <c r="U13" s="2973" t="s">
        <v>2491</v>
      </c>
      <c r="V13" s="2973" t="s">
        <v>2491</v>
      </c>
      <c r="W13" s="2973" t="s">
        <v>2491</v>
      </c>
      <c r="X13" s="2973" t="s">
        <v>2551</v>
      </c>
      <c r="Y13" s="2973" t="s">
        <v>2637</v>
      </c>
      <c r="Z13" s="2973" t="s">
        <v>2638</v>
      </c>
      <c r="AA13" s="2973" t="s">
        <v>2639</v>
      </c>
      <c r="AB13" s="2973" t="s">
        <v>2639</v>
      </c>
      <c r="AC13" s="2973" t="s">
        <v>2640</v>
      </c>
      <c r="AD13" s="2973" t="s">
        <v>2544</v>
      </c>
      <c r="AE13" s="2973" t="s">
        <v>2641</v>
      </c>
      <c r="AF13" s="2973" t="s">
        <v>2491</v>
      </c>
      <c r="AG13" s="2973">
        <v>1900</v>
      </c>
      <c r="AH13" s="2973">
        <v>3613</v>
      </c>
      <c r="AI13" s="2973">
        <v>3613</v>
      </c>
      <c r="AJ13" s="2973">
        <v>11.83</v>
      </c>
      <c r="AK13" s="2973">
        <v>11.83</v>
      </c>
      <c r="AL13" s="2973">
        <v>167.36</v>
      </c>
      <c r="AM13" s="2973">
        <v>167.36</v>
      </c>
      <c r="AN13" s="2973" t="s">
        <v>2491</v>
      </c>
      <c r="AO13" s="2973" t="s">
        <v>2491</v>
      </c>
      <c r="AP13" s="2973">
        <v>0</v>
      </c>
      <c r="AQ13" s="2973" t="s">
        <v>2545</v>
      </c>
      <c r="AR13" s="2973" t="s">
        <v>2491</v>
      </c>
      <c r="AS13" s="2973" t="s">
        <v>2491</v>
      </c>
      <c r="AT13" s="2973" t="s">
        <v>2491</v>
      </c>
      <c r="AU13" s="2973" t="s">
        <v>2546</v>
      </c>
      <c r="AV13" s="2973">
        <f t="shared" si="0"/>
        <v>177</v>
      </c>
    </row>
    <row r="14" spans="1:48">
      <c r="A14" s="2973" t="s">
        <v>2642</v>
      </c>
      <c r="B14" s="2973" t="s">
        <v>2583</v>
      </c>
      <c r="C14" s="2973" t="s">
        <v>1756</v>
      </c>
      <c r="D14" s="2973" t="s">
        <v>2584</v>
      </c>
      <c r="E14" s="2973" t="s">
        <v>2491</v>
      </c>
      <c r="F14" s="2973" t="s">
        <v>2642</v>
      </c>
      <c r="G14" s="2973" t="s">
        <v>2643</v>
      </c>
      <c r="H14" s="2973">
        <v>5120</v>
      </c>
      <c r="I14" s="2973">
        <v>3584</v>
      </c>
      <c r="J14" s="2973" t="s">
        <v>2550</v>
      </c>
      <c r="K14" s="2973" t="s">
        <v>2542</v>
      </c>
      <c r="L14" s="2973" t="s">
        <v>1756</v>
      </c>
      <c r="M14" s="2973">
        <v>0</v>
      </c>
      <c r="N14" s="2973" t="s">
        <v>2491</v>
      </c>
      <c r="O14" s="2973" t="s">
        <v>2547</v>
      </c>
      <c r="P14" s="2973" t="s">
        <v>2491</v>
      </c>
      <c r="Q14" s="2973" t="s">
        <v>2491</v>
      </c>
      <c r="R14" s="2973" t="s">
        <v>2491</v>
      </c>
      <c r="S14" s="2973" t="s">
        <v>2491</v>
      </c>
      <c r="T14" s="2973" t="s">
        <v>2491</v>
      </c>
      <c r="U14" s="2973" t="s">
        <v>2491</v>
      </c>
      <c r="V14" s="2973" t="s">
        <v>2491</v>
      </c>
      <c r="W14" s="2973" t="s">
        <v>2491</v>
      </c>
      <c r="X14" s="2973" t="s">
        <v>2551</v>
      </c>
      <c r="Y14" s="2973" t="s">
        <v>2644</v>
      </c>
      <c r="Z14" s="2973" t="s">
        <v>2645</v>
      </c>
      <c r="AA14" s="2973" t="s">
        <v>2646</v>
      </c>
      <c r="AB14" s="2973" t="s">
        <v>2646</v>
      </c>
      <c r="AC14" s="2973" t="s">
        <v>2647</v>
      </c>
      <c r="AD14" s="2973" t="s">
        <v>2544</v>
      </c>
      <c r="AE14" s="2973" t="s">
        <v>2648</v>
      </c>
      <c r="AF14" s="2973" t="s">
        <v>2491</v>
      </c>
      <c r="AG14" s="2973">
        <v>101</v>
      </c>
      <c r="AH14" s="2973">
        <v>101</v>
      </c>
      <c r="AI14" s="2973">
        <v>101</v>
      </c>
      <c r="AJ14" s="2973">
        <v>13.15</v>
      </c>
      <c r="AK14" s="2973">
        <v>13.15</v>
      </c>
      <c r="AL14" s="2973">
        <v>281.8</v>
      </c>
      <c r="AM14" s="2973">
        <v>281.81</v>
      </c>
      <c r="AN14" s="2973" t="s">
        <v>2491</v>
      </c>
      <c r="AO14" s="2973" t="s">
        <v>2491</v>
      </c>
      <c r="AP14" s="2973">
        <v>0</v>
      </c>
      <c r="AQ14" s="2973" t="s">
        <v>2545</v>
      </c>
      <c r="AR14" s="2973" t="s">
        <v>2491</v>
      </c>
      <c r="AS14" s="2973" t="s">
        <v>2491</v>
      </c>
      <c r="AT14" s="2973" t="s">
        <v>2491</v>
      </c>
      <c r="AU14" s="2973" t="s">
        <v>2546</v>
      </c>
      <c r="AV14" s="2973">
        <f t="shared" si="0"/>
        <v>197</v>
      </c>
    </row>
    <row r="15" spans="1:48">
      <c r="A15" s="2973" t="s">
        <v>2649</v>
      </c>
      <c r="B15" s="2973" t="s">
        <v>2583</v>
      </c>
      <c r="C15" s="2973" t="s">
        <v>1756</v>
      </c>
      <c r="D15" s="2973" t="s">
        <v>2584</v>
      </c>
      <c r="E15" s="2973" t="s">
        <v>2491</v>
      </c>
      <c r="F15" s="2973" t="s">
        <v>2649</v>
      </c>
      <c r="G15" s="2973" t="s">
        <v>2650</v>
      </c>
      <c r="H15" s="2973">
        <v>115091.86</v>
      </c>
      <c r="I15" s="2973">
        <v>115091.86</v>
      </c>
      <c r="J15" s="2973" t="s">
        <v>2549</v>
      </c>
      <c r="K15" s="2973" t="s">
        <v>2542</v>
      </c>
      <c r="L15" s="2973" t="s">
        <v>1756</v>
      </c>
      <c r="M15" s="2973">
        <v>0</v>
      </c>
      <c r="N15" s="2973" t="s">
        <v>2491</v>
      </c>
      <c r="O15" s="2973" t="s">
        <v>2547</v>
      </c>
      <c r="P15" s="2973" t="s">
        <v>2491</v>
      </c>
      <c r="Q15" s="2973" t="s">
        <v>2491</v>
      </c>
      <c r="R15" s="2973" t="s">
        <v>2491</v>
      </c>
      <c r="S15" s="2973" t="s">
        <v>2491</v>
      </c>
      <c r="T15" s="2973" t="s">
        <v>2491</v>
      </c>
      <c r="U15" s="2973" t="s">
        <v>2491</v>
      </c>
      <c r="V15" s="2973" t="s">
        <v>2491</v>
      </c>
      <c r="W15" s="2973" t="s">
        <v>2491</v>
      </c>
      <c r="X15" s="2973" t="s">
        <v>2551</v>
      </c>
      <c r="Y15" s="2973" t="s">
        <v>2644</v>
      </c>
      <c r="Z15" s="2973" t="s">
        <v>2645</v>
      </c>
      <c r="AA15" s="2973" t="s">
        <v>2646</v>
      </c>
      <c r="AB15" s="2973" t="s">
        <v>2646</v>
      </c>
      <c r="AC15" s="2973" t="s">
        <v>2647</v>
      </c>
      <c r="AD15" s="2973" t="s">
        <v>2544</v>
      </c>
      <c r="AE15" s="2973" t="s">
        <v>2651</v>
      </c>
      <c r="AF15" s="2973" t="s">
        <v>2491</v>
      </c>
      <c r="AG15" s="2973">
        <v>2177</v>
      </c>
      <c r="AH15" s="2973">
        <v>2177</v>
      </c>
      <c r="AI15" s="2973">
        <v>2177</v>
      </c>
      <c r="AJ15" s="2973">
        <v>12.61</v>
      </c>
      <c r="AK15" s="2973">
        <v>12.61</v>
      </c>
      <c r="AL15" s="2973">
        <v>189.15</v>
      </c>
      <c r="AM15" s="2973">
        <v>189.15</v>
      </c>
      <c r="AN15" s="2973" t="s">
        <v>2491</v>
      </c>
      <c r="AO15" s="2973" t="s">
        <v>2491</v>
      </c>
      <c r="AP15" s="2973">
        <v>0</v>
      </c>
      <c r="AQ15" s="2973" t="s">
        <v>2545</v>
      </c>
      <c r="AR15" s="2973" t="s">
        <v>2491</v>
      </c>
      <c r="AS15" s="2973" t="s">
        <v>2491</v>
      </c>
      <c r="AT15" s="2973" t="s">
        <v>2491</v>
      </c>
      <c r="AU15" s="2973" t="s">
        <v>2546</v>
      </c>
      <c r="AV15" s="2973">
        <f t="shared" si="0"/>
        <v>189</v>
      </c>
    </row>
    <row r="16" spans="1:48">
      <c r="A16" s="2973" t="s">
        <v>2652</v>
      </c>
      <c r="B16" s="2973" t="s">
        <v>2583</v>
      </c>
      <c r="C16" s="2973" t="s">
        <v>1756</v>
      </c>
      <c r="D16" s="2973" t="s">
        <v>2584</v>
      </c>
      <c r="E16" s="2973" t="s">
        <v>2491</v>
      </c>
      <c r="F16" s="2973" t="s">
        <v>2652</v>
      </c>
      <c r="G16" s="2973" t="s">
        <v>2653</v>
      </c>
      <c r="H16" s="2973">
        <v>19330</v>
      </c>
      <c r="I16" s="2973">
        <v>15464</v>
      </c>
      <c r="J16" s="2973" t="s">
        <v>2587</v>
      </c>
      <c r="K16" s="2973" t="s">
        <v>2542</v>
      </c>
      <c r="L16" s="2973" t="s">
        <v>1756</v>
      </c>
      <c r="M16" s="2973">
        <v>0</v>
      </c>
      <c r="N16" s="2973" t="s">
        <v>2491</v>
      </c>
      <c r="O16" s="2973" t="s">
        <v>2588</v>
      </c>
      <c r="P16" s="2973" t="s">
        <v>2491</v>
      </c>
      <c r="Q16" s="2973" t="s">
        <v>2491</v>
      </c>
      <c r="R16" s="2973" t="s">
        <v>2491</v>
      </c>
      <c r="S16" s="2973" t="s">
        <v>2491</v>
      </c>
      <c r="T16" s="2973" t="s">
        <v>2491</v>
      </c>
      <c r="U16" s="2973" t="s">
        <v>2491</v>
      </c>
      <c r="V16" s="2973" t="s">
        <v>2491</v>
      </c>
      <c r="W16" s="2973" t="s">
        <v>2491</v>
      </c>
      <c r="X16" s="2973" t="s">
        <v>2551</v>
      </c>
      <c r="Y16" s="2973" t="s">
        <v>2654</v>
      </c>
      <c r="Z16" s="2973" t="s">
        <v>2655</v>
      </c>
      <c r="AA16" s="2973" t="s">
        <v>2656</v>
      </c>
      <c r="AB16" s="2973" t="s">
        <v>2656</v>
      </c>
      <c r="AC16" s="2973" t="s">
        <v>2657</v>
      </c>
      <c r="AD16" s="2973" t="s">
        <v>2544</v>
      </c>
      <c r="AE16" s="2973" t="s">
        <v>2658</v>
      </c>
      <c r="AF16" s="2973" t="s">
        <v>2491</v>
      </c>
      <c r="AG16" s="2973">
        <v>357</v>
      </c>
      <c r="AH16" s="2973">
        <v>357</v>
      </c>
      <c r="AI16" s="2973">
        <v>357</v>
      </c>
      <c r="AJ16" s="2973">
        <v>12.31</v>
      </c>
      <c r="AK16" s="2973">
        <v>12.31</v>
      </c>
      <c r="AL16" s="2973">
        <v>230.85</v>
      </c>
      <c r="AM16" s="2973">
        <v>230.86</v>
      </c>
      <c r="AN16" s="2973" t="s">
        <v>2491</v>
      </c>
      <c r="AO16" s="2973" t="s">
        <v>2491</v>
      </c>
      <c r="AP16" s="2973">
        <v>0</v>
      </c>
      <c r="AQ16" s="2973" t="s">
        <v>2545</v>
      </c>
      <c r="AR16" s="2973" t="s">
        <v>2491</v>
      </c>
      <c r="AS16" s="2973" t="s">
        <v>2491</v>
      </c>
      <c r="AT16" s="2973" t="s">
        <v>2491</v>
      </c>
      <c r="AU16" s="2973" t="s">
        <v>2546</v>
      </c>
      <c r="AV16" s="2973">
        <f t="shared" si="0"/>
        <v>185</v>
      </c>
    </row>
    <row r="17" spans="1:48">
      <c r="A17" s="2973" t="s">
        <v>2629</v>
      </c>
      <c r="B17" s="2973" t="s">
        <v>2583</v>
      </c>
      <c r="C17" s="2973" t="s">
        <v>1756</v>
      </c>
      <c r="D17" s="2973" t="s">
        <v>2584</v>
      </c>
      <c r="E17" s="2973" t="s">
        <v>2491</v>
      </c>
      <c r="F17" s="2973" t="s">
        <v>2629</v>
      </c>
      <c r="G17" s="2973" t="s">
        <v>2659</v>
      </c>
      <c r="H17" s="2973">
        <v>4326</v>
      </c>
      <c r="I17" s="2973">
        <v>3460.8</v>
      </c>
      <c r="J17" s="2973" t="s">
        <v>2626</v>
      </c>
      <c r="K17" s="2973" t="s">
        <v>2542</v>
      </c>
      <c r="L17" s="2973" t="s">
        <v>1756</v>
      </c>
      <c r="M17" s="2973">
        <v>0</v>
      </c>
      <c r="N17" s="2973" t="s">
        <v>2491</v>
      </c>
      <c r="O17" s="2973" t="s">
        <v>2631</v>
      </c>
      <c r="P17" s="2973" t="s">
        <v>2491</v>
      </c>
      <c r="Q17" s="2973" t="s">
        <v>2491</v>
      </c>
      <c r="R17" s="2973" t="s">
        <v>2491</v>
      </c>
      <c r="S17" s="2973" t="s">
        <v>2491</v>
      </c>
      <c r="T17" s="2973" t="s">
        <v>2491</v>
      </c>
      <c r="U17" s="2973" t="s">
        <v>2491</v>
      </c>
      <c r="V17" s="2973" t="s">
        <v>2491</v>
      </c>
      <c r="W17" s="2973" t="s">
        <v>2491</v>
      </c>
      <c r="X17" s="2973" t="s">
        <v>2551</v>
      </c>
      <c r="Y17" s="2973" t="s">
        <v>2660</v>
      </c>
      <c r="Z17" s="2973" t="s">
        <v>2661</v>
      </c>
      <c r="AA17" s="2973" t="s">
        <v>2662</v>
      </c>
      <c r="AB17" s="2973" t="s">
        <v>2662</v>
      </c>
      <c r="AC17" s="2973" t="s">
        <v>2663</v>
      </c>
      <c r="AD17" s="2973" t="s">
        <v>2544</v>
      </c>
      <c r="AE17" s="2973" t="s">
        <v>2664</v>
      </c>
      <c r="AF17" s="2973" t="s">
        <v>2491</v>
      </c>
      <c r="AG17" s="2973">
        <v>97</v>
      </c>
      <c r="AH17" s="2973">
        <v>97</v>
      </c>
      <c r="AI17" s="2973">
        <v>97</v>
      </c>
      <c r="AJ17" s="2973">
        <v>14.95</v>
      </c>
      <c r="AK17" s="2973">
        <v>14.95</v>
      </c>
      <c r="AL17" s="2973">
        <v>280.27999999999997</v>
      </c>
      <c r="AM17" s="2973">
        <v>280.27</v>
      </c>
      <c r="AN17" s="2973" t="s">
        <v>2491</v>
      </c>
      <c r="AO17" s="2973" t="s">
        <v>2491</v>
      </c>
      <c r="AP17" s="2973">
        <v>0</v>
      </c>
      <c r="AQ17" s="2973" t="s">
        <v>2545</v>
      </c>
      <c r="AR17" s="2973" t="s">
        <v>2491</v>
      </c>
      <c r="AS17" s="2973" t="s">
        <v>2491</v>
      </c>
      <c r="AT17" s="2973" t="s">
        <v>2491</v>
      </c>
      <c r="AU17" s="2973" t="s">
        <v>2546</v>
      </c>
      <c r="AV17" s="2973">
        <f t="shared" si="0"/>
        <v>224</v>
      </c>
    </row>
    <row r="18" spans="1:48">
      <c r="A18" s="2973" t="s">
        <v>2665</v>
      </c>
      <c r="B18" s="2973" t="s">
        <v>2583</v>
      </c>
      <c r="C18" s="2973" t="s">
        <v>1756</v>
      </c>
      <c r="D18" s="2973" t="s">
        <v>2584</v>
      </c>
      <c r="E18" s="2973" t="s">
        <v>2491</v>
      </c>
      <c r="F18" s="2973" t="s">
        <v>2665</v>
      </c>
      <c r="G18" s="2973" t="s">
        <v>2666</v>
      </c>
      <c r="H18" s="2973">
        <v>4022</v>
      </c>
      <c r="I18" s="2973">
        <v>3217.6</v>
      </c>
      <c r="J18" s="2973" t="s">
        <v>2626</v>
      </c>
      <c r="K18" s="2973" t="s">
        <v>2542</v>
      </c>
      <c r="L18" s="2973" t="s">
        <v>1756</v>
      </c>
      <c r="M18" s="2973">
        <v>0</v>
      </c>
      <c r="N18" s="2973" t="s">
        <v>2491</v>
      </c>
      <c r="O18" s="2973" t="s">
        <v>2631</v>
      </c>
      <c r="P18" s="2973" t="s">
        <v>2491</v>
      </c>
      <c r="Q18" s="2973" t="s">
        <v>2491</v>
      </c>
      <c r="R18" s="2973" t="s">
        <v>2491</v>
      </c>
      <c r="S18" s="2973" t="s">
        <v>2491</v>
      </c>
      <c r="T18" s="2973" t="s">
        <v>2491</v>
      </c>
      <c r="U18" s="2973" t="s">
        <v>2491</v>
      </c>
      <c r="V18" s="2973" t="s">
        <v>2491</v>
      </c>
      <c r="W18" s="2973" t="s">
        <v>2491</v>
      </c>
      <c r="X18" s="2973" t="s">
        <v>2551</v>
      </c>
      <c r="Y18" s="2973" t="s">
        <v>2660</v>
      </c>
      <c r="Z18" s="2973" t="s">
        <v>2661</v>
      </c>
      <c r="AA18" s="2973" t="s">
        <v>2662</v>
      </c>
      <c r="AB18" s="2973" t="s">
        <v>2662</v>
      </c>
      <c r="AC18" s="2973" t="s">
        <v>2663</v>
      </c>
      <c r="AD18" s="2973" t="s">
        <v>2544</v>
      </c>
      <c r="AE18" s="2973" t="s">
        <v>2667</v>
      </c>
      <c r="AF18" s="2973" t="s">
        <v>2491</v>
      </c>
      <c r="AG18" s="2973">
        <v>85</v>
      </c>
      <c r="AH18" s="2973">
        <v>85</v>
      </c>
      <c r="AI18" s="2973">
        <v>85</v>
      </c>
      <c r="AJ18" s="2973">
        <v>14.09</v>
      </c>
      <c r="AK18" s="2973">
        <v>14.09</v>
      </c>
      <c r="AL18" s="2973">
        <v>264.17</v>
      </c>
      <c r="AM18" s="2973">
        <v>264.17</v>
      </c>
      <c r="AN18" s="2973" t="s">
        <v>2491</v>
      </c>
      <c r="AO18" s="2973" t="s">
        <v>2491</v>
      </c>
      <c r="AP18" s="2973">
        <v>0</v>
      </c>
      <c r="AQ18" s="2973" t="s">
        <v>2545</v>
      </c>
      <c r="AR18" s="2973" t="s">
        <v>2491</v>
      </c>
      <c r="AS18" s="2973" t="s">
        <v>2491</v>
      </c>
      <c r="AT18" s="2973" t="s">
        <v>2491</v>
      </c>
      <c r="AU18" s="2973" t="s">
        <v>2546</v>
      </c>
      <c r="AV18" s="2973">
        <f t="shared" si="0"/>
        <v>211</v>
      </c>
    </row>
    <row r="19" spans="1:48">
      <c r="A19" s="2973" t="s">
        <v>2665</v>
      </c>
      <c r="B19" s="2973" t="s">
        <v>2583</v>
      </c>
      <c r="C19" s="2973" t="s">
        <v>1756</v>
      </c>
      <c r="D19" s="2973" t="s">
        <v>2584</v>
      </c>
      <c r="E19" s="2973" t="s">
        <v>2491</v>
      </c>
      <c r="F19" s="2973" t="s">
        <v>2665</v>
      </c>
      <c r="G19" s="2973" t="s">
        <v>2666</v>
      </c>
      <c r="H19" s="2973">
        <v>4022</v>
      </c>
      <c r="I19" s="2973">
        <v>3217.6</v>
      </c>
      <c r="J19" s="2973" t="s">
        <v>2626</v>
      </c>
      <c r="K19" s="2973" t="s">
        <v>2542</v>
      </c>
      <c r="L19" s="2973" t="s">
        <v>1756</v>
      </c>
      <c r="M19" s="2973">
        <v>0</v>
      </c>
      <c r="N19" s="2973" t="s">
        <v>2491</v>
      </c>
      <c r="O19" s="2973" t="s">
        <v>2631</v>
      </c>
      <c r="P19" s="2973" t="s">
        <v>2491</v>
      </c>
      <c r="Q19" s="2973" t="s">
        <v>2491</v>
      </c>
      <c r="R19" s="2973" t="s">
        <v>2491</v>
      </c>
      <c r="S19" s="2973" t="s">
        <v>2491</v>
      </c>
      <c r="T19" s="2973" t="s">
        <v>2491</v>
      </c>
      <c r="U19" s="2973" t="s">
        <v>2491</v>
      </c>
      <c r="V19" s="2973" t="s">
        <v>2491</v>
      </c>
      <c r="W19" s="2973" t="s">
        <v>2491</v>
      </c>
      <c r="X19" s="2973" t="s">
        <v>2551</v>
      </c>
      <c r="Y19" s="2973" t="s">
        <v>2668</v>
      </c>
      <c r="Z19" s="2973" t="s">
        <v>2669</v>
      </c>
      <c r="AA19" s="2973" t="s">
        <v>2670</v>
      </c>
      <c r="AB19" s="2973" t="s">
        <v>2662</v>
      </c>
      <c r="AC19" s="2973" t="s">
        <v>2671</v>
      </c>
      <c r="AD19" s="2973" t="s">
        <v>2544</v>
      </c>
      <c r="AE19" s="2973" t="s">
        <v>2667</v>
      </c>
      <c r="AF19" s="2973" t="s">
        <v>2491</v>
      </c>
      <c r="AG19" s="2973">
        <v>43</v>
      </c>
      <c r="AH19" s="2973">
        <v>85</v>
      </c>
      <c r="AI19" s="2973">
        <v>85</v>
      </c>
      <c r="AJ19" s="2973">
        <v>14.09</v>
      </c>
      <c r="AK19" s="2973">
        <v>14.09</v>
      </c>
      <c r="AL19" s="2973">
        <v>264.17</v>
      </c>
      <c r="AM19" s="2973">
        <v>264.17</v>
      </c>
      <c r="AN19" s="2973" t="s">
        <v>2491</v>
      </c>
      <c r="AO19" s="2973" t="s">
        <v>2491</v>
      </c>
      <c r="AP19" s="2973">
        <v>0</v>
      </c>
      <c r="AQ19" s="2973" t="s">
        <v>2545</v>
      </c>
      <c r="AR19" s="2973" t="s">
        <v>2491</v>
      </c>
      <c r="AS19" s="2973" t="s">
        <v>2491</v>
      </c>
      <c r="AT19" s="2973" t="s">
        <v>2491</v>
      </c>
      <c r="AU19" s="2973" t="s">
        <v>2546</v>
      </c>
      <c r="AV19" s="2973">
        <f t="shared" si="0"/>
        <v>211</v>
      </c>
    </row>
    <row r="20" spans="1:48">
      <c r="A20" s="2973" t="s">
        <v>2672</v>
      </c>
      <c r="B20" s="2973" t="s">
        <v>2583</v>
      </c>
      <c r="C20" s="2973" t="s">
        <v>1756</v>
      </c>
      <c r="D20" s="2973" t="s">
        <v>2584</v>
      </c>
      <c r="E20" s="2973" t="s">
        <v>2491</v>
      </c>
      <c r="F20" s="2973" t="s">
        <v>2672</v>
      </c>
      <c r="G20" s="2973" t="s">
        <v>2673</v>
      </c>
      <c r="H20" s="2973">
        <v>6480</v>
      </c>
      <c r="I20" s="2973">
        <v>5184</v>
      </c>
      <c r="J20" s="2973" t="s">
        <v>2626</v>
      </c>
      <c r="K20" s="2973" t="s">
        <v>2542</v>
      </c>
      <c r="L20" s="2973" t="s">
        <v>1756</v>
      </c>
      <c r="M20" s="2973">
        <v>0</v>
      </c>
      <c r="N20" s="2973" t="s">
        <v>2491</v>
      </c>
      <c r="O20" s="2973" t="s">
        <v>2627</v>
      </c>
      <c r="P20" s="2973" t="s">
        <v>2491</v>
      </c>
      <c r="Q20" s="2973" t="s">
        <v>2491</v>
      </c>
      <c r="R20" s="2973" t="s">
        <v>2491</v>
      </c>
      <c r="S20" s="2973" t="s">
        <v>2491</v>
      </c>
      <c r="T20" s="2973" t="s">
        <v>2491</v>
      </c>
      <c r="U20" s="2973" t="s">
        <v>2491</v>
      </c>
      <c r="V20" s="2973" t="s">
        <v>2491</v>
      </c>
      <c r="W20" s="2973" t="s">
        <v>2491</v>
      </c>
      <c r="X20" s="2973" t="s">
        <v>2551</v>
      </c>
      <c r="Y20" s="2973" t="s">
        <v>2660</v>
      </c>
      <c r="Z20" s="2973" t="s">
        <v>2661</v>
      </c>
      <c r="AA20" s="2973" t="s">
        <v>2662</v>
      </c>
      <c r="AB20" s="2973" t="s">
        <v>2662</v>
      </c>
      <c r="AC20" s="2973" t="s">
        <v>2663</v>
      </c>
      <c r="AD20" s="2973" t="s">
        <v>2544</v>
      </c>
      <c r="AE20" s="2973" t="s">
        <v>2674</v>
      </c>
      <c r="AF20" s="2973" t="s">
        <v>2491</v>
      </c>
      <c r="AG20" s="2973">
        <v>140</v>
      </c>
      <c r="AH20" s="2973">
        <v>140</v>
      </c>
      <c r="AI20" s="2973">
        <v>140</v>
      </c>
      <c r="AJ20" s="2973">
        <v>14.4</v>
      </c>
      <c r="AK20" s="2973">
        <v>14.4</v>
      </c>
      <c r="AL20" s="2973">
        <v>270.06</v>
      </c>
      <c r="AM20" s="2973">
        <v>270.06</v>
      </c>
      <c r="AN20" s="2973" t="s">
        <v>2491</v>
      </c>
      <c r="AO20" s="2973" t="s">
        <v>2491</v>
      </c>
      <c r="AP20" s="2973">
        <v>0</v>
      </c>
      <c r="AQ20" s="2973" t="s">
        <v>2545</v>
      </c>
      <c r="AR20" s="2973" t="s">
        <v>2491</v>
      </c>
      <c r="AS20" s="2973" t="s">
        <v>2491</v>
      </c>
      <c r="AT20" s="2973" t="s">
        <v>2491</v>
      </c>
      <c r="AU20" s="2973" t="s">
        <v>2546</v>
      </c>
      <c r="AV20" s="2973">
        <f t="shared" si="0"/>
        <v>216</v>
      </c>
    </row>
    <row r="21" spans="1:48">
      <c r="A21" s="2973" t="s">
        <v>2582</v>
      </c>
      <c r="B21" s="2973" t="s">
        <v>2583</v>
      </c>
      <c r="C21" s="2973" t="s">
        <v>1756</v>
      </c>
      <c r="D21" s="2973" t="s">
        <v>2584</v>
      </c>
      <c r="E21" s="2973" t="s">
        <v>2491</v>
      </c>
      <c r="F21" s="2973" t="s">
        <v>2582</v>
      </c>
      <c r="G21" s="2973" t="s">
        <v>2675</v>
      </c>
      <c r="H21" s="2973">
        <v>15973</v>
      </c>
      <c r="I21" s="2973">
        <v>12778.4</v>
      </c>
      <c r="J21" s="2973" t="s">
        <v>2587</v>
      </c>
      <c r="K21" s="2973" t="s">
        <v>2542</v>
      </c>
      <c r="L21" s="2973" t="s">
        <v>1756</v>
      </c>
      <c r="M21" s="2973">
        <v>0</v>
      </c>
      <c r="N21" s="2973" t="s">
        <v>2491</v>
      </c>
      <c r="O21" s="2973" t="s">
        <v>2588</v>
      </c>
      <c r="P21" s="2973" t="s">
        <v>2491</v>
      </c>
      <c r="Q21" s="2973" t="s">
        <v>2491</v>
      </c>
      <c r="R21" s="2973" t="s">
        <v>2491</v>
      </c>
      <c r="S21" s="2973" t="s">
        <v>2491</v>
      </c>
      <c r="T21" s="2973" t="s">
        <v>2491</v>
      </c>
      <c r="U21" s="2973" t="s">
        <v>2491</v>
      </c>
      <c r="V21" s="2973" t="s">
        <v>2491</v>
      </c>
      <c r="W21" s="2973" t="s">
        <v>2491</v>
      </c>
      <c r="X21" s="2973" t="s">
        <v>2551</v>
      </c>
      <c r="Y21" s="2973" t="s">
        <v>2660</v>
      </c>
      <c r="Z21" s="2973" t="s">
        <v>2661</v>
      </c>
      <c r="AA21" s="2973" t="s">
        <v>2662</v>
      </c>
      <c r="AB21" s="2973" t="s">
        <v>2662</v>
      </c>
      <c r="AC21" s="2973" t="s">
        <v>2663</v>
      </c>
      <c r="AD21" s="2973" t="s">
        <v>2544</v>
      </c>
      <c r="AE21" s="2973" t="s">
        <v>2676</v>
      </c>
      <c r="AF21" s="2973" t="s">
        <v>2491</v>
      </c>
      <c r="AG21" s="2973">
        <v>352</v>
      </c>
      <c r="AH21" s="2973">
        <v>352</v>
      </c>
      <c r="AI21" s="2973">
        <v>352</v>
      </c>
      <c r="AJ21" s="2973">
        <v>14.69</v>
      </c>
      <c r="AK21" s="2973">
        <v>14.69</v>
      </c>
      <c r="AL21" s="2973">
        <v>275.45999999999998</v>
      </c>
      <c r="AM21" s="2973">
        <v>275.45</v>
      </c>
      <c r="AN21" s="2973" t="s">
        <v>2491</v>
      </c>
      <c r="AO21" s="2973" t="s">
        <v>2491</v>
      </c>
      <c r="AP21" s="2973">
        <v>0</v>
      </c>
      <c r="AQ21" s="2973" t="s">
        <v>2545</v>
      </c>
      <c r="AR21" s="2973" t="s">
        <v>2491</v>
      </c>
      <c r="AS21" s="2973" t="s">
        <v>2491</v>
      </c>
      <c r="AT21" s="2973" t="s">
        <v>2491</v>
      </c>
      <c r="AU21" s="2973" t="s">
        <v>2546</v>
      </c>
      <c r="AV21" s="2973">
        <f t="shared" si="0"/>
        <v>220</v>
      </c>
    </row>
    <row r="22" spans="1:48">
      <c r="A22" s="2973" t="s">
        <v>2677</v>
      </c>
      <c r="B22" s="2973" t="s">
        <v>2583</v>
      </c>
      <c r="C22" s="2973" t="s">
        <v>1756</v>
      </c>
      <c r="D22" s="2973" t="s">
        <v>2584</v>
      </c>
      <c r="E22" s="2973" t="s">
        <v>2491</v>
      </c>
      <c r="F22" s="2973" t="s">
        <v>2677</v>
      </c>
      <c r="G22" s="2973" t="s">
        <v>2673</v>
      </c>
      <c r="H22" s="2973">
        <v>6480</v>
      </c>
      <c r="I22" s="2973">
        <v>5184</v>
      </c>
      <c r="J22" s="2973" t="s">
        <v>2626</v>
      </c>
      <c r="K22" s="2973" t="s">
        <v>2542</v>
      </c>
      <c r="L22" s="2973" t="s">
        <v>1756</v>
      </c>
      <c r="M22" s="2973">
        <v>0</v>
      </c>
      <c r="N22" s="2973" t="s">
        <v>2491</v>
      </c>
      <c r="O22" s="2973" t="s">
        <v>2627</v>
      </c>
      <c r="P22" s="2973" t="s">
        <v>2491</v>
      </c>
      <c r="Q22" s="2973" t="s">
        <v>2491</v>
      </c>
      <c r="R22" s="2973" t="s">
        <v>2491</v>
      </c>
      <c r="S22" s="2973" t="s">
        <v>2491</v>
      </c>
      <c r="T22" s="2973" t="s">
        <v>2491</v>
      </c>
      <c r="U22" s="2973" t="s">
        <v>2491</v>
      </c>
      <c r="V22" s="2973" t="s">
        <v>2491</v>
      </c>
      <c r="W22" s="2973" t="s">
        <v>2491</v>
      </c>
      <c r="X22" s="2973" t="s">
        <v>2551</v>
      </c>
      <c r="Y22" s="2973" t="s">
        <v>2678</v>
      </c>
      <c r="Z22" s="2973" t="s">
        <v>2679</v>
      </c>
      <c r="AA22" s="2973" t="s">
        <v>2680</v>
      </c>
      <c r="AB22" s="2973" t="s">
        <v>2662</v>
      </c>
      <c r="AC22" s="2973" t="s">
        <v>2681</v>
      </c>
      <c r="AD22" s="2973" t="s">
        <v>2544</v>
      </c>
      <c r="AE22" s="2973" t="s">
        <v>2674</v>
      </c>
      <c r="AF22" s="2973" t="s">
        <v>2491</v>
      </c>
      <c r="AG22" s="2973">
        <v>70</v>
      </c>
      <c r="AH22" s="2973">
        <v>140</v>
      </c>
      <c r="AI22" s="2973">
        <v>140</v>
      </c>
      <c r="AJ22" s="2973">
        <v>14.4</v>
      </c>
      <c r="AK22" s="2973">
        <v>14.4</v>
      </c>
      <c r="AL22" s="2973">
        <v>270.06</v>
      </c>
      <c r="AM22" s="2973">
        <v>270.06</v>
      </c>
      <c r="AN22" s="2973" t="s">
        <v>2491</v>
      </c>
      <c r="AO22" s="2973" t="s">
        <v>2491</v>
      </c>
      <c r="AP22" s="2973">
        <v>0</v>
      </c>
      <c r="AQ22" s="2973" t="s">
        <v>2545</v>
      </c>
      <c r="AR22" s="2973" t="s">
        <v>2491</v>
      </c>
      <c r="AS22" s="2973" t="s">
        <v>2491</v>
      </c>
      <c r="AT22" s="2973" t="s">
        <v>2491</v>
      </c>
      <c r="AU22" s="2973" t="s">
        <v>2546</v>
      </c>
      <c r="AV22" s="2973">
        <f t="shared" si="0"/>
        <v>216</v>
      </c>
    </row>
    <row r="23" spans="1:48">
      <c r="A23" s="2973" t="s">
        <v>2629</v>
      </c>
      <c r="B23" s="2973" t="s">
        <v>2583</v>
      </c>
      <c r="C23" s="2973" t="s">
        <v>1756</v>
      </c>
      <c r="D23" s="2973" t="s">
        <v>2584</v>
      </c>
      <c r="E23" s="2973" t="s">
        <v>2491</v>
      </c>
      <c r="F23" s="2973" t="s">
        <v>2629</v>
      </c>
      <c r="G23" s="2973" t="s">
        <v>2682</v>
      </c>
      <c r="H23" s="2973">
        <v>3952</v>
      </c>
      <c r="I23" s="2973">
        <v>3161.6</v>
      </c>
      <c r="J23" s="2973" t="s">
        <v>2626</v>
      </c>
      <c r="K23" s="2973" t="s">
        <v>2542</v>
      </c>
      <c r="L23" s="2973" t="s">
        <v>1756</v>
      </c>
      <c r="M23" s="2973">
        <v>0</v>
      </c>
      <c r="N23" s="2973" t="s">
        <v>2491</v>
      </c>
      <c r="O23" s="2973" t="s">
        <v>2631</v>
      </c>
      <c r="P23" s="2973" t="s">
        <v>2491</v>
      </c>
      <c r="Q23" s="2973" t="s">
        <v>2491</v>
      </c>
      <c r="R23" s="2973" t="s">
        <v>2491</v>
      </c>
      <c r="S23" s="2973" t="s">
        <v>2491</v>
      </c>
      <c r="T23" s="2973" t="s">
        <v>2491</v>
      </c>
      <c r="U23" s="2973" t="s">
        <v>2491</v>
      </c>
      <c r="V23" s="2973" t="s">
        <v>2491</v>
      </c>
      <c r="W23" s="2973" t="s">
        <v>2491</v>
      </c>
      <c r="X23" s="2973" t="s">
        <v>2551</v>
      </c>
      <c r="Y23" s="2973" t="s">
        <v>2683</v>
      </c>
      <c r="Z23" s="2973" t="s">
        <v>2684</v>
      </c>
      <c r="AA23" s="2973" t="s">
        <v>2661</v>
      </c>
      <c r="AB23" s="2973" t="s">
        <v>2661</v>
      </c>
      <c r="AC23" s="2973" t="s">
        <v>2685</v>
      </c>
      <c r="AD23" s="2973" t="s">
        <v>2544</v>
      </c>
      <c r="AE23" s="2973" t="s">
        <v>2686</v>
      </c>
      <c r="AF23" s="2973" t="s">
        <v>2491</v>
      </c>
      <c r="AG23" s="2973">
        <v>90</v>
      </c>
      <c r="AH23" s="2973">
        <v>90</v>
      </c>
      <c r="AI23" s="2973">
        <v>90</v>
      </c>
      <c r="AJ23" s="2973">
        <v>15.18</v>
      </c>
      <c r="AK23" s="2973">
        <v>15.18</v>
      </c>
      <c r="AL23" s="2973">
        <v>284.66000000000003</v>
      </c>
      <c r="AM23" s="2973">
        <v>284.67</v>
      </c>
      <c r="AN23" s="2973" t="s">
        <v>2491</v>
      </c>
      <c r="AO23" s="2973" t="s">
        <v>2491</v>
      </c>
      <c r="AP23" s="2973">
        <v>0</v>
      </c>
      <c r="AQ23" s="2973" t="s">
        <v>2545</v>
      </c>
      <c r="AR23" s="2973" t="s">
        <v>2491</v>
      </c>
      <c r="AS23" s="2973" t="s">
        <v>2491</v>
      </c>
      <c r="AT23" s="2973" t="s">
        <v>2491</v>
      </c>
      <c r="AU23" s="2973" t="s">
        <v>2546</v>
      </c>
      <c r="AV23" s="2973">
        <f t="shared" si="0"/>
        <v>228</v>
      </c>
    </row>
    <row r="24" spans="1:48">
      <c r="A24" s="2973" t="s">
        <v>2582</v>
      </c>
      <c r="B24" s="2973" t="s">
        <v>2583</v>
      </c>
      <c r="C24" s="2973" t="s">
        <v>1756</v>
      </c>
      <c r="D24" s="2973" t="s">
        <v>2584</v>
      </c>
      <c r="E24" s="2973" t="s">
        <v>2491</v>
      </c>
      <c r="F24" s="2973" t="s">
        <v>2582</v>
      </c>
      <c r="G24" s="2973" t="s">
        <v>2687</v>
      </c>
      <c r="H24" s="2973">
        <v>26648</v>
      </c>
      <c r="I24" s="2973">
        <v>21318.400000000001</v>
      </c>
      <c r="J24" s="2973" t="s">
        <v>2587</v>
      </c>
      <c r="K24" s="2973" t="s">
        <v>2542</v>
      </c>
      <c r="L24" s="2973" t="s">
        <v>1756</v>
      </c>
      <c r="M24" s="2973">
        <v>0</v>
      </c>
      <c r="N24" s="2973" t="s">
        <v>2491</v>
      </c>
      <c r="O24" s="2973" t="s">
        <v>2588</v>
      </c>
      <c r="P24" s="2973" t="s">
        <v>2491</v>
      </c>
      <c r="Q24" s="2973" t="s">
        <v>2491</v>
      </c>
      <c r="R24" s="2973" t="s">
        <v>2491</v>
      </c>
      <c r="S24" s="2973" t="s">
        <v>2491</v>
      </c>
      <c r="T24" s="2973" t="s">
        <v>2491</v>
      </c>
      <c r="U24" s="2973" t="s">
        <v>2491</v>
      </c>
      <c r="V24" s="2973" t="s">
        <v>2491</v>
      </c>
      <c r="W24" s="2973" t="s">
        <v>2491</v>
      </c>
      <c r="X24" s="2973" t="s">
        <v>2551</v>
      </c>
      <c r="Y24" s="2973" t="s">
        <v>2688</v>
      </c>
      <c r="Z24" s="2973" t="s">
        <v>2689</v>
      </c>
      <c r="AA24" s="2973" t="s">
        <v>2690</v>
      </c>
      <c r="AB24" s="2973" t="s">
        <v>2690</v>
      </c>
      <c r="AC24" s="2973" t="s">
        <v>2691</v>
      </c>
      <c r="AD24" s="2973" t="s">
        <v>2544</v>
      </c>
      <c r="AE24" s="2973" t="s">
        <v>2692</v>
      </c>
      <c r="AF24" s="2973" t="s">
        <v>2491</v>
      </c>
      <c r="AG24" s="2973">
        <v>584</v>
      </c>
      <c r="AH24" s="2973">
        <v>584</v>
      </c>
      <c r="AI24" s="2973">
        <v>584</v>
      </c>
      <c r="AJ24" s="2973">
        <v>14.61</v>
      </c>
      <c r="AK24" s="2973">
        <v>14.61</v>
      </c>
      <c r="AL24" s="2973">
        <v>273.94</v>
      </c>
      <c r="AM24" s="2973">
        <v>273.93</v>
      </c>
      <c r="AN24" s="2973" t="s">
        <v>2491</v>
      </c>
      <c r="AO24" s="2973" t="s">
        <v>2491</v>
      </c>
      <c r="AP24" s="2973">
        <v>0</v>
      </c>
      <c r="AQ24" s="2973" t="s">
        <v>2545</v>
      </c>
      <c r="AR24" s="2973" t="s">
        <v>2491</v>
      </c>
      <c r="AS24" s="2973" t="s">
        <v>2491</v>
      </c>
      <c r="AT24" s="2973" t="s">
        <v>2491</v>
      </c>
      <c r="AU24" s="2973" t="s">
        <v>2546</v>
      </c>
      <c r="AV24" s="2973">
        <f t="shared" si="0"/>
        <v>219</v>
      </c>
    </row>
    <row r="25" spans="1:48">
      <c r="A25" s="2973" t="s">
        <v>2582</v>
      </c>
      <c r="B25" s="2973" t="s">
        <v>2583</v>
      </c>
      <c r="C25" s="2973" t="s">
        <v>1756</v>
      </c>
      <c r="D25" s="2973" t="s">
        <v>2584</v>
      </c>
      <c r="E25" s="2973" t="s">
        <v>2491</v>
      </c>
      <c r="F25" s="2973" t="s">
        <v>2582</v>
      </c>
      <c r="G25" s="2973" t="s">
        <v>2693</v>
      </c>
      <c r="H25" s="2973">
        <v>16000</v>
      </c>
      <c r="I25" s="2973">
        <v>12800</v>
      </c>
      <c r="J25" s="2973" t="s">
        <v>2587</v>
      </c>
      <c r="K25" s="2973" t="s">
        <v>2542</v>
      </c>
      <c r="L25" s="2973" t="s">
        <v>1756</v>
      </c>
      <c r="M25" s="2973">
        <v>0</v>
      </c>
      <c r="N25" s="2973" t="s">
        <v>2491</v>
      </c>
      <c r="O25" s="2973" t="s">
        <v>2588</v>
      </c>
      <c r="P25" s="2973" t="s">
        <v>2491</v>
      </c>
      <c r="Q25" s="2973" t="s">
        <v>2491</v>
      </c>
      <c r="R25" s="2973" t="s">
        <v>2491</v>
      </c>
      <c r="S25" s="2973" t="s">
        <v>2491</v>
      </c>
      <c r="T25" s="2973" t="s">
        <v>2491</v>
      </c>
      <c r="U25" s="2973" t="s">
        <v>2491</v>
      </c>
      <c r="V25" s="2973" t="s">
        <v>2491</v>
      </c>
      <c r="W25" s="2973" t="s">
        <v>2491</v>
      </c>
      <c r="X25" s="2973" t="s">
        <v>2551</v>
      </c>
      <c r="Y25" s="2973" t="s">
        <v>2688</v>
      </c>
      <c r="Z25" s="2973" t="s">
        <v>2689</v>
      </c>
      <c r="AA25" s="2973" t="s">
        <v>2690</v>
      </c>
      <c r="AB25" s="2973" t="s">
        <v>2690</v>
      </c>
      <c r="AC25" s="2973" t="s">
        <v>2691</v>
      </c>
      <c r="AD25" s="2973" t="s">
        <v>2544</v>
      </c>
      <c r="AE25" s="2973" t="s">
        <v>2694</v>
      </c>
      <c r="AF25" s="2973" t="s">
        <v>2491</v>
      </c>
      <c r="AG25" s="2973">
        <v>353</v>
      </c>
      <c r="AH25" s="2973">
        <v>353</v>
      </c>
      <c r="AI25" s="2973">
        <v>353</v>
      </c>
      <c r="AJ25" s="2973">
        <v>14.71</v>
      </c>
      <c r="AK25" s="2973">
        <v>14.71</v>
      </c>
      <c r="AL25" s="2973">
        <v>275.77999999999997</v>
      </c>
      <c r="AM25" s="2973">
        <v>275.77</v>
      </c>
      <c r="AN25" s="2973" t="s">
        <v>2491</v>
      </c>
      <c r="AO25" s="2973" t="s">
        <v>2491</v>
      </c>
      <c r="AP25" s="2973">
        <v>0</v>
      </c>
      <c r="AQ25" s="2973" t="s">
        <v>2545</v>
      </c>
      <c r="AR25" s="2973" t="s">
        <v>2491</v>
      </c>
      <c r="AS25" s="2973" t="s">
        <v>2491</v>
      </c>
      <c r="AT25" s="2973" t="s">
        <v>2491</v>
      </c>
      <c r="AU25" s="2973" t="s">
        <v>2546</v>
      </c>
      <c r="AV25" s="2973">
        <f t="shared" si="0"/>
        <v>221</v>
      </c>
    </row>
    <row r="26" spans="1:48">
      <c r="A26" s="2973" t="s">
        <v>2582</v>
      </c>
      <c r="B26" s="2973" t="s">
        <v>2583</v>
      </c>
      <c r="C26" s="2973" t="s">
        <v>1756</v>
      </c>
      <c r="D26" s="2973" t="s">
        <v>2584</v>
      </c>
      <c r="E26" s="2973" t="s">
        <v>2491</v>
      </c>
      <c r="F26" s="2973" t="s">
        <v>2582</v>
      </c>
      <c r="G26" s="2973" t="s">
        <v>2695</v>
      </c>
      <c r="H26" s="2973">
        <v>43720</v>
      </c>
      <c r="I26" s="2973">
        <v>34976</v>
      </c>
      <c r="J26" s="2973" t="s">
        <v>2587</v>
      </c>
      <c r="K26" s="2973" t="s">
        <v>2542</v>
      </c>
      <c r="L26" s="2973" t="s">
        <v>1756</v>
      </c>
      <c r="M26" s="2973">
        <v>0</v>
      </c>
      <c r="N26" s="2973" t="s">
        <v>2491</v>
      </c>
      <c r="O26" s="2973" t="s">
        <v>2588</v>
      </c>
      <c r="P26" s="2973" t="s">
        <v>2491</v>
      </c>
      <c r="Q26" s="2973" t="s">
        <v>2491</v>
      </c>
      <c r="R26" s="2973" t="s">
        <v>2491</v>
      </c>
      <c r="S26" s="2973" t="s">
        <v>2491</v>
      </c>
      <c r="T26" s="2973" t="s">
        <v>2491</v>
      </c>
      <c r="U26" s="2973" t="s">
        <v>2491</v>
      </c>
      <c r="V26" s="2973" t="s">
        <v>2491</v>
      </c>
      <c r="W26" s="2973" t="s">
        <v>2491</v>
      </c>
      <c r="X26" s="2973" t="s">
        <v>2551</v>
      </c>
      <c r="Y26" s="2973" t="s">
        <v>2688</v>
      </c>
      <c r="Z26" s="2973" t="s">
        <v>2689</v>
      </c>
      <c r="AA26" s="2973" t="s">
        <v>2690</v>
      </c>
      <c r="AB26" s="2973" t="s">
        <v>2690</v>
      </c>
      <c r="AC26" s="2973" t="s">
        <v>2691</v>
      </c>
      <c r="AD26" s="2973" t="s">
        <v>2544</v>
      </c>
      <c r="AE26" s="2973" t="s">
        <v>2696</v>
      </c>
      <c r="AF26" s="2973" t="s">
        <v>2491</v>
      </c>
      <c r="AG26" s="2973">
        <v>947</v>
      </c>
      <c r="AH26" s="2973">
        <v>947</v>
      </c>
      <c r="AI26" s="2973">
        <v>947</v>
      </c>
      <c r="AJ26" s="2973">
        <v>14.44</v>
      </c>
      <c r="AK26" s="2973">
        <v>14.44</v>
      </c>
      <c r="AL26" s="2973">
        <v>270.75</v>
      </c>
      <c r="AM26" s="2973">
        <v>270.75</v>
      </c>
      <c r="AN26" s="2973" t="s">
        <v>2491</v>
      </c>
      <c r="AO26" s="2973" t="s">
        <v>2491</v>
      </c>
      <c r="AP26" s="2973">
        <v>0</v>
      </c>
      <c r="AQ26" s="2973" t="s">
        <v>2545</v>
      </c>
      <c r="AR26" s="2973" t="s">
        <v>2491</v>
      </c>
      <c r="AS26" s="2973" t="s">
        <v>2491</v>
      </c>
      <c r="AT26" s="2973" t="s">
        <v>2491</v>
      </c>
      <c r="AU26" s="2973" t="s">
        <v>2546</v>
      </c>
      <c r="AV26" s="2973">
        <f t="shared" si="0"/>
        <v>217</v>
      </c>
    </row>
    <row r="27" spans="1:48">
      <c r="A27" s="2973" t="s">
        <v>2582</v>
      </c>
      <c r="B27" s="2973" t="s">
        <v>2583</v>
      </c>
      <c r="C27" s="2973" t="s">
        <v>1756</v>
      </c>
      <c r="D27" s="2973" t="s">
        <v>2584</v>
      </c>
      <c r="E27" s="2973" t="s">
        <v>2491</v>
      </c>
      <c r="F27" s="2973" t="s">
        <v>2582</v>
      </c>
      <c r="G27" s="2973" t="s">
        <v>2697</v>
      </c>
      <c r="H27" s="2973">
        <v>20159</v>
      </c>
      <c r="I27" s="2973">
        <v>16127.2</v>
      </c>
      <c r="J27" s="2973" t="s">
        <v>2587</v>
      </c>
      <c r="K27" s="2973" t="s">
        <v>2542</v>
      </c>
      <c r="L27" s="2973" t="s">
        <v>1756</v>
      </c>
      <c r="M27" s="2973">
        <v>0</v>
      </c>
      <c r="N27" s="2973" t="s">
        <v>2491</v>
      </c>
      <c r="O27" s="2973" t="s">
        <v>2588</v>
      </c>
      <c r="P27" s="2973" t="s">
        <v>2491</v>
      </c>
      <c r="Q27" s="2973" t="s">
        <v>2491</v>
      </c>
      <c r="R27" s="2973" t="s">
        <v>2491</v>
      </c>
      <c r="S27" s="2973" t="s">
        <v>2491</v>
      </c>
      <c r="T27" s="2973" t="s">
        <v>2491</v>
      </c>
      <c r="U27" s="2973" t="s">
        <v>2491</v>
      </c>
      <c r="V27" s="2973" t="s">
        <v>2491</v>
      </c>
      <c r="W27" s="2973" t="s">
        <v>2491</v>
      </c>
      <c r="X27" s="2973" t="s">
        <v>2551</v>
      </c>
      <c r="Y27" s="2973" t="s">
        <v>2688</v>
      </c>
      <c r="Z27" s="2973" t="s">
        <v>2689</v>
      </c>
      <c r="AA27" s="2973" t="s">
        <v>2690</v>
      </c>
      <c r="AB27" s="2973" t="s">
        <v>2690</v>
      </c>
      <c r="AC27" s="2973" t="s">
        <v>2691</v>
      </c>
      <c r="AD27" s="2973" t="s">
        <v>2544</v>
      </c>
      <c r="AE27" s="2973" t="s">
        <v>2698</v>
      </c>
      <c r="AF27" s="2973" t="s">
        <v>2491</v>
      </c>
      <c r="AG27" s="2973">
        <v>430</v>
      </c>
      <c r="AH27" s="2973">
        <v>430</v>
      </c>
      <c r="AI27" s="2973">
        <v>430</v>
      </c>
      <c r="AJ27" s="2973">
        <v>14.22</v>
      </c>
      <c r="AK27" s="2973">
        <v>14.22</v>
      </c>
      <c r="AL27" s="2973">
        <v>266.63</v>
      </c>
      <c r="AM27" s="2973">
        <v>266.62</v>
      </c>
      <c r="AN27" s="2973" t="s">
        <v>2491</v>
      </c>
      <c r="AO27" s="2973" t="s">
        <v>2491</v>
      </c>
      <c r="AP27" s="2973">
        <v>0</v>
      </c>
      <c r="AQ27" s="2973" t="s">
        <v>2545</v>
      </c>
      <c r="AR27" s="2973" t="s">
        <v>2491</v>
      </c>
      <c r="AS27" s="2973" t="s">
        <v>2491</v>
      </c>
      <c r="AT27" s="2973" t="s">
        <v>2491</v>
      </c>
      <c r="AU27" s="2973" t="s">
        <v>2546</v>
      </c>
      <c r="AV27" s="2973">
        <f t="shared" si="0"/>
        <v>213</v>
      </c>
    </row>
    <row r="28" spans="1:48">
      <c r="A28" s="2973" t="s">
        <v>2699</v>
      </c>
      <c r="B28" s="2973" t="s">
        <v>2583</v>
      </c>
      <c r="C28" s="2973" t="s">
        <v>1756</v>
      </c>
      <c r="D28" s="2973" t="s">
        <v>2584</v>
      </c>
      <c r="E28" s="2973" t="s">
        <v>2491</v>
      </c>
      <c r="F28" s="2973" t="s">
        <v>2699</v>
      </c>
      <c r="G28" s="2973" t="s">
        <v>2700</v>
      </c>
      <c r="H28" s="2973">
        <v>27536</v>
      </c>
      <c r="I28" s="2973">
        <v>22028.799999999999</v>
      </c>
      <c r="J28" s="2973" t="s">
        <v>2587</v>
      </c>
      <c r="K28" s="2973" t="s">
        <v>2542</v>
      </c>
      <c r="L28" s="2973" t="s">
        <v>1756</v>
      </c>
      <c r="M28" s="2973">
        <v>0</v>
      </c>
      <c r="N28" s="2973" t="s">
        <v>2491</v>
      </c>
      <c r="O28" s="2973" t="s">
        <v>2588</v>
      </c>
      <c r="P28" s="2973" t="s">
        <v>2491</v>
      </c>
      <c r="Q28" s="2973" t="s">
        <v>2491</v>
      </c>
      <c r="R28" s="2973" t="s">
        <v>2491</v>
      </c>
      <c r="S28" s="2973" t="s">
        <v>2491</v>
      </c>
      <c r="T28" s="2973" t="s">
        <v>2491</v>
      </c>
      <c r="U28" s="2973" t="s">
        <v>2491</v>
      </c>
      <c r="V28" s="2973" t="s">
        <v>2491</v>
      </c>
      <c r="W28" s="2973" t="s">
        <v>2491</v>
      </c>
      <c r="X28" s="2973" t="s">
        <v>2551</v>
      </c>
      <c r="Y28" s="2973" t="s">
        <v>2688</v>
      </c>
      <c r="Z28" s="2973" t="s">
        <v>2689</v>
      </c>
      <c r="AA28" s="2973" t="s">
        <v>2690</v>
      </c>
      <c r="AB28" s="2973" t="s">
        <v>2690</v>
      </c>
      <c r="AC28" s="2973" t="s">
        <v>2691</v>
      </c>
      <c r="AD28" s="2973" t="s">
        <v>2544</v>
      </c>
      <c r="AE28" s="2973" t="s">
        <v>2701</v>
      </c>
      <c r="AF28" s="2973" t="s">
        <v>2491</v>
      </c>
      <c r="AG28" s="2973">
        <v>597</v>
      </c>
      <c r="AH28" s="2973">
        <v>597</v>
      </c>
      <c r="AI28" s="2973">
        <v>597</v>
      </c>
      <c r="AJ28" s="2973">
        <v>14.45</v>
      </c>
      <c r="AK28" s="2973">
        <v>14.45</v>
      </c>
      <c r="AL28" s="2973">
        <v>271</v>
      </c>
      <c r="AM28" s="2973">
        <v>271</v>
      </c>
      <c r="AN28" s="2973" t="s">
        <v>2491</v>
      </c>
      <c r="AO28" s="2973" t="s">
        <v>2491</v>
      </c>
      <c r="AP28" s="2973">
        <v>0</v>
      </c>
      <c r="AQ28" s="2973" t="s">
        <v>2545</v>
      </c>
      <c r="AR28" s="2973" t="s">
        <v>2491</v>
      </c>
      <c r="AS28" s="2973" t="s">
        <v>2491</v>
      </c>
      <c r="AT28" s="2973" t="s">
        <v>2491</v>
      </c>
      <c r="AU28" s="2973" t="s">
        <v>2546</v>
      </c>
      <c r="AV28" s="2973">
        <f t="shared" si="0"/>
        <v>217</v>
      </c>
    </row>
    <row r="29" spans="1:48">
      <c r="A29" s="2973" t="s">
        <v>2677</v>
      </c>
      <c r="B29" s="2973" t="s">
        <v>2583</v>
      </c>
      <c r="C29" s="2973" t="s">
        <v>1756</v>
      </c>
      <c r="D29" s="2973" t="s">
        <v>2584</v>
      </c>
      <c r="E29" s="2973" t="s">
        <v>2491</v>
      </c>
      <c r="F29" s="2973" t="s">
        <v>2677</v>
      </c>
      <c r="G29" s="2973" t="s">
        <v>2702</v>
      </c>
      <c r="H29" s="2973">
        <v>6841</v>
      </c>
      <c r="I29" s="2973">
        <v>5472.8</v>
      </c>
      <c r="J29" s="2973" t="s">
        <v>2587</v>
      </c>
      <c r="K29" s="2973" t="s">
        <v>2542</v>
      </c>
      <c r="L29" s="2973" t="s">
        <v>1756</v>
      </c>
      <c r="M29" s="2973">
        <v>0</v>
      </c>
      <c r="N29" s="2973" t="s">
        <v>2491</v>
      </c>
      <c r="O29" s="2973" t="s">
        <v>2588</v>
      </c>
      <c r="P29" s="2973" t="s">
        <v>2491</v>
      </c>
      <c r="Q29" s="2973" t="s">
        <v>2491</v>
      </c>
      <c r="R29" s="2973" t="s">
        <v>2491</v>
      </c>
      <c r="S29" s="2973" t="s">
        <v>2491</v>
      </c>
      <c r="T29" s="2973" t="s">
        <v>2491</v>
      </c>
      <c r="U29" s="2973" t="s">
        <v>2491</v>
      </c>
      <c r="V29" s="2973" t="s">
        <v>2491</v>
      </c>
      <c r="W29" s="2973" t="s">
        <v>2491</v>
      </c>
      <c r="X29" s="2973" t="s">
        <v>2551</v>
      </c>
      <c r="Y29" s="2973" t="s">
        <v>2688</v>
      </c>
      <c r="Z29" s="2973" t="s">
        <v>2689</v>
      </c>
      <c r="AA29" s="2973" t="s">
        <v>2690</v>
      </c>
      <c r="AB29" s="2973" t="s">
        <v>2690</v>
      </c>
      <c r="AC29" s="2973" t="s">
        <v>2691</v>
      </c>
      <c r="AD29" s="2973" t="s">
        <v>2544</v>
      </c>
      <c r="AE29" s="2973" t="s">
        <v>2703</v>
      </c>
      <c r="AF29" s="2973" t="s">
        <v>2491</v>
      </c>
      <c r="AG29" s="2973">
        <v>149</v>
      </c>
      <c r="AH29" s="2973">
        <v>149</v>
      </c>
      <c r="AI29" s="2973">
        <v>149</v>
      </c>
      <c r="AJ29" s="2973">
        <v>14.52</v>
      </c>
      <c r="AK29" s="2973">
        <v>14.52</v>
      </c>
      <c r="AL29" s="2973">
        <v>272.25</v>
      </c>
      <c r="AM29" s="2973">
        <v>272.25</v>
      </c>
      <c r="AN29" s="2973" t="s">
        <v>2491</v>
      </c>
      <c r="AO29" s="2973" t="s">
        <v>2491</v>
      </c>
      <c r="AP29" s="2973">
        <v>0</v>
      </c>
      <c r="AQ29" s="2973" t="s">
        <v>2545</v>
      </c>
      <c r="AR29" s="2973" t="s">
        <v>2491</v>
      </c>
      <c r="AS29" s="2973" t="s">
        <v>2491</v>
      </c>
      <c r="AT29" s="2973" t="s">
        <v>2491</v>
      </c>
      <c r="AU29" s="2973" t="s">
        <v>2546</v>
      </c>
      <c r="AV29" s="2973">
        <f t="shared" si="0"/>
        <v>218</v>
      </c>
    </row>
    <row r="30" spans="1:48">
      <c r="A30" s="2973" t="s">
        <v>2582</v>
      </c>
      <c r="B30" s="2973" t="s">
        <v>2583</v>
      </c>
      <c r="C30" s="2973" t="s">
        <v>1756</v>
      </c>
      <c r="D30" s="2973" t="s">
        <v>2584</v>
      </c>
      <c r="E30" s="2973" t="s">
        <v>2491</v>
      </c>
      <c r="F30" s="2973" t="s">
        <v>2582</v>
      </c>
      <c r="G30" s="2973" t="s">
        <v>2704</v>
      </c>
      <c r="H30" s="2973">
        <v>26858</v>
      </c>
      <c r="I30" s="2973">
        <v>21486.400000000001</v>
      </c>
      <c r="J30" s="2973" t="s">
        <v>2587</v>
      </c>
      <c r="K30" s="2973" t="s">
        <v>2542</v>
      </c>
      <c r="L30" s="2973" t="s">
        <v>1756</v>
      </c>
      <c r="M30" s="2973">
        <v>0</v>
      </c>
      <c r="N30" s="2973" t="s">
        <v>2491</v>
      </c>
      <c r="O30" s="2973" t="s">
        <v>2588</v>
      </c>
      <c r="P30" s="2973" t="s">
        <v>2491</v>
      </c>
      <c r="Q30" s="2973" t="s">
        <v>2491</v>
      </c>
      <c r="R30" s="2973" t="s">
        <v>2491</v>
      </c>
      <c r="S30" s="2973" t="s">
        <v>2491</v>
      </c>
      <c r="T30" s="2973" t="s">
        <v>2491</v>
      </c>
      <c r="U30" s="2973" t="s">
        <v>2491</v>
      </c>
      <c r="V30" s="2973" t="s">
        <v>2491</v>
      </c>
      <c r="W30" s="2973" t="s">
        <v>2491</v>
      </c>
      <c r="X30" s="2973" t="s">
        <v>2551</v>
      </c>
      <c r="Y30" s="2973" t="s">
        <v>2688</v>
      </c>
      <c r="Z30" s="2973" t="s">
        <v>2689</v>
      </c>
      <c r="AA30" s="2973" t="s">
        <v>2690</v>
      </c>
      <c r="AB30" s="2973" t="s">
        <v>2690</v>
      </c>
      <c r="AC30" s="2973" t="s">
        <v>2691</v>
      </c>
      <c r="AD30" s="2973" t="s">
        <v>2544</v>
      </c>
      <c r="AE30" s="2973" t="s">
        <v>2705</v>
      </c>
      <c r="AF30" s="2973" t="s">
        <v>2491</v>
      </c>
      <c r="AG30" s="2973">
        <v>583</v>
      </c>
      <c r="AH30" s="2973">
        <v>583</v>
      </c>
      <c r="AI30" s="2973">
        <v>583</v>
      </c>
      <c r="AJ30" s="2973">
        <v>14.47</v>
      </c>
      <c r="AK30" s="2973">
        <v>14.47</v>
      </c>
      <c r="AL30" s="2973">
        <v>271.33</v>
      </c>
      <c r="AM30" s="2973">
        <v>271.32</v>
      </c>
      <c r="AN30" s="2973" t="s">
        <v>2491</v>
      </c>
      <c r="AO30" s="2973" t="s">
        <v>2491</v>
      </c>
      <c r="AP30" s="2973">
        <v>0</v>
      </c>
      <c r="AQ30" s="2973" t="s">
        <v>2545</v>
      </c>
      <c r="AR30" s="2973" t="s">
        <v>2491</v>
      </c>
      <c r="AS30" s="2973" t="s">
        <v>2491</v>
      </c>
      <c r="AT30" s="2973" t="s">
        <v>2491</v>
      </c>
      <c r="AU30" s="2973" t="s">
        <v>2546</v>
      </c>
      <c r="AV30" s="2973">
        <f t="shared" si="0"/>
        <v>217</v>
      </c>
    </row>
    <row r="31" spans="1:48">
      <c r="A31" s="2973" t="s">
        <v>2706</v>
      </c>
      <c r="B31" s="2973" t="s">
        <v>2583</v>
      </c>
      <c r="C31" s="2973" t="s">
        <v>1756</v>
      </c>
      <c r="D31" s="2973" t="s">
        <v>2584</v>
      </c>
      <c r="E31" s="2973" t="s">
        <v>2491</v>
      </c>
      <c r="F31" s="2973" t="s">
        <v>2706</v>
      </c>
      <c r="G31" s="2973" t="s">
        <v>2707</v>
      </c>
      <c r="H31" s="2973">
        <v>68637</v>
      </c>
      <c r="I31" s="2973">
        <v>54909.599999999999</v>
      </c>
      <c r="J31" s="2973" t="s">
        <v>2587</v>
      </c>
      <c r="K31" s="2973" t="s">
        <v>2542</v>
      </c>
      <c r="L31" s="2973" t="s">
        <v>1756</v>
      </c>
      <c r="M31" s="2973">
        <v>0</v>
      </c>
      <c r="N31" s="2973" t="s">
        <v>2491</v>
      </c>
      <c r="O31" s="2973" t="s">
        <v>2588</v>
      </c>
      <c r="P31" s="2973" t="s">
        <v>2491</v>
      </c>
      <c r="Q31" s="2973" t="s">
        <v>2491</v>
      </c>
      <c r="R31" s="2973" t="s">
        <v>2491</v>
      </c>
      <c r="S31" s="2973" t="s">
        <v>2491</v>
      </c>
      <c r="T31" s="2973" t="s">
        <v>2491</v>
      </c>
      <c r="U31" s="2973" t="s">
        <v>2491</v>
      </c>
      <c r="V31" s="2973" t="s">
        <v>2491</v>
      </c>
      <c r="W31" s="2973" t="s">
        <v>2491</v>
      </c>
      <c r="X31" s="2973" t="s">
        <v>2551</v>
      </c>
      <c r="Y31" s="2973" t="s">
        <v>2688</v>
      </c>
      <c r="Z31" s="2973" t="s">
        <v>2689</v>
      </c>
      <c r="AA31" s="2973" t="s">
        <v>2690</v>
      </c>
      <c r="AB31" s="2973" t="s">
        <v>2690</v>
      </c>
      <c r="AC31" s="2973" t="s">
        <v>2691</v>
      </c>
      <c r="AD31" s="2973" t="s">
        <v>2544</v>
      </c>
      <c r="AE31" s="2973" t="s">
        <v>2708</v>
      </c>
      <c r="AF31" s="2973" t="s">
        <v>2491</v>
      </c>
      <c r="AG31" s="2973">
        <v>1495</v>
      </c>
      <c r="AH31" s="2973">
        <v>1495</v>
      </c>
      <c r="AI31" s="2973">
        <v>1495</v>
      </c>
      <c r="AJ31" s="2973">
        <v>14.52</v>
      </c>
      <c r="AK31" s="2973">
        <v>14.52</v>
      </c>
      <c r="AL31" s="2973">
        <v>272.26</v>
      </c>
      <c r="AM31" s="2973">
        <v>272.26</v>
      </c>
      <c r="AN31" s="2973" t="s">
        <v>2491</v>
      </c>
      <c r="AO31" s="2973" t="s">
        <v>2491</v>
      </c>
      <c r="AP31" s="2973">
        <v>0</v>
      </c>
      <c r="AQ31" s="2973" t="s">
        <v>2545</v>
      </c>
      <c r="AR31" s="2973" t="s">
        <v>2491</v>
      </c>
      <c r="AS31" s="2973" t="s">
        <v>2491</v>
      </c>
      <c r="AT31" s="2973" t="s">
        <v>2491</v>
      </c>
      <c r="AU31" s="2973" t="s">
        <v>2546</v>
      </c>
      <c r="AV31" s="2973">
        <f t="shared" si="0"/>
        <v>218</v>
      </c>
    </row>
    <row r="32" spans="1:48">
      <c r="A32" s="2973" t="s">
        <v>2582</v>
      </c>
      <c r="B32" s="2973" t="s">
        <v>2583</v>
      </c>
      <c r="C32" s="2973" t="s">
        <v>1756</v>
      </c>
      <c r="D32" s="2973" t="s">
        <v>2584</v>
      </c>
      <c r="E32" s="2973" t="s">
        <v>2491</v>
      </c>
      <c r="F32" s="2973" t="s">
        <v>2582</v>
      </c>
      <c r="G32" s="2973" t="s">
        <v>2709</v>
      </c>
      <c r="H32" s="2973">
        <v>19610</v>
      </c>
      <c r="I32" s="2973">
        <v>15688</v>
      </c>
      <c r="J32" s="2973" t="s">
        <v>2587</v>
      </c>
      <c r="K32" s="2973" t="s">
        <v>2542</v>
      </c>
      <c r="L32" s="2973" t="s">
        <v>1756</v>
      </c>
      <c r="M32" s="2973">
        <v>0</v>
      </c>
      <c r="N32" s="2973" t="s">
        <v>2491</v>
      </c>
      <c r="O32" s="2973" t="s">
        <v>2588</v>
      </c>
      <c r="P32" s="2973" t="s">
        <v>2491</v>
      </c>
      <c r="Q32" s="2973" t="s">
        <v>2491</v>
      </c>
      <c r="R32" s="2973" t="s">
        <v>2491</v>
      </c>
      <c r="S32" s="2973" t="s">
        <v>2491</v>
      </c>
      <c r="T32" s="2973" t="s">
        <v>2491</v>
      </c>
      <c r="U32" s="2973" t="s">
        <v>2491</v>
      </c>
      <c r="V32" s="2973" t="s">
        <v>2491</v>
      </c>
      <c r="W32" s="2973" t="s">
        <v>2491</v>
      </c>
      <c r="X32" s="2973" t="s">
        <v>2551</v>
      </c>
      <c r="Y32" s="2973" t="s">
        <v>2688</v>
      </c>
      <c r="Z32" s="2973" t="s">
        <v>2689</v>
      </c>
      <c r="AA32" s="2973" t="s">
        <v>2690</v>
      </c>
      <c r="AB32" s="2973" t="s">
        <v>2690</v>
      </c>
      <c r="AC32" s="2973" t="s">
        <v>2691</v>
      </c>
      <c r="AD32" s="2973" t="s">
        <v>2544</v>
      </c>
      <c r="AE32" s="2973" t="s">
        <v>2710</v>
      </c>
      <c r="AF32" s="2973" t="s">
        <v>2491</v>
      </c>
      <c r="AG32" s="2973">
        <v>426</v>
      </c>
      <c r="AH32" s="2973">
        <v>426</v>
      </c>
      <c r="AI32" s="2973">
        <v>426</v>
      </c>
      <c r="AJ32" s="2973">
        <v>14.48</v>
      </c>
      <c r="AK32" s="2973">
        <v>14.48</v>
      </c>
      <c r="AL32" s="2973">
        <v>271.54000000000002</v>
      </c>
      <c r="AM32" s="2973">
        <v>271.55</v>
      </c>
      <c r="AN32" s="2973" t="s">
        <v>2491</v>
      </c>
      <c r="AO32" s="2973" t="s">
        <v>2491</v>
      </c>
      <c r="AP32" s="2973">
        <v>0</v>
      </c>
      <c r="AQ32" s="2973" t="s">
        <v>2545</v>
      </c>
      <c r="AR32" s="2973" t="s">
        <v>2491</v>
      </c>
      <c r="AS32" s="2973" t="s">
        <v>2491</v>
      </c>
      <c r="AT32" s="2973" t="s">
        <v>2491</v>
      </c>
      <c r="AU32" s="2973" t="s">
        <v>2546</v>
      </c>
      <c r="AV32" s="2973">
        <f t="shared" si="0"/>
        <v>217</v>
      </c>
    </row>
    <row r="33" spans="1:48">
      <c r="A33" s="2973" t="s">
        <v>2582</v>
      </c>
      <c r="B33" s="2973" t="s">
        <v>2583</v>
      </c>
      <c r="C33" s="2973" t="s">
        <v>1756</v>
      </c>
      <c r="D33" s="2973" t="s">
        <v>2584</v>
      </c>
      <c r="E33" s="2973" t="s">
        <v>2491</v>
      </c>
      <c r="F33" s="2973" t="s">
        <v>2582</v>
      </c>
      <c r="G33" s="2973" t="s">
        <v>2711</v>
      </c>
      <c r="H33" s="2973">
        <v>16002</v>
      </c>
      <c r="I33" s="2973">
        <v>12801.6</v>
      </c>
      <c r="J33" s="2973" t="s">
        <v>2587</v>
      </c>
      <c r="K33" s="2973" t="s">
        <v>2542</v>
      </c>
      <c r="L33" s="2973" t="s">
        <v>1756</v>
      </c>
      <c r="M33" s="2973">
        <v>0</v>
      </c>
      <c r="N33" s="2973" t="s">
        <v>2491</v>
      </c>
      <c r="O33" s="2973" t="s">
        <v>2588</v>
      </c>
      <c r="P33" s="2973" t="s">
        <v>2491</v>
      </c>
      <c r="Q33" s="2973" t="s">
        <v>2491</v>
      </c>
      <c r="R33" s="2973" t="s">
        <v>2491</v>
      </c>
      <c r="S33" s="2973" t="s">
        <v>2491</v>
      </c>
      <c r="T33" s="2973" t="s">
        <v>2491</v>
      </c>
      <c r="U33" s="2973" t="s">
        <v>2491</v>
      </c>
      <c r="V33" s="2973" t="s">
        <v>2491</v>
      </c>
      <c r="W33" s="2973" t="s">
        <v>2491</v>
      </c>
      <c r="X33" s="2973" t="s">
        <v>2551</v>
      </c>
      <c r="Y33" s="2973" t="s">
        <v>2688</v>
      </c>
      <c r="Z33" s="2973" t="s">
        <v>2689</v>
      </c>
      <c r="AA33" s="2973" t="s">
        <v>2690</v>
      </c>
      <c r="AB33" s="2973" t="s">
        <v>2690</v>
      </c>
      <c r="AC33" s="2973" t="s">
        <v>2691</v>
      </c>
      <c r="AD33" s="2973" t="s">
        <v>2544</v>
      </c>
      <c r="AE33" s="2973" t="s">
        <v>2712</v>
      </c>
      <c r="AF33" s="2973" t="s">
        <v>2491</v>
      </c>
      <c r="AG33" s="2973">
        <v>352</v>
      </c>
      <c r="AH33" s="2973">
        <v>352</v>
      </c>
      <c r="AI33" s="2973">
        <v>352</v>
      </c>
      <c r="AJ33" s="2973">
        <v>14.66</v>
      </c>
      <c r="AK33" s="2973">
        <v>14.66</v>
      </c>
      <c r="AL33" s="2973">
        <v>274.95999999999998</v>
      </c>
      <c r="AM33" s="2973">
        <v>274.97000000000003</v>
      </c>
      <c r="AN33" s="2973" t="s">
        <v>2491</v>
      </c>
      <c r="AO33" s="2973" t="s">
        <v>2491</v>
      </c>
      <c r="AP33" s="2973">
        <v>0</v>
      </c>
      <c r="AQ33" s="2973" t="s">
        <v>2545</v>
      </c>
      <c r="AR33" s="2973" t="s">
        <v>2491</v>
      </c>
      <c r="AS33" s="2973" t="s">
        <v>2491</v>
      </c>
      <c r="AT33" s="2973" t="s">
        <v>2491</v>
      </c>
      <c r="AU33" s="2973" t="s">
        <v>2546</v>
      </c>
      <c r="AV33" s="2973">
        <f t="shared" si="0"/>
        <v>220</v>
      </c>
    </row>
    <row r="34" spans="1:48">
      <c r="A34" s="2973" t="s">
        <v>2582</v>
      </c>
      <c r="B34" s="2973" t="s">
        <v>2583</v>
      </c>
      <c r="C34" s="2973" t="s">
        <v>1756</v>
      </c>
      <c r="D34" s="2973" t="s">
        <v>2584</v>
      </c>
      <c r="E34" s="2973" t="s">
        <v>2491</v>
      </c>
      <c r="F34" s="2973" t="s">
        <v>2582</v>
      </c>
      <c r="G34" s="2973" t="s">
        <v>2713</v>
      </c>
      <c r="H34" s="2973">
        <v>33250</v>
      </c>
      <c r="I34" s="2973">
        <v>26600</v>
      </c>
      <c r="J34" s="2973" t="s">
        <v>2587</v>
      </c>
      <c r="K34" s="2973" t="s">
        <v>2542</v>
      </c>
      <c r="L34" s="2973" t="s">
        <v>1756</v>
      </c>
      <c r="M34" s="2973">
        <v>0</v>
      </c>
      <c r="N34" s="2973" t="s">
        <v>2491</v>
      </c>
      <c r="O34" s="2973" t="s">
        <v>2588</v>
      </c>
      <c r="P34" s="2973" t="s">
        <v>2491</v>
      </c>
      <c r="Q34" s="2973" t="s">
        <v>2491</v>
      </c>
      <c r="R34" s="2973" t="s">
        <v>2491</v>
      </c>
      <c r="S34" s="2973" t="s">
        <v>2491</v>
      </c>
      <c r="T34" s="2973" t="s">
        <v>2491</v>
      </c>
      <c r="U34" s="2973" t="s">
        <v>2491</v>
      </c>
      <c r="V34" s="2973" t="s">
        <v>2491</v>
      </c>
      <c r="W34" s="2973" t="s">
        <v>2491</v>
      </c>
      <c r="X34" s="2973" t="s">
        <v>2551</v>
      </c>
      <c r="Y34" s="2973" t="s">
        <v>2688</v>
      </c>
      <c r="Z34" s="2973" t="s">
        <v>2689</v>
      </c>
      <c r="AA34" s="2973" t="s">
        <v>2690</v>
      </c>
      <c r="AB34" s="2973" t="s">
        <v>2690</v>
      </c>
      <c r="AC34" s="2973" t="s">
        <v>2691</v>
      </c>
      <c r="AD34" s="2973" t="s">
        <v>2544</v>
      </c>
      <c r="AE34" s="2973" t="s">
        <v>2714</v>
      </c>
      <c r="AF34" s="2973" t="s">
        <v>2491</v>
      </c>
      <c r="AG34" s="2973">
        <v>728</v>
      </c>
      <c r="AH34" s="2973">
        <v>728</v>
      </c>
      <c r="AI34" s="2973">
        <v>728</v>
      </c>
      <c r="AJ34" s="2973">
        <v>14.6</v>
      </c>
      <c r="AK34" s="2973">
        <v>14.6</v>
      </c>
      <c r="AL34" s="2973">
        <v>273.68</v>
      </c>
      <c r="AM34" s="2973">
        <v>273.68</v>
      </c>
      <c r="AN34" s="2973" t="s">
        <v>2491</v>
      </c>
      <c r="AO34" s="2973" t="s">
        <v>2491</v>
      </c>
      <c r="AP34" s="2973">
        <v>0</v>
      </c>
      <c r="AQ34" s="2973" t="s">
        <v>2545</v>
      </c>
      <c r="AR34" s="2973" t="s">
        <v>2491</v>
      </c>
      <c r="AS34" s="2973" t="s">
        <v>2491</v>
      </c>
      <c r="AT34" s="2973" t="s">
        <v>2491</v>
      </c>
      <c r="AU34" s="2973" t="s">
        <v>2546</v>
      </c>
      <c r="AV34" s="2973">
        <f t="shared" si="0"/>
        <v>219</v>
      </c>
    </row>
    <row r="35" spans="1:48">
      <c r="A35" s="2973" t="s">
        <v>2699</v>
      </c>
      <c r="B35" s="2973" t="s">
        <v>2583</v>
      </c>
      <c r="C35" s="2973" t="s">
        <v>1756</v>
      </c>
      <c r="D35" s="2973" t="s">
        <v>2584</v>
      </c>
      <c r="E35" s="2973" t="s">
        <v>2491</v>
      </c>
      <c r="F35" s="2973" t="s">
        <v>2699</v>
      </c>
      <c r="G35" s="2973" t="s">
        <v>2715</v>
      </c>
      <c r="H35" s="2973">
        <v>14716</v>
      </c>
      <c r="I35" s="2973">
        <v>11772.8</v>
      </c>
      <c r="J35" s="2973" t="s">
        <v>2587</v>
      </c>
      <c r="K35" s="2973" t="s">
        <v>2542</v>
      </c>
      <c r="L35" s="2973" t="s">
        <v>1756</v>
      </c>
      <c r="M35" s="2973">
        <v>0</v>
      </c>
      <c r="N35" s="2973" t="s">
        <v>2491</v>
      </c>
      <c r="O35" s="2973" t="s">
        <v>2588</v>
      </c>
      <c r="P35" s="2973" t="s">
        <v>2491</v>
      </c>
      <c r="Q35" s="2973" t="s">
        <v>2491</v>
      </c>
      <c r="R35" s="2973" t="s">
        <v>2491</v>
      </c>
      <c r="S35" s="2973" t="s">
        <v>2491</v>
      </c>
      <c r="T35" s="2973" t="s">
        <v>2491</v>
      </c>
      <c r="U35" s="2973" t="s">
        <v>2491</v>
      </c>
      <c r="V35" s="2973" t="s">
        <v>2491</v>
      </c>
      <c r="W35" s="2973" t="s">
        <v>2491</v>
      </c>
      <c r="X35" s="2973" t="s">
        <v>2551</v>
      </c>
      <c r="Y35" s="2973" t="s">
        <v>2688</v>
      </c>
      <c r="Z35" s="2973" t="s">
        <v>2689</v>
      </c>
      <c r="AA35" s="2973" t="s">
        <v>2690</v>
      </c>
      <c r="AB35" s="2973" t="s">
        <v>2690</v>
      </c>
      <c r="AC35" s="2973" t="s">
        <v>2691</v>
      </c>
      <c r="AD35" s="2973" t="s">
        <v>2544</v>
      </c>
      <c r="AE35" s="2973" t="s">
        <v>2716</v>
      </c>
      <c r="AF35" s="2973" t="s">
        <v>2491</v>
      </c>
      <c r="AG35" s="2973">
        <v>319</v>
      </c>
      <c r="AH35" s="2973">
        <v>319</v>
      </c>
      <c r="AI35" s="2973">
        <v>319</v>
      </c>
      <c r="AJ35" s="2973">
        <v>14.45</v>
      </c>
      <c r="AK35" s="2973">
        <v>14.45</v>
      </c>
      <c r="AL35" s="2973">
        <v>270.95999999999998</v>
      </c>
      <c r="AM35" s="2973">
        <v>270.95</v>
      </c>
      <c r="AN35" s="2973" t="s">
        <v>2491</v>
      </c>
      <c r="AO35" s="2973" t="s">
        <v>2491</v>
      </c>
      <c r="AP35" s="2973">
        <v>0</v>
      </c>
      <c r="AQ35" s="2973" t="s">
        <v>2545</v>
      </c>
      <c r="AR35" s="2973" t="s">
        <v>2491</v>
      </c>
      <c r="AS35" s="2973" t="s">
        <v>2491</v>
      </c>
      <c r="AT35" s="2973" t="s">
        <v>2491</v>
      </c>
      <c r="AU35" s="2973" t="s">
        <v>2546</v>
      </c>
      <c r="AV35" s="2973">
        <f t="shared" si="0"/>
        <v>217</v>
      </c>
    </row>
    <row r="36" spans="1:48">
      <c r="A36" s="2973" t="s">
        <v>2582</v>
      </c>
      <c r="B36" s="2973" t="s">
        <v>2583</v>
      </c>
      <c r="C36" s="2973" t="s">
        <v>1756</v>
      </c>
      <c r="D36" s="2973" t="s">
        <v>2584</v>
      </c>
      <c r="E36" s="2973" t="s">
        <v>2491</v>
      </c>
      <c r="F36" s="2973" t="s">
        <v>2582</v>
      </c>
      <c r="G36" s="2973" t="s">
        <v>2717</v>
      </c>
      <c r="H36" s="2973">
        <v>11043</v>
      </c>
      <c r="I36" s="2973">
        <v>8834.4</v>
      </c>
      <c r="J36" s="2973" t="s">
        <v>2587</v>
      </c>
      <c r="K36" s="2973" t="s">
        <v>2542</v>
      </c>
      <c r="L36" s="2973" t="s">
        <v>1756</v>
      </c>
      <c r="M36" s="2973">
        <v>0</v>
      </c>
      <c r="N36" s="2973" t="s">
        <v>2491</v>
      </c>
      <c r="O36" s="2973" t="s">
        <v>2588</v>
      </c>
      <c r="P36" s="2973" t="s">
        <v>2491</v>
      </c>
      <c r="Q36" s="2973" t="s">
        <v>2491</v>
      </c>
      <c r="R36" s="2973" t="s">
        <v>2491</v>
      </c>
      <c r="S36" s="2973" t="s">
        <v>2491</v>
      </c>
      <c r="T36" s="2973" t="s">
        <v>2491</v>
      </c>
      <c r="U36" s="2973" t="s">
        <v>2491</v>
      </c>
      <c r="V36" s="2973" t="s">
        <v>2491</v>
      </c>
      <c r="W36" s="2973" t="s">
        <v>2491</v>
      </c>
      <c r="X36" s="2973" t="s">
        <v>2551</v>
      </c>
      <c r="Y36" s="2973" t="s">
        <v>2718</v>
      </c>
      <c r="Z36" s="2973" t="s">
        <v>2719</v>
      </c>
      <c r="AA36" s="2973" t="s">
        <v>2720</v>
      </c>
      <c r="AB36" s="2973" t="s">
        <v>2720</v>
      </c>
      <c r="AC36" s="2973" t="s">
        <v>2721</v>
      </c>
      <c r="AD36" s="2973" t="s">
        <v>2544</v>
      </c>
      <c r="AE36" s="2973" t="s">
        <v>2722</v>
      </c>
      <c r="AF36" s="2973" t="s">
        <v>2491</v>
      </c>
      <c r="AG36" s="2973">
        <v>244</v>
      </c>
      <c r="AH36" s="2973">
        <v>244</v>
      </c>
      <c r="AI36" s="2973">
        <v>244</v>
      </c>
      <c r="AJ36" s="2973">
        <v>14.73</v>
      </c>
      <c r="AK36" s="2973">
        <v>14.73</v>
      </c>
      <c r="AL36" s="2973">
        <v>276.19</v>
      </c>
      <c r="AM36" s="2973">
        <v>276.18</v>
      </c>
      <c r="AN36" s="2973" t="s">
        <v>2491</v>
      </c>
      <c r="AO36" s="2973" t="s">
        <v>2491</v>
      </c>
      <c r="AP36" s="2973">
        <v>0</v>
      </c>
      <c r="AQ36" s="2973" t="s">
        <v>2545</v>
      </c>
      <c r="AR36" s="2973" t="s">
        <v>2491</v>
      </c>
      <c r="AS36" s="2973" t="s">
        <v>2491</v>
      </c>
      <c r="AT36" s="2973" t="s">
        <v>2491</v>
      </c>
      <c r="AU36" s="2973" t="s">
        <v>2546</v>
      </c>
      <c r="AV36" s="2973">
        <f t="shared" si="0"/>
        <v>221</v>
      </c>
    </row>
    <row r="37" spans="1:48">
      <c r="A37" s="2973" t="s">
        <v>2677</v>
      </c>
      <c r="B37" s="2973" t="s">
        <v>2583</v>
      </c>
      <c r="C37" s="2973" t="s">
        <v>1756</v>
      </c>
      <c r="D37" s="2973" t="s">
        <v>2584</v>
      </c>
      <c r="E37" s="2973" t="s">
        <v>2491</v>
      </c>
      <c r="F37" s="2973" t="s">
        <v>2677</v>
      </c>
      <c r="G37" s="2973" t="s">
        <v>2723</v>
      </c>
      <c r="H37" s="2973">
        <v>44824</v>
      </c>
      <c r="I37" s="2973">
        <v>26894.400000000001</v>
      </c>
      <c r="J37" s="2973" t="s">
        <v>2724</v>
      </c>
      <c r="K37" s="2973" t="s">
        <v>2542</v>
      </c>
      <c r="L37" s="2973" t="s">
        <v>1756</v>
      </c>
      <c r="M37" s="2973">
        <v>0</v>
      </c>
      <c r="N37" s="2973" t="s">
        <v>2491</v>
      </c>
      <c r="O37" s="2973" t="s">
        <v>2588</v>
      </c>
      <c r="P37" s="2973" t="s">
        <v>2491</v>
      </c>
      <c r="Q37" s="2973" t="s">
        <v>2491</v>
      </c>
      <c r="R37" s="2973" t="s">
        <v>2491</v>
      </c>
      <c r="S37" s="2973" t="s">
        <v>2491</v>
      </c>
      <c r="T37" s="2973" t="s">
        <v>2491</v>
      </c>
      <c r="U37" s="2973" t="s">
        <v>2491</v>
      </c>
      <c r="V37" s="2973" t="s">
        <v>2491</v>
      </c>
      <c r="W37" s="2973" t="s">
        <v>2491</v>
      </c>
      <c r="X37" s="2973" t="s">
        <v>2551</v>
      </c>
      <c r="Y37" s="2973" t="s">
        <v>2718</v>
      </c>
      <c r="Z37" s="2973" t="s">
        <v>2719</v>
      </c>
      <c r="AA37" s="2973" t="s">
        <v>2720</v>
      </c>
      <c r="AB37" s="2973" t="s">
        <v>2720</v>
      </c>
      <c r="AC37" s="2973" t="s">
        <v>2721</v>
      </c>
      <c r="AD37" s="2973" t="s">
        <v>2544</v>
      </c>
      <c r="AE37" s="2973" t="s">
        <v>2725</v>
      </c>
      <c r="AF37" s="2973" t="s">
        <v>2491</v>
      </c>
      <c r="AG37" s="2973">
        <v>985</v>
      </c>
      <c r="AH37" s="2973">
        <v>985</v>
      </c>
      <c r="AI37" s="2973">
        <v>985</v>
      </c>
      <c r="AJ37" s="2973">
        <v>14.65</v>
      </c>
      <c r="AK37" s="2973">
        <v>14.65</v>
      </c>
      <c r="AL37" s="2973">
        <v>366.24</v>
      </c>
      <c r="AM37" s="2973">
        <v>366.25</v>
      </c>
      <c r="AN37" s="2973" t="s">
        <v>2491</v>
      </c>
      <c r="AO37" s="2973" t="s">
        <v>2491</v>
      </c>
      <c r="AP37" s="2973">
        <v>0</v>
      </c>
      <c r="AQ37" s="2973" t="s">
        <v>2545</v>
      </c>
      <c r="AR37" s="2973" t="s">
        <v>2491</v>
      </c>
      <c r="AS37" s="2973" t="s">
        <v>2491</v>
      </c>
      <c r="AT37" s="2973" t="s">
        <v>2491</v>
      </c>
      <c r="AU37" s="2973" t="s">
        <v>2546</v>
      </c>
      <c r="AV37" s="2973">
        <f t="shared" si="0"/>
        <v>220</v>
      </c>
    </row>
    <row r="38" spans="1:48">
      <c r="A38" s="2973" t="s">
        <v>2726</v>
      </c>
      <c r="B38" s="2973" t="s">
        <v>2583</v>
      </c>
      <c r="C38" s="2973" t="s">
        <v>1756</v>
      </c>
      <c r="D38" s="2973" t="s">
        <v>2584</v>
      </c>
      <c r="E38" s="2973" t="s">
        <v>2491</v>
      </c>
      <c r="F38" s="2973" t="s">
        <v>2726</v>
      </c>
      <c r="G38" s="2973" t="s">
        <v>2727</v>
      </c>
      <c r="H38" s="2973">
        <v>11789</v>
      </c>
      <c r="I38" s="2973">
        <v>9431.2000000000007</v>
      </c>
      <c r="J38" s="2973" t="s">
        <v>2587</v>
      </c>
      <c r="K38" s="2973" t="s">
        <v>2542</v>
      </c>
      <c r="L38" s="2973" t="s">
        <v>1756</v>
      </c>
      <c r="M38" s="2973">
        <v>0</v>
      </c>
      <c r="N38" s="2973" t="s">
        <v>2491</v>
      </c>
      <c r="O38" s="2973" t="s">
        <v>2588</v>
      </c>
      <c r="P38" s="2973" t="s">
        <v>2491</v>
      </c>
      <c r="Q38" s="2973" t="s">
        <v>2491</v>
      </c>
      <c r="R38" s="2973" t="s">
        <v>2491</v>
      </c>
      <c r="S38" s="2973" t="s">
        <v>2491</v>
      </c>
      <c r="T38" s="2973" t="s">
        <v>2491</v>
      </c>
      <c r="U38" s="2973" t="s">
        <v>2491</v>
      </c>
      <c r="V38" s="2973" t="s">
        <v>2491</v>
      </c>
      <c r="W38" s="2973" t="s">
        <v>2491</v>
      </c>
      <c r="X38" s="2973" t="s">
        <v>2551</v>
      </c>
      <c r="Y38" s="2973" t="s">
        <v>2718</v>
      </c>
      <c r="Z38" s="2973" t="s">
        <v>2719</v>
      </c>
      <c r="AA38" s="2973" t="s">
        <v>2720</v>
      </c>
      <c r="AB38" s="2973" t="s">
        <v>2720</v>
      </c>
      <c r="AC38" s="2973" t="s">
        <v>2721</v>
      </c>
      <c r="AD38" s="2973" t="s">
        <v>2544</v>
      </c>
      <c r="AE38" s="2973" t="s">
        <v>2728</v>
      </c>
      <c r="AF38" s="2973" t="s">
        <v>2491</v>
      </c>
      <c r="AG38" s="2973">
        <v>254</v>
      </c>
      <c r="AH38" s="2973">
        <v>254</v>
      </c>
      <c r="AI38" s="2973">
        <v>254</v>
      </c>
      <c r="AJ38" s="2973">
        <v>14.36</v>
      </c>
      <c r="AK38" s="2973">
        <v>14.36</v>
      </c>
      <c r="AL38" s="2973">
        <v>269.31</v>
      </c>
      <c r="AM38" s="2973">
        <v>269.31</v>
      </c>
      <c r="AN38" s="2973" t="s">
        <v>2491</v>
      </c>
      <c r="AO38" s="2973" t="s">
        <v>2491</v>
      </c>
      <c r="AP38" s="2973">
        <v>0</v>
      </c>
      <c r="AQ38" s="2973" t="s">
        <v>2545</v>
      </c>
      <c r="AR38" s="2973" t="s">
        <v>2491</v>
      </c>
      <c r="AS38" s="2973" t="s">
        <v>2491</v>
      </c>
      <c r="AT38" s="2973" t="s">
        <v>2491</v>
      </c>
      <c r="AU38" s="2973" t="s">
        <v>2546</v>
      </c>
      <c r="AV38" s="2973">
        <f t="shared" si="0"/>
        <v>215</v>
      </c>
    </row>
    <row r="39" spans="1:48">
      <c r="A39" s="2973" t="s">
        <v>2699</v>
      </c>
      <c r="B39" s="2973" t="s">
        <v>2583</v>
      </c>
      <c r="C39" s="2973" t="s">
        <v>1756</v>
      </c>
      <c r="D39" s="2973" t="s">
        <v>2584</v>
      </c>
      <c r="E39" s="2973" t="s">
        <v>2491</v>
      </c>
      <c r="F39" s="2973" t="s">
        <v>2699</v>
      </c>
      <c r="G39" s="2973" t="s">
        <v>2729</v>
      </c>
      <c r="H39" s="2973">
        <v>19801</v>
      </c>
      <c r="I39" s="2973">
        <v>15840.8</v>
      </c>
      <c r="J39" s="2973" t="s">
        <v>2587</v>
      </c>
      <c r="K39" s="2973" t="s">
        <v>2542</v>
      </c>
      <c r="L39" s="2973" t="s">
        <v>1756</v>
      </c>
      <c r="M39" s="2973">
        <v>0</v>
      </c>
      <c r="N39" s="2973" t="s">
        <v>2491</v>
      </c>
      <c r="O39" s="2973" t="s">
        <v>2588</v>
      </c>
      <c r="P39" s="2973" t="s">
        <v>2491</v>
      </c>
      <c r="Q39" s="2973" t="s">
        <v>2491</v>
      </c>
      <c r="R39" s="2973" t="s">
        <v>2491</v>
      </c>
      <c r="S39" s="2973" t="s">
        <v>2491</v>
      </c>
      <c r="T39" s="2973" t="s">
        <v>2491</v>
      </c>
      <c r="U39" s="2973" t="s">
        <v>2491</v>
      </c>
      <c r="V39" s="2973" t="s">
        <v>2491</v>
      </c>
      <c r="W39" s="2973" t="s">
        <v>2491</v>
      </c>
      <c r="X39" s="2973" t="s">
        <v>2551</v>
      </c>
      <c r="Y39" s="2973" t="s">
        <v>2718</v>
      </c>
      <c r="Z39" s="2973" t="s">
        <v>2719</v>
      </c>
      <c r="AA39" s="2973" t="s">
        <v>2720</v>
      </c>
      <c r="AB39" s="2973" t="s">
        <v>2720</v>
      </c>
      <c r="AC39" s="2973" t="s">
        <v>2721</v>
      </c>
      <c r="AD39" s="2973" t="s">
        <v>2544</v>
      </c>
      <c r="AE39" s="2973" t="s">
        <v>2730</v>
      </c>
      <c r="AF39" s="2973" t="s">
        <v>2491</v>
      </c>
      <c r="AG39" s="2973">
        <v>430</v>
      </c>
      <c r="AH39" s="2973">
        <v>430</v>
      </c>
      <c r="AI39" s="2973">
        <v>430</v>
      </c>
      <c r="AJ39" s="2973">
        <v>14.48</v>
      </c>
      <c r="AK39" s="2973">
        <v>14.48</v>
      </c>
      <c r="AL39" s="2973">
        <v>271.45</v>
      </c>
      <c r="AM39" s="2973">
        <v>271.44</v>
      </c>
      <c r="AN39" s="2973" t="s">
        <v>2491</v>
      </c>
      <c r="AO39" s="2973" t="s">
        <v>2491</v>
      </c>
      <c r="AP39" s="2973">
        <v>0</v>
      </c>
      <c r="AQ39" s="2973" t="s">
        <v>2545</v>
      </c>
      <c r="AR39" s="2973" t="s">
        <v>2491</v>
      </c>
      <c r="AS39" s="2973" t="s">
        <v>2491</v>
      </c>
      <c r="AT39" s="2973" t="s">
        <v>2491</v>
      </c>
      <c r="AU39" s="2973" t="s">
        <v>2546</v>
      </c>
      <c r="AV39" s="2973">
        <f t="shared" si="0"/>
        <v>217</v>
      </c>
    </row>
    <row r="40" spans="1:48">
      <c r="A40" s="2973" t="s">
        <v>2582</v>
      </c>
      <c r="B40" s="2973" t="s">
        <v>2583</v>
      </c>
      <c r="C40" s="2973" t="s">
        <v>1756</v>
      </c>
      <c r="D40" s="2973" t="s">
        <v>2584</v>
      </c>
      <c r="E40" s="2973" t="s">
        <v>2491</v>
      </c>
      <c r="F40" s="2973" t="s">
        <v>2582</v>
      </c>
      <c r="G40" s="2973" t="s">
        <v>2731</v>
      </c>
      <c r="H40" s="2973">
        <v>69294</v>
      </c>
      <c r="I40" s="2973">
        <v>55435.199999999997</v>
      </c>
      <c r="J40" s="2973" t="s">
        <v>2587</v>
      </c>
      <c r="K40" s="2973" t="s">
        <v>2542</v>
      </c>
      <c r="L40" s="2973" t="s">
        <v>1756</v>
      </c>
      <c r="M40" s="2973">
        <v>0</v>
      </c>
      <c r="N40" s="2973" t="s">
        <v>2491</v>
      </c>
      <c r="O40" s="2973" t="s">
        <v>2588</v>
      </c>
      <c r="P40" s="2973" t="s">
        <v>2491</v>
      </c>
      <c r="Q40" s="2973" t="s">
        <v>2491</v>
      </c>
      <c r="R40" s="2973" t="s">
        <v>2491</v>
      </c>
      <c r="S40" s="2973" t="s">
        <v>2491</v>
      </c>
      <c r="T40" s="2973" t="s">
        <v>2491</v>
      </c>
      <c r="U40" s="2973" t="s">
        <v>2491</v>
      </c>
      <c r="V40" s="2973" t="s">
        <v>2491</v>
      </c>
      <c r="W40" s="2973" t="s">
        <v>2491</v>
      </c>
      <c r="X40" s="2973" t="s">
        <v>2551</v>
      </c>
      <c r="Y40" s="2973" t="s">
        <v>2718</v>
      </c>
      <c r="Z40" s="2973" t="s">
        <v>2719</v>
      </c>
      <c r="AA40" s="2973" t="s">
        <v>2720</v>
      </c>
      <c r="AB40" s="2973" t="s">
        <v>2720</v>
      </c>
      <c r="AC40" s="2973" t="s">
        <v>2721</v>
      </c>
      <c r="AD40" s="2973" t="s">
        <v>2544</v>
      </c>
      <c r="AE40" s="2973" t="s">
        <v>2732</v>
      </c>
      <c r="AF40" s="2973" t="s">
        <v>2491</v>
      </c>
      <c r="AG40" s="2973">
        <v>1515</v>
      </c>
      <c r="AH40" s="2973">
        <v>1515</v>
      </c>
      <c r="AI40" s="2973">
        <v>1515</v>
      </c>
      <c r="AJ40" s="2973">
        <v>14.58</v>
      </c>
      <c r="AK40" s="2973">
        <v>14.58</v>
      </c>
      <c r="AL40" s="2973">
        <v>273.29000000000002</v>
      </c>
      <c r="AM40" s="2973">
        <v>273.29000000000002</v>
      </c>
      <c r="AN40" s="2973" t="s">
        <v>2491</v>
      </c>
      <c r="AO40" s="2973" t="s">
        <v>2491</v>
      </c>
      <c r="AP40" s="2973">
        <v>0</v>
      </c>
      <c r="AQ40" s="2973" t="s">
        <v>2545</v>
      </c>
      <c r="AR40" s="2973" t="s">
        <v>2491</v>
      </c>
      <c r="AS40" s="2973" t="s">
        <v>2491</v>
      </c>
      <c r="AT40" s="2973" t="s">
        <v>2491</v>
      </c>
      <c r="AU40" s="2973" t="s">
        <v>2546</v>
      </c>
      <c r="AV40" s="2973">
        <f t="shared" si="0"/>
        <v>219</v>
      </c>
    </row>
    <row r="41" spans="1:48">
      <c r="A41" s="2973" t="s">
        <v>2582</v>
      </c>
      <c r="B41" s="2973" t="s">
        <v>2583</v>
      </c>
      <c r="C41" s="2973" t="s">
        <v>1756</v>
      </c>
      <c r="D41" s="2973" t="s">
        <v>2584</v>
      </c>
      <c r="E41" s="2973" t="s">
        <v>2491</v>
      </c>
      <c r="F41" s="2973" t="s">
        <v>2582</v>
      </c>
      <c r="G41" s="2973" t="s">
        <v>2733</v>
      </c>
      <c r="H41" s="2973">
        <v>36551</v>
      </c>
      <c r="I41" s="2973">
        <v>29240.799999999999</v>
      </c>
      <c r="J41" s="2973" t="s">
        <v>2587</v>
      </c>
      <c r="K41" s="2973" t="s">
        <v>2542</v>
      </c>
      <c r="L41" s="2973" t="s">
        <v>1756</v>
      </c>
      <c r="M41" s="2973">
        <v>0</v>
      </c>
      <c r="N41" s="2973" t="s">
        <v>2491</v>
      </c>
      <c r="O41" s="2973" t="s">
        <v>2588</v>
      </c>
      <c r="P41" s="2973" t="s">
        <v>2491</v>
      </c>
      <c r="Q41" s="2973" t="s">
        <v>2491</v>
      </c>
      <c r="R41" s="2973" t="s">
        <v>2491</v>
      </c>
      <c r="S41" s="2973" t="s">
        <v>2491</v>
      </c>
      <c r="T41" s="2973" t="s">
        <v>2491</v>
      </c>
      <c r="U41" s="2973" t="s">
        <v>2491</v>
      </c>
      <c r="V41" s="2973" t="s">
        <v>2491</v>
      </c>
      <c r="W41" s="2973" t="s">
        <v>2491</v>
      </c>
      <c r="X41" s="2973" t="s">
        <v>2551</v>
      </c>
      <c r="Y41" s="2973" t="s">
        <v>2718</v>
      </c>
      <c r="Z41" s="2973" t="s">
        <v>2719</v>
      </c>
      <c r="AA41" s="2973" t="s">
        <v>2720</v>
      </c>
      <c r="AB41" s="2973" t="s">
        <v>2720</v>
      </c>
      <c r="AC41" s="2973" t="s">
        <v>2721</v>
      </c>
      <c r="AD41" s="2973" t="s">
        <v>2544</v>
      </c>
      <c r="AE41" s="2973" t="s">
        <v>2734</v>
      </c>
      <c r="AF41" s="2973" t="s">
        <v>2491</v>
      </c>
      <c r="AG41" s="2973">
        <v>800</v>
      </c>
      <c r="AH41" s="2973">
        <v>800</v>
      </c>
      <c r="AI41" s="2973">
        <v>800</v>
      </c>
      <c r="AJ41" s="2973">
        <v>14.59</v>
      </c>
      <c r="AK41" s="2973">
        <v>14.59</v>
      </c>
      <c r="AL41" s="2973">
        <v>273.58999999999997</v>
      </c>
      <c r="AM41" s="2973">
        <v>273.58</v>
      </c>
      <c r="AN41" s="2973" t="s">
        <v>2491</v>
      </c>
      <c r="AO41" s="2973" t="s">
        <v>2491</v>
      </c>
      <c r="AP41" s="2973">
        <v>0</v>
      </c>
      <c r="AQ41" s="2973" t="s">
        <v>2545</v>
      </c>
      <c r="AR41" s="2973" t="s">
        <v>2491</v>
      </c>
      <c r="AS41" s="2973" t="s">
        <v>2491</v>
      </c>
      <c r="AT41" s="2973" t="s">
        <v>2491</v>
      </c>
      <c r="AU41" s="2973" t="s">
        <v>2546</v>
      </c>
      <c r="AV41" s="2973">
        <f t="shared" si="0"/>
        <v>219</v>
      </c>
    </row>
    <row r="42" spans="1:48">
      <c r="A42" s="2973" t="s">
        <v>2582</v>
      </c>
      <c r="B42" s="2973" t="s">
        <v>2583</v>
      </c>
      <c r="C42" s="2973" t="s">
        <v>1756</v>
      </c>
      <c r="D42" s="2973" t="s">
        <v>2584</v>
      </c>
      <c r="E42" s="2973" t="s">
        <v>2491</v>
      </c>
      <c r="F42" s="2973" t="s">
        <v>2582</v>
      </c>
      <c r="G42" s="2973" t="s">
        <v>2735</v>
      </c>
      <c r="H42" s="2973">
        <v>42448</v>
      </c>
      <c r="I42" s="2973">
        <v>33958.400000000001</v>
      </c>
      <c r="J42" s="2973" t="s">
        <v>2587</v>
      </c>
      <c r="K42" s="2973" t="s">
        <v>2542</v>
      </c>
      <c r="L42" s="2973" t="s">
        <v>1756</v>
      </c>
      <c r="M42" s="2973">
        <v>0</v>
      </c>
      <c r="N42" s="2973" t="s">
        <v>2491</v>
      </c>
      <c r="O42" s="2973" t="s">
        <v>2588</v>
      </c>
      <c r="P42" s="2973" t="s">
        <v>2491</v>
      </c>
      <c r="Q42" s="2973" t="s">
        <v>2491</v>
      </c>
      <c r="R42" s="2973" t="s">
        <v>2491</v>
      </c>
      <c r="S42" s="2973" t="s">
        <v>2491</v>
      </c>
      <c r="T42" s="2973" t="s">
        <v>2491</v>
      </c>
      <c r="U42" s="2973" t="s">
        <v>2491</v>
      </c>
      <c r="V42" s="2973" t="s">
        <v>2491</v>
      </c>
      <c r="W42" s="2973" t="s">
        <v>2491</v>
      </c>
      <c r="X42" s="2973" t="s">
        <v>2551</v>
      </c>
      <c r="Y42" s="2973" t="s">
        <v>2718</v>
      </c>
      <c r="Z42" s="2973" t="s">
        <v>2719</v>
      </c>
      <c r="AA42" s="2973" t="s">
        <v>2720</v>
      </c>
      <c r="AB42" s="2973" t="s">
        <v>2720</v>
      </c>
      <c r="AC42" s="2973" t="s">
        <v>2721</v>
      </c>
      <c r="AD42" s="2973" t="s">
        <v>2544</v>
      </c>
      <c r="AE42" s="2973" t="s">
        <v>2736</v>
      </c>
      <c r="AF42" s="2973" t="s">
        <v>2491</v>
      </c>
      <c r="AG42" s="2973">
        <v>933</v>
      </c>
      <c r="AH42" s="2973">
        <v>933</v>
      </c>
      <c r="AI42" s="2973">
        <v>933</v>
      </c>
      <c r="AJ42" s="2973">
        <v>14.65</v>
      </c>
      <c r="AK42" s="2973">
        <v>14.65</v>
      </c>
      <c r="AL42" s="2973">
        <v>274.74</v>
      </c>
      <c r="AM42" s="2973">
        <v>274.75</v>
      </c>
      <c r="AN42" s="2973" t="s">
        <v>2491</v>
      </c>
      <c r="AO42" s="2973" t="s">
        <v>2491</v>
      </c>
      <c r="AP42" s="2973">
        <v>0</v>
      </c>
      <c r="AQ42" s="2973" t="s">
        <v>2545</v>
      </c>
      <c r="AR42" s="2973" t="s">
        <v>2491</v>
      </c>
      <c r="AS42" s="2973" t="s">
        <v>2491</v>
      </c>
      <c r="AT42" s="2973" t="s">
        <v>2491</v>
      </c>
      <c r="AU42" s="2973" t="s">
        <v>2546</v>
      </c>
      <c r="AV42" s="2973">
        <f t="shared" si="0"/>
        <v>220</v>
      </c>
    </row>
    <row r="43" spans="1:48">
      <c r="A43" s="2973" t="s">
        <v>2699</v>
      </c>
      <c r="B43" s="2973" t="s">
        <v>2583</v>
      </c>
      <c r="C43" s="2973" t="s">
        <v>1756</v>
      </c>
      <c r="D43" s="2973" t="s">
        <v>2584</v>
      </c>
      <c r="E43" s="2973" t="s">
        <v>2491</v>
      </c>
      <c r="F43" s="2973" t="s">
        <v>2699</v>
      </c>
      <c r="G43" s="2973" t="s">
        <v>2737</v>
      </c>
      <c r="H43" s="2973">
        <v>46310</v>
      </c>
      <c r="I43" s="2973">
        <v>37048</v>
      </c>
      <c r="J43" s="2973" t="s">
        <v>2587</v>
      </c>
      <c r="K43" s="2973" t="s">
        <v>2542</v>
      </c>
      <c r="L43" s="2973" t="s">
        <v>1756</v>
      </c>
      <c r="M43" s="2973">
        <v>0</v>
      </c>
      <c r="N43" s="2973" t="s">
        <v>2491</v>
      </c>
      <c r="O43" s="2973" t="s">
        <v>2588</v>
      </c>
      <c r="P43" s="2973" t="s">
        <v>2491</v>
      </c>
      <c r="Q43" s="2973" t="s">
        <v>2491</v>
      </c>
      <c r="R43" s="2973" t="s">
        <v>2491</v>
      </c>
      <c r="S43" s="2973" t="s">
        <v>2491</v>
      </c>
      <c r="T43" s="2973" t="s">
        <v>2491</v>
      </c>
      <c r="U43" s="2973" t="s">
        <v>2491</v>
      </c>
      <c r="V43" s="2973" t="s">
        <v>2491</v>
      </c>
      <c r="W43" s="2973" t="s">
        <v>2491</v>
      </c>
      <c r="X43" s="2973" t="s">
        <v>2551</v>
      </c>
      <c r="Y43" s="2973" t="s">
        <v>2718</v>
      </c>
      <c r="Z43" s="2973" t="s">
        <v>2719</v>
      </c>
      <c r="AA43" s="2973" t="s">
        <v>2720</v>
      </c>
      <c r="AB43" s="2973" t="s">
        <v>2720</v>
      </c>
      <c r="AC43" s="2973" t="s">
        <v>2721</v>
      </c>
      <c r="AD43" s="2973" t="s">
        <v>2544</v>
      </c>
      <c r="AE43" s="2973" t="s">
        <v>2738</v>
      </c>
      <c r="AF43" s="2973" t="s">
        <v>2491</v>
      </c>
      <c r="AG43" s="2973">
        <v>1013</v>
      </c>
      <c r="AH43" s="2973">
        <v>1013</v>
      </c>
      <c r="AI43" s="2973">
        <v>1013</v>
      </c>
      <c r="AJ43" s="2973">
        <v>14.58</v>
      </c>
      <c r="AK43" s="2973">
        <v>14.58</v>
      </c>
      <c r="AL43" s="2973">
        <v>273.42</v>
      </c>
      <c r="AM43" s="2973">
        <v>273.43</v>
      </c>
      <c r="AN43" s="2973" t="s">
        <v>2491</v>
      </c>
      <c r="AO43" s="2973" t="s">
        <v>2491</v>
      </c>
      <c r="AP43" s="2973">
        <v>0</v>
      </c>
      <c r="AQ43" s="2973" t="s">
        <v>2545</v>
      </c>
      <c r="AR43" s="2973" t="s">
        <v>2491</v>
      </c>
      <c r="AS43" s="2973" t="s">
        <v>2491</v>
      </c>
      <c r="AT43" s="2973" t="s">
        <v>2491</v>
      </c>
      <c r="AU43" s="2973" t="s">
        <v>2546</v>
      </c>
      <c r="AV43" s="2973">
        <f t="shared" si="0"/>
        <v>219</v>
      </c>
    </row>
    <row r="44" spans="1:48">
      <c r="A44" s="2973" t="s">
        <v>2699</v>
      </c>
      <c r="B44" s="2973" t="s">
        <v>2583</v>
      </c>
      <c r="C44" s="2973" t="s">
        <v>1756</v>
      </c>
      <c r="D44" s="2973" t="s">
        <v>2584</v>
      </c>
      <c r="E44" s="2973" t="s">
        <v>2491</v>
      </c>
      <c r="F44" s="2973" t="s">
        <v>2699</v>
      </c>
      <c r="G44" s="2973" t="s">
        <v>2739</v>
      </c>
      <c r="H44" s="2973">
        <v>39530</v>
      </c>
      <c r="I44" s="2973">
        <v>31624</v>
      </c>
      <c r="J44" s="2973" t="s">
        <v>2587</v>
      </c>
      <c r="K44" s="2973" t="s">
        <v>2542</v>
      </c>
      <c r="L44" s="2973" t="s">
        <v>1756</v>
      </c>
      <c r="M44" s="2973">
        <v>0</v>
      </c>
      <c r="N44" s="2973" t="s">
        <v>2491</v>
      </c>
      <c r="O44" s="2973" t="s">
        <v>2588</v>
      </c>
      <c r="P44" s="2973" t="s">
        <v>2491</v>
      </c>
      <c r="Q44" s="2973" t="s">
        <v>2491</v>
      </c>
      <c r="R44" s="2973" t="s">
        <v>2491</v>
      </c>
      <c r="S44" s="2973" t="s">
        <v>2491</v>
      </c>
      <c r="T44" s="2973" t="s">
        <v>2491</v>
      </c>
      <c r="U44" s="2973" t="s">
        <v>2491</v>
      </c>
      <c r="V44" s="2973" t="s">
        <v>2491</v>
      </c>
      <c r="W44" s="2973" t="s">
        <v>2491</v>
      </c>
      <c r="X44" s="2973" t="s">
        <v>2551</v>
      </c>
      <c r="Y44" s="2973" t="s">
        <v>2718</v>
      </c>
      <c r="Z44" s="2973" t="s">
        <v>2719</v>
      </c>
      <c r="AA44" s="2973" t="s">
        <v>2720</v>
      </c>
      <c r="AB44" s="2973" t="s">
        <v>2720</v>
      </c>
      <c r="AC44" s="2973" t="s">
        <v>2721</v>
      </c>
      <c r="AD44" s="2973" t="s">
        <v>2544</v>
      </c>
      <c r="AE44" s="2973" t="s">
        <v>2740</v>
      </c>
      <c r="AF44" s="2973" t="s">
        <v>2491</v>
      </c>
      <c r="AG44" s="2973">
        <v>865</v>
      </c>
      <c r="AH44" s="2973">
        <v>865</v>
      </c>
      <c r="AI44" s="2973">
        <v>865</v>
      </c>
      <c r="AJ44" s="2973">
        <v>14.59</v>
      </c>
      <c r="AK44" s="2973">
        <v>14.59</v>
      </c>
      <c r="AL44" s="2973">
        <v>273.52</v>
      </c>
      <c r="AM44" s="2973">
        <v>273.52</v>
      </c>
      <c r="AN44" s="2973" t="s">
        <v>2491</v>
      </c>
      <c r="AO44" s="2973" t="s">
        <v>2491</v>
      </c>
      <c r="AP44" s="2973">
        <v>0</v>
      </c>
      <c r="AQ44" s="2973" t="s">
        <v>2545</v>
      </c>
      <c r="AR44" s="2973" t="s">
        <v>2491</v>
      </c>
      <c r="AS44" s="2973" t="s">
        <v>2491</v>
      </c>
      <c r="AT44" s="2973" t="s">
        <v>2491</v>
      </c>
      <c r="AU44" s="2973" t="s">
        <v>2546</v>
      </c>
      <c r="AV44" s="2973">
        <f t="shared" si="0"/>
        <v>219</v>
      </c>
    </row>
    <row r="45" spans="1:48">
      <c r="A45" s="2973" t="s">
        <v>2699</v>
      </c>
      <c r="B45" s="2973" t="s">
        <v>2583</v>
      </c>
      <c r="C45" s="2973" t="s">
        <v>1756</v>
      </c>
      <c r="D45" s="2973" t="s">
        <v>2584</v>
      </c>
      <c r="E45" s="2973" t="s">
        <v>2491</v>
      </c>
      <c r="F45" s="2973" t="s">
        <v>2699</v>
      </c>
      <c r="G45" s="2973" t="s">
        <v>2741</v>
      </c>
      <c r="H45" s="2973">
        <v>15811</v>
      </c>
      <c r="I45" s="2973">
        <v>12648.8</v>
      </c>
      <c r="J45" s="2973" t="s">
        <v>2587</v>
      </c>
      <c r="K45" s="2973" t="s">
        <v>2542</v>
      </c>
      <c r="L45" s="2973" t="s">
        <v>1756</v>
      </c>
      <c r="M45" s="2973">
        <v>0</v>
      </c>
      <c r="N45" s="2973" t="s">
        <v>2491</v>
      </c>
      <c r="O45" s="2973" t="s">
        <v>2588</v>
      </c>
      <c r="P45" s="2973" t="s">
        <v>2491</v>
      </c>
      <c r="Q45" s="2973" t="s">
        <v>2491</v>
      </c>
      <c r="R45" s="2973" t="s">
        <v>2491</v>
      </c>
      <c r="S45" s="2973" t="s">
        <v>2491</v>
      </c>
      <c r="T45" s="2973" t="s">
        <v>2491</v>
      </c>
      <c r="U45" s="2973" t="s">
        <v>2491</v>
      </c>
      <c r="V45" s="2973" t="s">
        <v>2491</v>
      </c>
      <c r="W45" s="2973" t="s">
        <v>2491</v>
      </c>
      <c r="X45" s="2973" t="s">
        <v>2551</v>
      </c>
      <c r="Y45" s="2973" t="s">
        <v>2718</v>
      </c>
      <c r="Z45" s="2973" t="s">
        <v>2719</v>
      </c>
      <c r="AA45" s="2973" t="s">
        <v>2720</v>
      </c>
      <c r="AB45" s="2973" t="s">
        <v>2720</v>
      </c>
      <c r="AC45" s="2973" t="s">
        <v>2721</v>
      </c>
      <c r="AD45" s="2973" t="s">
        <v>2544</v>
      </c>
      <c r="AE45" s="2973" t="s">
        <v>2742</v>
      </c>
      <c r="AF45" s="2973" t="s">
        <v>2491</v>
      </c>
      <c r="AG45" s="2973">
        <v>344</v>
      </c>
      <c r="AH45" s="2973">
        <v>344</v>
      </c>
      <c r="AI45" s="2973">
        <v>344</v>
      </c>
      <c r="AJ45" s="2973">
        <v>14.5</v>
      </c>
      <c r="AK45" s="2973">
        <v>14.5</v>
      </c>
      <c r="AL45" s="2973">
        <v>271.95999999999998</v>
      </c>
      <c r="AM45" s="2973">
        <v>271.95</v>
      </c>
      <c r="AN45" s="2973" t="s">
        <v>2491</v>
      </c>
      <c r="AO45" s="2973" t="s">
        <v>2491</v>
      </c>
      <c r="AP45" s="2973">
        <v>0</v>
      </c>
      <c r="AQ45" s="2973" t="s">
        <v>2545</v>
      </c>
      <c r="AR45" s="2973" t="s">
        <v>2491</v>
      </c>
      <c r="AS45" s="2973" t="s">
        <v>2491</v>
      </c>
      <c r="AT45" s="2973" t="s">
        <v>2491</v>
      </c>
      <c r="AU45" s="2973" t="s">
        <v>2546</v>
      </c>
      <c r="AV45" s="2973">
        <f t="shared" si="0"/>
        <v>218</v>
      </c>
    </row>
    <row r="46" spans="1:48">
      <c r="A46" s="2973" t="s">
        <v>2582</v>
      </c>
      <c r="B46" s="2973" t="s">
        <v>2583</v>
      </c>
      <c r="C46" s="2973" t="s">
        <v>1756</v>
      </c>
      <c r="D46" s="2973" t="s">
        <v>2584</v>
      </c>
      <c r="E46" s="2973" t="s">
        <v>2491</v>
      </c>
      <c r="F46" s="2973" t="s">
        <v>2582</v>
      </c>
      <c r="G46" s="2973" t="s">
        <v>2743</v>
      </c>
      <c r="H46" s="2973">
        <v>36665</v>
      </c>
      <c r="I46" s="2973">
        <v>29332</v>
      </c>
      <c r="J46" s="2973" t="s">
        <v>2587</v>
      </c>
      <c r="K46" s="2973" t="s">
        <v>2542</v>
      </c>
      <c r="L46" s="2973" t="s">
        <v>1756</v>
      </c>
      <c r="M46" s="2973">
        <v>0</v>
      </c>
      <c r="N46" s="2973" t="s">
        <v>2491</v>
      </c>
      <c r="O46" s="2973" t="s">
        <v>2588</v>
      </c>
      <c r="P46" s="2973" t="s">
        <v>2491</v>
      </c>
      <c r="Q46" s="2973" t="s">
        <v>2491</v>
      </c>
      <c r="R46" s="2973" t="s">
        <v>2491</v>
      </c>
      <c r="S46" s="2973" t="s">
        <v>2491</v>
      </c>
      <c r="T46" s="2973" t="s">
        <v>2491</v>
      </c>
      <c r="U46" s="2973" t="s">
        <v>2491</v>
      </c>
      <c r="V46" s="2973" t="s">
        <v>2491</v>
      </c>
      <c r="W46" s="2973" t="s">
        <v>2491</v>
      </c>
      <c r="X46" s="2973" t="s">
        <v>2551</v>
      </c>
      <c r="Y46" s="2973" t="s">
        <v>2718</v>
      </c>
      <c r="Z46" s="2973" t="s">
        <v>2719</v>
      </c>
      <c r="AA46" s="2973" t="s">
        <v>2720</v>
      </c>
      <c r="AB46" s="2973" t="s">
        <v>2720</v>
      </c>
      <c r="AC46" s="2973" t="s">
        <v>2721</v>
      </c>
      <c r="AD46" s="2973" t="s">
        <v>2544</v>
      </c>
      <c r="AE46" s="2973" t="s">
        <v>2744</v>
      </c>
      <c r="AF46" s="2973" t="s">
        <v>2491</v>
      </c>
      <c r="AG46" s="2973">
        <v>803</v>
      </c>
      <c r="AH46" s="2973">
        <v>803</v>
      </c>
      <c r="AI46" s="2973">
        <v>803</v>
      </c>
      <c r="AJ46" s="2973">
        <v>14.6</v>
      </c>
      <c r="AK46" s="2973">
        <v>14.6</v>
      </c>
      <c r="AL46" s="2973">
        <v>273.76</v>
      </c>
      <c r="AM46" s="2973">
        <v>273.75</v>
      </c>
      <c r="AN46" s="2973" t="s">
        <v>2491</v>
      </c>
      <c r="AO46" s="2973" t="s">
        <v>2491</v>
      </c>
      <c r="AP46" s="2973">
        <v>0</v>
      </c>
      <c r="AQ46" s="2973" t="s">
        <v>2545</v>
      </c>
      <c r="AR46" s="2973" t="s">
        <v>2491</v>
      </c>
      <c r="AS46" s="2973" t="s">
        <v>2491</v>
      </c>
      <c r="AT46" s="2973" t="s">
        <v>2491</v>
      </c>
      <c r="AU46" s="2973" t="s">
        <v>2546</v>
      </c>
      <c r="AV46" s="2973">
        <f t="shared" si="0"/>
        <v>219</v>
      </c>
    </row>
    <row r="47" spans="1:48">
      <c r="A47" s="2973" t="s">
        <v>2582</v>
      </c>
      <c r="B47" s="2973" t="s">
        <v>2583</v>
      </c>
      <c r="C47" s="2973" t="s">
        <v>1756</v>
      </c>
      <c r="D47" s="2973" t="s">
        <v>2584</v>
      </c>
      <c r="E47" s="2973" t="s">
        <v>2491</v>
      </c>
      <c r="F47" s="2973" t="s">
        <v>2582</v>
      </c>
      <c r="G47" s="2973" t="s">
        <v>2745</v>
      </c>
      <c r="H47" s="2973">
        <v>110427</v>
      </c>
      <c r="I47" s="2973">
        <v>88341.6</v>
      </c>
      <c r="J47" s="2973" t="s">
        <v>2587</v>
      </c>
      <c r="K47" s="2973" t="s">
        <v>2542</v>
      </c>
      <c r="L47" s="2973" t="s">
        <v>1756</v>
      </c>
      <c r="M47" s="2973">
        <v>0</v>
      </c>
      <c r="N47" s="2973" t="s">
        <v>2491</v>
      </c>
      <c r="O47" s="2973" t="s">
        <v>2588</v>
      </c>
      <c r="P47" s="2973" t="s">
        <v>2491</v>
      </c>
      <c r="Q47" s="2973" t="s">
        <v>2491</v>
      </c>
      <c r="R47" s="2973" t="s">
        <v>2491</v>
      </c>
      <c r="S47" s="2973" t="s">
        <v>2491</v>
      </c>
      <c r="T47" s="2973" t="s">
        <v>2491</v>
      </c>
      <c r="U47" s="2973" t="s">
        <v>2491</v>
      </c>
      <c r="V47" s="2973" t="s">
        <v>2491</v>
      </c>
      <c r="W47" s="2973" t="s">
        <v>2491</v>
      </c>
      <c r="X47" s="2973" t="s">
        <v>2551</v>
      </c>
      <c r="Y47" s="2973" t="s">
        <v>2718</v>
      </c>
      <c r="Z47" s="2973" t="s">
        <v>2719</v>
      </c>
      <c r="AA47" s="2973" t="s">
        <v>2720</v>
      </c>
      <c r="AB47" s="2973" t="s">
        <v>2720</v>
      </c>
      <c r="AC47" s="2973" t="s">
        <v>2721</v>
      </c>
      <c r="AD47" s="2973" t="s">
        <v>2544</v>
      </c>
      <c r="AE47" s="2973" t="s">
        <v>2746</v>
      </c>
      <c r="AF47" s="2973" t="s">
        <v>2491</v>
      </c>
      <c r="AG47" s="2973">
        <v>2425</v>
      </c>
      <c r="AH47" s="2973">
        <v>2425</v>
      </c>
      <c r="AI47" s="2973">
        <v>2425</v>
      </c>
      <c r="AJ47" s="2973">
        <v>14.64</v>
      </c>
      <c r="AK47" s="2973">
        <v>14.64</v>
      </c>
      <c r="AL47" s="2973">
        <v>274.5</v>
      </c>
      <c r="AM47" s="2973">
        <v>274.5</v>
      </c>
      <c r="AN47" s="2973" t="s">
        <v>2491</v>
      </c>
      <c r="AO47" s="2973" t="s">
        <v>2491</v>
      </c>
      <c r="AP47" s="2973">
        <v>0</v>
      </c>
      <c r="AQ47" s="2973" t="s">
        <v>2545</v>
      </c>
      <c r="AR47" s="2973" t="s">
        <v>2491</v>
      </c>
      <c r="AS47" s="2973" t="s">
        <v>2491</v>
      </c>
      <c r="AT47" s="2973" t="s">
        <v>2491</v>
      </c>
      <c r="AU47" s="2973" t="s">
        <v>2546</v>
      </c>
      <c r="AV47" s="2973">
        <f t="shared" si="0"/>
        <v>220</v>
      </c>
    </row>
    <row r="48" spans="1:48">
      <c r="A48" s="2973" t="s">
        <v>2699</v>
      </c>
      <c r="B48" s="2973" t="s">
        <v>2583</v>
      </c>
      <c r="C48" s="2973" t="s">
        <v>1756</v>
      </c>
      <c r="D48" s="2973" t="s">
        <v>2584</v>
      </c>
      <c r="E48" s="2973" t="s">
        <v>2491</v>
      </c>
      <c r="F48" s="2973" t="s">
        <v>2699</v>
      </c>
      <c r="G48" s="2973" t="s">
        <v>2747</v>
      </c>
      <c r="H48" s="2973">
        <v>15694</v>
      </c>
      <c r="I48" s="2973">
        <v>12555.2</v>
      </c>
      <c r="J48" s="2973" t="s">
        <v>2587</v>
      </c>
      <c r="K48" s="2973" t="s">
        <v>2542</v>
      </c>
      <c r="L48" s="2973" t="s">
        <v>1756</v>
      </c>
      <c r="M48" s="2973">
        <v>0</v>
      </c>
      <c r="N48" s="2973" t="s">
        <v>2491</v>
      </c>
      <c r="O48" s="2973" t="s">
        <v>2588</v>
      </c>
      <c r="P48" s="2973" t="s">
        <v>2491</v>
      </c>
      <c r="Q48" s="2973" t="s">
        <v>2491</v>
      </c>
      <c r="R48" s="2973" t="s">
        <v>2491</v>
      </c>
      <c r="S48" s="2973" t="s">
        <v>2491</v>
      </c>
      <c r="T48" s="2973" t="s">
        <v>2491</v>
      </c>
      <c r="U48" s="2973" t="s">
        <v>2491</v>
      </c>
      <c r="V48" s="2973" t="s">
        <v>2491</v>
      </c>
      <c r="W48" s="2973" t="s">
        <v>2491</v>
      </c>
      <c r="X48" s="2973" t="s">
        <v>2551</v>
      </c>
      <c r="Y48" s="2973" t="s">
        <v>2718</v>
      </c>
      <c r="Z48" s="2973" t="s">
        <v>2719</v>
      </c>
      <c r="AA48" s="2973" t="s">
        <v>2720</v>
      </c>
      <c r="AB48" s="2973" t="s">
        <v>2720</v>
      </c>
      <c r="AC48" s="2973" t="s">
        <v>2721</v>
      </c>
      <c r="AD48" s="2973" t="s">
        <v>2544</v>
      </c>
      <c r="AE48" s="2973" t="s">
        <v>2748</v>
      </c>
      <c r="AF48" s="2973" t="s">
        <v>2491</v>
      </c>
      <c r="AG48" s="2973">
        <v>340</v>
      </c>
      <c r="AH48" s="2973">
        <v>340</v>
      </c>
      <c r="AI48" s="2973">
        <v>340</v>
      </c>
      <c r="AJ48" s="2973">
        <v>14.44</v>
      </c>
      <c r="AK48" s="2973">
        <v>14.44</v>
      </c>
      <c r="AL48" s="2973">
        <v>270.8</v>
      </c>
      <c r="AM48" s="2973">
        <v>270.8</v>
      </c>
      <c r="AN48" s="2973" t="s">
        <v>2491</v>
      </c>
      <c r="AO48" s="2973" t="s">
        <v>2491</v>
      </c>
      <c r="AP48" s="2973">
        <v>0</v>
      </c>
      <c r="AQ48" s="2973" t="s">
        <v>2545</v>
      </c>
      <c r="AR48" s="2973" t="s">
        <v>2491</v>
      </c>
      <c r="AS48" s="2973" t="s">
        <v>2491</v>
      </c>
      <c r="AT48" s="2973" t="s">
        <v>2491</v>
      </c>
      <c r="AU48" s="2973" t="s">
        <v>2546</v>
      </c>
      <c r="AV48" s="2973">
        <f t="shared" si="0"/>
        <v>217</v>
      </c>
    </row>
    <row r="49" spans="1:48">
      <c r="A49" s="2973" t="s">
        <v>2699</v>
      </c>
      <c r="B49" s="2973" t="s">
        <v>2583</v>
      </c>
      <c r="C49" s="2973" t="s">
        <v>1756</v>
      </c>
      <c r="D49" s="2973" t="s">
        <v>2584</v>
      </c>
      <c r="E49" s="2973" t="s">
        <v>2491</v>
      </c>
      <c r="F49" s="2973" t="s">
        <v>2699</v>
      </c>
      <c r="G49" s="2973" t="s">
        <v>2749</v>
      </c>
      <c r="H49" s="2973">
        <v>46224</v>
      </c>
      <c r="I49" s="2973">
        <v>36979.199999999997</v>
      </c>
      <c r="J49" s="2973" t="s">
        <v>2587</v>
      </c>
      <c r="K49" s="2973" t="s">
        <v>2542</v>
      </c>
      <c r="L49" s="2973" t="s">
        <v>1756</v>
      </c>
      <c r="M49" s="2973">
        <v>0</v>
      </c>
      <c r="N49" s="2973" t="s">
        <v>2491</v>
      </c>
      <c r="O49" s="2973" t="s">
        <v>2588</v>
      </c>
      <c r="P49" s="2973" t="s">
        <v>2491</v>
      </c>
      <c r="Q49" s="2973" t="s">
        <v>2491</v>
      </c>
      <c r="R49" s="2973" t="s">
        <v>2491</v>
      </c>
      <c r="S49" s="2973" t="s">
        <v>2491</v>
      </c>
      <c r="T49" s="2973" t="s">
        <v>2491</v>
      </c>
      <c r="U49" s="2973" t="s">
        <v>2491</v>
      </c>
      <c r="V49" s="2973" t="s">
        <v>2491</v>
      </c>
      <c r="W49" s="2973" t="s">
        <v>2491</v>
      </c>
      <c r="X49" s="2973" t="s">
        <v>2551</v>
      </c>
      <c r="Y49" s="2973" t="s">
        <v>2718</v>
      </c>
      <c r="Z49" s="2973" t="s">
        <v>2719</v>
      </c>
      <c r="AA49" s="2973" t="s">
        <v>2720</v>
      </c>
      <c r="AB49" s="2973" t="s">
        <v>2720</v>
      </c>
      <c r="AC49" s="2973" t="s">
        <v>2721</v>
      </c>
      <c r="AD49" s="2973" t="s">
        <v>2544</v>
      </c>
      <c r="AE49" s="2973" t="s">
        <v>2750</v>
      </c>
      <c r="AF49" s="2973" t="s">
        <v>2491</v>
      </c>
      <c r="AG49" s="2973">
        <v>1002</v>
      </c>
      <c r="AH49" s="2973">
        <v>1002</v>
      </c>
      <c r="AI49" s="2973">
        <v>1002</v>
      </c>
      <c r="AJ49" s="2973">
        <v>14.45</v>
      </c>
      <c r="AK49" s="2973">
        <v>14.45</v>
      </c>
      <c r="AL49" s="2973">
        <v>270.95999999999998</v>
      </c>
      <c r="AM49" s="2973">
        <v>270.95</v>
      </c>
      <c r="AN49" s="2973" t="s">
        <v>2491</v>
      </c>
      <c r="AO49" s="2973" t="s">
        <v>2491</v>
      </c>
      <c r="AP49" s="2973">
        <v>0</v>
      </c>
      <c r="AQ49" s="2973" t="s">
        <v>2545</v>
      </c>
      <c r="AR49" s="2973" t="s">
        <v>2491</v>
      </c>
      <c r="AS49" s="2973" t="s">
        <v>2491</v>
      </c>
      <c r="AT49" s="2973" t="s">
        <v>2491</v>
      </c>
      <c r="AU49" s="2973" t="s">
        <v>2546</v>
      </c>
      <c r="AV49" s="2973">
        <f t="shared" si="0"/>
        <v>217</v>
      </c>
    </row>
    <row r="50" spans="1:48">
      <c r="A50" s="2973" t="s">
        <v>2582</v>
      </c>
      <c r="B50" s="2973" t="s">
        <v>2583</v>
      </c>
      <c r="C50" s="2973" t="s">
        <v>1756</v>
      </c>
      <c r="D50" s="2973" t="s">
        <v>2584</v>
      </c>
      <c r="E50" s="2973" t="s">
        <v>2491</v>
      </c>
      <c r="F50" s="2973" t="s">
        <v>2582</v>
      </c>
      <c r="G50" s="2973" t="s">
        <v>2751</v>
      </c>
      <c r="H50" s="2973">
        <v>60253</v>
      </c>
      <c r="I50" s="2973">
        <v>48202.400000000001</v>
      </c>
      <c r="J50" s="2973" t="s">
        <v>2587</v>
      </c>
      <c r="K50" s="2973" t="s">
        <v>2542</v>
      </c>
      <c r="L50" s="2973" t="s">
        <v>1756</v>
      </c>
      <c r="M50" s="2973">
        <v>0</v>
      </c>
      <c r="N50" s="2973" t="s">
        <v>2491</v>
      </c>
      <c r="O50" s="2973" t="s">
        <v>2588</v>
      </c>
      <c r="P50" s="2973" t="s">
        <v>2491</v>
      </c>
      <c r="Q50" s="2973" t="s">
        <v>2491</v>
      </c>
      <c r="R50" s="2973" t="s">
        <v>2491</v>
      </c>
      <c r="S50" s="2973" t="s">
        <v>2491</v>
      </c>
      <c r="T50" s="2973" t="s">
        <v>2491</v>
      </c>
      <c r="U50" s="2973" t="s">
        <v>2491</v>
      </c>
      <c r="V50" s="2973" t="s">
        <v>2491</v>
      </c>
      <c r="W50" s="2973" t="s">
        <v>2491</v>
      </c>
      <c r="X50" s="2973" t="s">
        <v>2551</v>
      </c>
      <c r="Y50" s="2973" t="s">
        <v>2718</v>
      </c>
      <c r="Z50" s="2973" t="s">
        <v>2719</v>
      </c>
      <c r="AA50" s="2973" t="s">
        <v>2720</v>
      </c>
      <c r="AB50" s="2973" t="s">
        <v>2720</v>
      </c>
      <c r="AC50" s="2973" t="s">
        <v>2721</v>
      </c>
      <c r="AD50" s="2973" t="s">
        <v>2544</v>
      </c>
      <c r="AE50" s="2973" t="s">
        <v>2752</v>
      </c>
      <c r="AF50" s="2973" t="s">
        <v>2491</v>
      </c>
      <c r="AG50" s="2973">
        <v>1318</v>
      </c>
      <c r="AH50" s="2973">
        <v>1318</v>
      </c>
      <c r="AI50" s="2973">
        <v>1318</v>
      </c>
      <c r="AJ50" s="2973">
        <v>14.58</v>
      </c>
      <c r="AK50" s="2973">
        <v>14.58</v>
      </c>
      <c r="AL50" s="2973">
        <v>273.43</v>
      </c>
      <c r="AM50" s="2973">
        <v>273.43</v>
      </c>
      <c r="AN50" s="2973" t="s">
        <v>2491</v>
      </c>
      <c r="AO50" s="2973" t="s">
        <v>2491</v>
      </c>
      <c r="AP50" s="2973">
        <v>0</v>
      </c>
      <c r="AQ50" s="2973" t="s">
        <v>2545</v>
      </c>
      <c r="AR50" s="2973" t="s">
        <v>2491</v>
      </c>
      <c r="AS50" s="2973" t="s">
        <v>2491</v>
      </c>
      <c r="AT50" s="2973" t="s">
        <v>2491</v>
      </c>
      <c r="AU50" s="2973" t="s">
        <v>2546</v>
      </c>
      <c r="AV50" s="2973">
        <f t="shared" si="0"/>
        <v>219</v>
      </c>
    </row>
    <row r="51" spans="1:48">
      <c r="A51" s="2973" t="s">
        <v>2753</v>
      </c>
      <c r="B51" s="2973" t="s">
        <v>2583</v>
      </c>
      <c r="C51" s="2973" t="s">
        <v>1756</v>
      </c>
      <c r="D51" s="2973" t="s">
        <v>2584</v>
      </c>
      <c r="E51" s="2973" t="s">
        <v>2491</v>
      </c>
      <c r="F51" s="2973" t="s">
        <v>2753</v>
      </c>
      <c r="G51" s="2973" t="s">
        <v>2754</v>
      </c>
      <c r="H51" s="2973">
        <v>33912</v>
      </c>
      <c r="I51" s="2973">
        <v>27129.599999999999</v>
      </c>
      <c r="J51" s="2973" t="s">
        <v>2626</v>
      </c>
      <c r="K51" s="2973" t="s">
        <v>2542</v>
      </c>
      <c r="L51" s="2973" t="s">
        <v>1756</v>
      </c>
      <c r="M51" s="2973">
        <v>0</v>
      </c>
      <c r="N51" s="2973" t="s">
        <v>2491</v>
      </c>
      <c r="O51" s="2973" t="s">
        <v>2631</v>
      </c>
      <c r="P51" s="2973" t="s">
        <v>2491</v>
      </c>
      <c r="Q51" s="2973" t="s">
        <v>2491</v>
      </c>
      <c r="R51" s="2973" t="s">
        <v>2491</v>
      </c>
      <c r="S51" s="2973" t="s">
        <v>2491</v>
      </c>
      <c r="T51" s="2973" t="s">
        <v>2491</v>
      </c>
      <c r="U51" s="2973" t="s">
        <v>2491</v>
      </c>
      <c r="V51" s="2973" t="s">
        <v>2491</v>
      </c>
      <c r="W51" s="2973" t="s">
        <v>2491</v>
      </c>
      <c r="X51" s="2973" t="s">
        <v>2551</v>
      </c>
      <c r="Y51" s="2973" t="s">
        <v>2755</v>
      </c>
      <c r="Z51" s="2973" t="s">
        <v>2756</v>
      </c>
      <c r="AA51" s="2973" t="s">
        <v>2757</v>
      </c>
      <c r="AB51" s="2973" t="s">
        <v>2757</v>
      </c>
      <c r="AC51" s="2973" t="s">
        <v>2758</v>
      </c>
      <c r="AD51" s="2973" t="s">
        <v>2544</v>
      </c>
      <c r="AE51" s="2973" t="s">
        <v>2759</v>
      </c>
      <c r="AF51" s="2973" t="s">
        <v>2491</v>
      </c>
      <c r="AG51" s="2973">
        <v>363</v>
      </c>
      <c r="AH51" s="2973">
        <v>725</v>
      </c>
      <c r="AI51" s="2973">
        <v>725</v>
      </c>
      <c r="AJ51" s="2973">
        <v>14.25</v>
      </c>
      <c r="AK51" s="2973">
        <v>14.25</v>
      </c>
      <c r="AL51" s="2973">
        <v>267.23</v>
      </c>
      <c r="AM51" s="2973">
        <v>267.24</v>
      </c>
      <c r="AN51" s="2973" t="s">
        <v>2491</v>
      </c>
      <c r="AO51" s="2973" t="s">
        <v>2491</v>
      </c>
      <c r="AP51" s="2973">
        <v>0</v>
      </c>
      <c r="AQ51" s="2973" t="s">
        <v>2545</v>
      </c>
      <c r="AR51" s="2973" t="s">
        <v>2491</v>
      </c>
      <c r="AS51" s="2973" t="s">
        <v>2491</v>
      </c>
      <c r="AT51" s="2973" t="s">
        <v>2491</v>
      </c>
      <c r="AU51" s="2973" t="s">
        <v>2546</v>
      </c>
      <c r="AV51" s="2973">
        <f t="shared" si="0"/>
        <v>214</v>
      </c>
    </row>
  </sheetData>
  <phoneticPr fontId="209" type="noConversion"/>
  <pageMargins left="0.69930555555555596" right="0.69930555555555596"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abSelected="1" topLeftCell="F1" workbookViewId="0">
      <selection activeCell="R19" sqref="R19"/>
    </sheetView>
  </sheetViews>
  <sheetFormatPr defaultRowHeight="13.5"/>
  <cols>
    <col min="2" max="2" width="12.125" customWidth="1"/>
    <col min="3" max="3" width="14.125" customWidth="1"/>
    <col min="10" max="10" width="26.75" customWidth="1"/>
    <col min="11" max="11" width="11.125" customWidth="1"/>
    <col min="12" max="12" width="11.25" customWidth="1"/>
    <col min="13" max="13" width="12.75" customWidth="1"/>
    <col min="16" max="16" width="16.5" customWidth="1"/>
  </cols>
  <sheetData>
    <row r="1" spans="1:16">
      <c r="A1" s="1"/>
      <c r="B1" s="1"/>
      <c r="C1" s="1"/>
      <c r="D1" s="1"/>
      <c r="E1" s="1"/>
      <c r="F1" s="1"/>
      <c r="H1" s="3307"/>
      <c r="I1" s="3308" t="s">
        <v>2784</v>
      </c>
      <c r="J1" s="3307"/>
      <c r="K1" s="3307"/>
      <c r="L1" s="3307"/>
      <c r="M1" s="3307"/>
      <c r="P1" s="3314" t="s">
        <v>2831</v>
      </c>
    </row>
    <row r="2" spans="1:16">
      <c r="A2" s="1"/>
      <c r="B2" s="2244"/>
      <c r="C2" s="2244" t="s">
        <v>2762</v>
      </c>
      <c r="D2" s="2244" t="s">
        <v>2763</v>
      </c>
      <c r="E2" s="1"/>
      <c r="F2" s="1"/>
      <c r="H2" s="3307"/>
      <c r="I2" s="3307"/>
      <c r="J2" s="3309" t="s">
        <v>2762</v>
      </c>
      <c r="K2" s="3308" t="s">
        <v>2817</v>
      </c>
      <c r="L2" s="3308" t="s">
        <v>2824</v>
      </c>
      <c r="M2" s="3308" t="s">
        <v>2825</v>
      </c>
      <c r="P2" s="3316" t="s">
        <v>2830</v>
      </c>
    </row>
    <row r="3" spans="1:16">
      <c r="A3" s="1"/>
      <c r="B3" s="3306" t="s">
        <v>2764</v>
      </c>
      <c r="C3" s="2975" t="s">
        <v>2765</v>
      </c>
      <c r="D3" s="2980">
        <v>11053.06</v>
      </c>
      <c r="E3" s="1"/>
      <c r="F3" s="1"/>
      <c r="H3" s="3308" t="s">
        <v>2785</v>
      </c>
      <c r="I3" s="3317">
        <v>1</v>
      </c>
      <c r="J3" s="3318" t="s">
        <v>2790</v>
      </c>
      <c r="K3" s="3318" t="s">
        <v>2818</v>
      </c>
      <c r="L3" s="3317">
        <v>453.39</v>
      </c>
      <c r="M3" s="3317">
        <v>453.39</v>
      </c>
      <c r="P3" s="3315" t="s">
        <v>2832</v>
      </c>
    </row>
    <row r="4" spans="1:16">
      <c r="A4" s="1"/>
      <c r="B4" s="3306"/>
      <c r="C4" s="2975" t="s">
        <v>2766</v>
      </c>
      <c r="D4" s="2980">
        <v>11064.27</v>
      </c>
      <c r="E4" s="1"/>
      <c r="F4" s="1"/>
      <c r="H4" s="3307"/>
      <c r="I4" s="3318" t="s">
        <v>2786</v>
      </c>
      <c r="J4" s="3318" t="s">
        <v>2791</v>
      </c>
      <c r="K4" s="3318" t="s">
        <v>2818</v>
      </c>
      <c r="L4" s="3317">
        <v>136.59</v>
      </c>
      <c r="M4" s="3317">
        <v>136.59</v>
      </c>
    </row>
    <row r="5" spans="1:16">
      <c r="A5" s="1"/>
      <c r="B5" s="3306"/>
      <c r="C5" s="2975" t="s">
        <v>2767</v>
      </c>
      <c r="D5" s="2980">
        <v>1154.5999999999999</v>
      </c>
      <c r="E5" s="1"/>
      <c r="F5" s="1"/>
      <c r="H5" s="3307"/>
      <c r="I5" s="3308" t="s">
        <v>2787</v>
      </c>
      <c r="J5" s="3308" t="s">
        <v>2792</v>
      </c>
      <c r="K5" s="3307"/>
      <c r="L5" s="3307">
        <v>543.95000000000005</v>
      </c>
      <c r="M5" s="3308" t="s">
        <v>2827</v>
      </c>
    </row>
    <row r="6" spans="1:16">
      <c r="A6" s="1"/>
      <c r="B6" s="3306"/>
      <c r="C6" s="2975" t="s">
        <v>2768</v>
      </c>
      <c r="D6" s="2975">
        <v>4351.3</v>
      </c>
      <c r="E6" s="1"/>
      <c r="F6" s="1"/>
      <c r="H6" s="3307"/>
      <c r="I6" s="3317">
        <v>3</v>
      </c>
      <c r="J6" s="3318" t="s">
        <v>2793</v>
      </c>
      <c r="K6" s="3318" t="s">
        <v>2819</v>
      </c>
      <c r="L6" s="3317">
        <v>591.17999999999995</v>
      </c>
      <c r="M6" s="3317">
        <v>1182.3599999999999</v>
      </c>
    </row>
    <row r="7" spans="1:16">
      <c r="A7" s="1"/>
      <c r="B7" s="3306"/>
      <c r="C7" s="2975" t="s">
        <v>2769</v>
      </c>
      <c r="D7" s="2975">
        <v>1037.3800000000001</v>
      </c>
      <c r="E7" s="1"/>
      <c r="F7" s="1"/>
      <c r="H7" s="3307"/>
      <c r="I7" s="3317">
        <v>4</v>
      </c>
      <c r="J7" s="3318" t="s">
        <v>2794</v>
      </c>
      <c r="K7" s="3318" t="s">
        <v>2818</v>
      </c>
      <c r="L7" s="3317">
        <v>193.6</v>
      </c>
      <c r="M7" s="3317">
        <v>193.6</v>
      </c>
    </row>
    <row r="8" spans="1:16">
      <c r="A8" s="1"/>
      <c r="B8" s="2976"/>
      <c r="C8" s="2977" t="s">
        <v>481</v>
      </c>
      <c r="D8" s="2247">
        <v>28660.61</v>
      </c>
      <c r="E8" s="1"/>
      <c r="F8" s="1"/>
      <c r="H8" s="3307"/>
      <c r="I8" s="3317">
        <v>5</v>
      </c>
      <c r="J8" s="3318" t="s">
        <v>2795</v>
      </c>
      <c r="K8" s="3318" t="s">
        <v>2818</v>
      </c>
      <c r="L8" s="3317">
        <v>688.45</v>
      </c>
      <c r="M8" s="3316">
        <v>688.45</v>
      </c>
    </row>
    <row r="9" spans="1:16">
      <c r="A9" s="1"/>
      <c r="B9" s="3306" t="s">
        <v>2770</v>
      </c>
      <c r="C9" s="2978" t="s">
        <v>2771</v>
      </c>
      <c r="D9" s="2980">
        <v>448.2</v>
      </c>
      <c r="E9" s="1"/>
      <c r="F9" s="1"/>
      <c r="H9" s="3307"/>
      <c r="I9" s="3310">
        <v>6</v>
      </c>
      <c r="J9" s="3311" t="s">
        <v>2796</v>
      </c>
      <c r="K9" s="3311" t="s">
        <v>2818</v>
      </c>
      <c r="L9" s="3310">
        <v>1154.5999999999999</v>
      </c>
      <c r="M9" s="3310">
        <v>1154.5999999999999</v>
      </c>
    </row>
    <row r="10" spans="1:16">
      <c r="A10" s="1"/>
      <c r="B10" s="3306"/>
      <c r="C10" s="2978" t="s">
        <v>2772</v>
      </c>
      <c r="D10" s="2975">
        <v>688.45</v>
      </c>
      <c r="E10" s="1"/>
      <c r="F10" s="1"/>
      <c r="H10" s="3307"/>
      <c r="I10" s="3307">
        <v>7</v>
      </c>
      <c r="J10" s="3308" t="s">
        <v>2797</v>
      </c>
      <c r="K10" s="3307"/>
      <c r="L10" s="3307">
        <v>1466.8</v>
      </c>
      <c r="M10" s="3308" t="s">
        <v>2827</v>
      </c>
    </row>
    <row r="11" spans="1:16">
      <c r="A11" s="1"/>
      <c r="B11" s="3306"/>
      <c r="C11" s="2978" t="s">
        <v>2773</v>
      </c>
      <c r="D11" s="2975">
        <v>193.6</v>
      </c>
      <c r="E11" s="1"/>
      <c r="F11" s="1"/>
      <c r="H11" s="3307"/>
      <c r="I11" s="3307">
        <v>8</v>
      </c>
      <c r="J11" s="3308" t="s">
        <v>2798</v>
      </c>
      <c r="K11" s="3307"/>
      <c r="L11" s="3307">
        <v>1440</v>
      </c>
      <c r="M11" s="3308" t="s">
        <v>2827</v>
      </c>
    </row>
    <row r="12" spans="1:16">
      <c r="A12" s="1"/>
      <c r="B12" s="3306"/>
      <c r="C12" s="2978" t="s">
        <v>2774</v>
      </c>
      <c r="D12" s="2975">
        <v>453.39</v>
      </c>
      <c r="E12" s="1"/>
      <c r="F12" s="1"/>
      <c r="H12" s="3307"/>
      <c r="I12" s="3317">
        <v>9</v>
      </c>
      <c r="J12" s="3318" t="s">
        <v>2799</v>
      </c>
      <c r="K12" s="3318" t="s">
        <v>2818</v>
      </c>
      <c r="L12" s="3317">
        <v>448.2</v>
      </c>
      <c r="M12" s="3316">
        <v>448.2</v>
      </c>
    </row>
    <row r="13" spans="1:16">
      <c r="A13" s="1"/>
      <c r="B13" s="3306"/>
      <c r="C13" s="2978" t="s">
        <v>2775</v>
      </c>
      <c r="D13" s="2975">
        <v>136.59</v>
      </c>
      <c r="E13" s="1"/>
      <c r="F13" s="1"/>
      <c r="H13" s="3307"/>
      <c r="I13" s="3310">
        <v>10</v>
      </c>
      <c r="J13" s="3311" t="s">
        <v>2797</v>
      </c>
      <c r="K13" s="3311" t="s">
        <v>2820</v>
      </c>
      <c r="L13" s="3310">
        <v>5729.335</v>
      </c>
      <c r="M13" s="3312">
        <v>11064.27</v>
      </c>
    </row>
    <row r="14" spans="1:16">
      <c r="A14" s="1"/>
      <c r="B14" s="3306"/>
      <c r="C14" s="2978" t="s">
        <v>2776</v>
      </c>
      <c r="D14" s="2975">
        <v>1182.3599999999999</v>
      </c>
      <c r="E14" s="1"/>
      <c r="F14" s="1"/>
      <c r="H14" s="3307"/>
      <c r="I14" s="3310">
        <v>11</v>
      </c>
      <c r="J14" s="3311" t="s">
        <v>2800</v>
      </c>
      <c r="K14" s="3311" t="s">
        <v>2819</v>
      </c>
      <c r="L14" s="3310">
        <v>5526.53</v>
      </c>
      <c r="M14" s="3310">
        <v>11053.06</v>
      </c>
    </row>
    <row r="15" spans="1:16">
      <c r="A15" s="1"/>
      <c r="B15" s="3306"/>
      <c r="C15" s="2978" t="s">
        <v>2777</v>
      </c>
      <c r="D15" s="2975">
        <v>255</v>
      </c>
      <c r="E15" s="1"/>
      <c r="F15" s="1"/>
      <c r="H15" s="3307"/>
      <c r="I15" s="3310">
        <v>12</v>
      </c>
      <c r="J15" s="3311" t="s">
        <v>2801</v>
      </c>
      <c r="K15" s="3311" t="s">
        <v>2821</v>
      </c>
      <c r="L15" s="3310">
        <v>1127.3399999999999</v>
      </c>
      <c r="M15" s="3310">
        <v>4351.3</v>
      </c>
    </row>
    <row r="16" spans="1:16">
      <c r="A16" s="1"/>
      <c r="B16" s="3306"/>
      <c r="C16" s="2978" t="s">
        <v>2778</v>
      </c>
      <c r="D16" s="2975">
        <v>524.1</v>
      </c>
      <c r="E16" s="1"/>
      <c r="F16" s="1"/>
      <c r="H16" s="3307"/>
      <c r="I16" s="3310">
        <v>13</v>
      </c>
      <c r="J16" s="3311" t="s">
        <v>2802</v>
      </c>
      <c r="K16" s="3311" t="s">
        <v>2822</v>
      </c>
      <c r="L16" s="3310">
        <v>287.79000000000002</v>
      </c>
      <c r="M16" s="3310">
        <v>1037.3800000000001</v>
      </c>
    </row>
    <row r="17" spans="1:13">
      <c r="A17" s="1"/>
      <c r="B17" s="3306"/>
      <c r="C17" s="2975" t="s">
        <v>2779</v>
      </c>
      <c r="D17" s="2975">
        <v>130.5</v>
      </c>
      <c r="E17" s="1"/>
      <c r="F17" s="1"/>
      <c r="H17" s="3307"/>
      <c r="I17" s="3317">
        <v>17</v>
      </c>
      <c r="J17" s="3318" t="s">
        <v>2803</v>
      </c>
      <c r="K17" s="3318" t="s">
        <v>2818</v>
      </c>
      <c r="L17" s="3317">
        <v>255</v>
      </c>
      <c r="M17" s="3319">
        <v>255.02</v>
      </c>
    </row>
    <row r="18" spans="1:13">
      <c r="A18" s="1"/>
      <c r="B18" s="3306"/>
      <c r="C18" s="2975" t="s">
        <v>2780</v>
      </c>
      <c r="D18" s="2975">
        <v>130.5</v>
      </c>
      <c r="E18" s="1"/>
      <c r="F18" s="1"/>
      <c r="H18" s="3307"/>
      <c r="I18" s="3307">
        <v>24</v>
      </c>
      <c r="J18" s="3308" t="s">
        <v>2804</v>
      </c>
      <c r="K18" s="3308" t="s">
        <v>2818</v>
      </c>
      <c r="L18" s="3307">
        <v>53.46</v>
      </c>
      <c r="M18" s="3308" t="s">
        <v>2833</v>
      </c>
    </row>
    <row r="19" spans="1:13">
      <c r="A19" s="1"/>
      <c r="B19" s="3306"/>
      <c r="C19" s="2975" t="s">
        <v>2781</v>
      </c>
      <c r="D19" s="2975">
        <v>153</v>
      </c>
      <c r="E19" s="1"/>
      <c r="F19" s="1"/>
      <c r="H19" s="3307"/>
      <c r="I19" s="3307">
        <v>25</v>
      </c>
      <c r="J19" s="3308" t="s">
        <v>2805</v>
      </c>
      <c r="K19" s="3308" t="s">
        <v>2818</v>
      </c>
      <c r="L19" s="3307">
        <v>64.400000000000006</v>
      </c>
      <c r="M19" s="3308" t="s">
        <v>2827</v>
      </c>
    </row>
    <row r="20" spans="1:13">
      <c r="A20" s="1"/>
      <c r="B20" s="3306"/>
      <c r="C20" s="2975" t="s">
        <v>2782</v>
      </c>
      <c r="D20" s="2975">
        <v>742.23</v>
      </c>
      <c r="E20" s="1"/>
      <c r="F20" s="1"/>
      <c r="H20" s="3307"/>
      <c r="I20" s="3307">
        <v>26</v>
      </c>
      <c r="J20" s="3308" t="s">
        <v>2806</v>
      </c>
      <c r="K20" s="3308" t="s">
        <v>2818</v>
      </c>
      <c r="L20" s="3307">
        <v>26.24</v>
      </c>
      <c r="M20" s="3308" t="s">
        <v>2827</v>
      </c>
    </row>
    <row r="21" spans="1:13">
      <c r="A21" s="1"/>
      <c r="B21" s="2979"/>
      <c r="C21" s="2247"/>
      <c r="D21" s="2247"/>
      <c r="E21" s="1"/>
      <c r="F21" s="1"/>
      <c r="H21" s="3307"/>
      <c r="I21" s="3307">
        <v>27</v>
      </c>
      <c r="J21" s="3308" t="s">
        <v>2807</v>
      </c>
      <c r="K21" s="3307"/>
      <c r="L21" s="3307">
        <v>1630.7</v>
      </c>
      <c r="M21" s="3308" t="s">
        <v>2827</v>
      </c>
    </row>
    <row r="22" spans="1:13">
      <c r="A22" s="1"/>
      <c r="B22" s="2244"/>
      <c r="C22" s="2244" t="s">
        <v>481</v>
      </c>
      <c r="D22" s="2244">
        <f>SUM(D9:D20)</f>
        <v>5037.92</v>
      </c>
      <c r="E22" s="1"/>
      <c r="F22" s="1"/>
      <c r="H22" s="3307"/>
      <c r="I22" s="3308" t="s">
        <v>2788</v>
      </c>
      <c r="J22" s="3307"/>
      <c r="K22" s="3307"/>
      <c r="L22" s="3307">
        <f>SUM(L3:L21)</f>
        <v>21817.555000000004</v>
      </c>
      <c r="M22" s="3307">
        <f>SUM(M3:M21)</f>
        <v>32018.219999999998</v>
      </c>
    </row>
    <row r="23" spans="1:13">
      <c r="A23" s="1"/>
      <c r="B23" s="2244"/>
      <c r="C23" s="2244" t="s">
        <v>2783</v>
      </c>
      <c r="D23" s="2244">
        <f>D8+D22</f>
        <v>33698.53</v>
      </c>
      <c r="E23" s="1"/>
      <c r="F23" s="1"/>
      <c r="H23" s="3308" t="s">
        <v>2789</v>
      </c>
      <c r="I23" s="3308">
        <v>14</v>
      </c>
      <c r="J23" s="3308" t="s">
        <v>2808</v>
      </c>
      <c r="K23" s="3308" t="s">
        <v>2818</v>
      </c>
      <c r="L23" s="3307">
        <v>130.5</v>
      </c>
      <c r="M23" s="3307">
        <v>130.5</v>
      </c>
    </row>
    <row r="24" spans="1:13">
      <c r="A24" s="1"/>
      <c r="B24" s="1"/>
      <c r="C24" s="1"/>
      <c r="D24" s="1"/>
      <c r="E24" s="1"/>
      <c r="F24" s="1"/>
      <c r="H24" s="3307"/>
      <c r="I24" s="3308">
        <v>15</v>
      </c>
      <c r="J24" s="3308" t="s">
        <v>2809</v>
      </c>
      <c r="K24" s="3308" t="s">
        <v>2818</v>
      </c>
      <c r="L24" s="3307">
        <v>130.5</v>
      </c>
      <c r="M24" s="3307">
        <v>130.5</v>
      </c>
    </row>
    <row r="25" spans="1:13">
      <c r="A25" s="1"/>
      <c r="B25" s="1"/>
      <c r="C25" s="1"/>
      <c r="D25" s="1"/>
      <c r="E25" s="1"/>
      <c r="F25" s="1"/>
      <c r="H25" s="3307"/>
      <c r="I25" s="3308">
        <v>16</v>
      </c>
      <c r="J25" s="3308" t="s">
        <v>2810</v>
      </c>
      <c r="K25" s="3308" t="s">
        <v>2818</v>
      </c>
      <c r="L25" s="3307">
        <v>153</v>
      </c>
      <c r="M25" s="3307">
        <v>153</v>
      </c>
    </row>
    <row r="26" spans="1:13">
      <c r="A26" s="1"/>
      <c r="B26" s="1"/>
      <c r="C26" s="1"/>
      <c r="D26" s="1"/>
      <c r="E26" s="1"/>
      <c r="F26" s="1"/>
      <c r="H26" s="3307"/>
      <c r="I26" s="3308">
        <v>18</v>
      </c>
      <c r="J26" s="3308" t="s">
        <v>2811</v>
      </c>
      <c r="K26" s="3308" t="s">
        <v>2823</v>
      </c>
      <c r="L26" s="3307">
        <v>1008</v>
      </c>
      <c r="M26" s="3307">
        <v>6048</v>
      </c>
    </row>
    <row r="27" spans="1:13">
      <c r="A27" s="1"/>
      <c r="B27" s="1"/>
      <c r="C27" s="1"/>
      <c r="D27" s="1"/>
      <c r="E27" s="1"/>
      <c r="F27" s="1"/>
      <c r="H27" s="3307"/>
      <c r="I27" s="3308">
        <v>19</v>
      </c>
      <c r="J27" s="3308" t="s">
        <v>2816</v>
      </c>
      <c r="K27" s="3308" t="s">
        <v>2818</v>
      </c>
      <c r="L27" s="3307">
        <v>924</v>
      </c>
      <c r="M27" s="3307">
        <v>924</v>
      </c>
    </row>
    <row r="28" spans="1:13">
      <c r="A28" s="1"/>
      <c r="B28" s="1"/>
      <c r="C28" s="1"/>
      <c r="D28" s="1"/>
      <c r="E28" s="1"/>
      <c r="F28" s="1"/>
      <c r="H28" s="3307"/>
      <c r="I28" s="3308">
        <v>20</v>
      </c>
      <c r="J28" s="3308" t="s">
        <v>2815</v>
      </c>
      <c r="K28" s="3308" t="s">
        <v>2818</v>
      </c>
      <c r="L28" s="3307">
        <v>2569.4699999999998</v>
      </c>
      <c r="M28" s="3307">
        <v>2569.4699999999998</v>
      </c>
    </row>
    <row r="29" spans="1:13">
      <c r="A29" s="1"/>
      <c r="B29" s="1"/>
      <c r="C29" s="1"/>
      <c r="D29" s="1"/>
      <c r="E29" s="1"/>
      <c r="F29" s="1"/>
      <c r="H29" s="3307"/>
      <c r="I29" s="3308">
        <v>21</v>
      </c>
      <c r="J29" s="3308" t="s">
        <v>2814</v>
      </c>
      <c r="K29" s="3308" t="s">
        <v>2822</v>
      </c>
      <c r="L29" s="3307">
        <v>5077.32</v>
      </c>
      <c r="M29" s="3307">
        <v>20309.28</v>
      </c>
    </row>
    <row r="30" spans="1:13">
      <c r="A30" s="1"/>
      <c r="B30" s="1"/>
      <c r="C30" s="1"/>
      <c r="D30" s="1"/>
      <c r="E30" s="1"/>
      <c r="F30" s="1"/>
      <c r="H30" s="3307"/>
      <c r="I30" s="3308">
        <v>22</v>
      </c>
      <c r="J30" s="3308" t="s">
        <v>2812</v>
      </c>
      <c r="K30" s="3308" t="s">
        <v>2818</v>
      </c>
      <c r="L30" s="3307">
        <v>742.23</v>
      </c>
      <c r="M30" s="3307">
        <v>742.23</v>
      </c>
    </row>
    <row r="31" spans="1:13">
      <c r="H31" s="3307"/>
      <c r="I31" s="3308">
        <v>23</v>
      </c>
      <c r="J31" s="3308" t="s">
        <v>2813</v>
      </c>
      <c r="K31" s="3307"/>
      <c r="L31" s="3307">
        <v>1566.75</v>
      </c>
      <c r="M31" s="3308" t="s">
        <v>2827</v>
      </c>
    </row>
    <row r="32" spans="1:13">
      <c r="H32" s="3307"/>
      <c r="I32" s="3308" t="s">
        <v>2788</v>
      </c>
      <c r="J32" s="3307"/>
      <c r="K32" s="3307"/>
      <c r="L32" s="3307">
        <f>SUM(L23:L31)</f>
        <v>12301.769999999999</v>
      </c>
      <c r="M32" s="3307">
        <f>SUM(M23:M31)</f>
        <v>31006.98</v>
      </c>
    </row>
    <row r="33" spans="8:13">
      <c r="H33" s="3307"/>
      <c r="I33" s="3308" t="s">
        <v>2826</v>
      </c>
      <c r="J33" s="3307"/>
      <c r="K33" s="3307"/>
      <c r="L33" s="3307">
        <f>L22+L32</f>
        <v>34119.325000000004</v>
      </c>
      <c r="M33" s="3307">
        <f>M22+M32</f>
        <v>63025.2</v>
      </c>
    </row>
  </sheetData>
  <mergeCells count="2">
    <mergeCell ref="B3:B7"/>
    <mergeCell ref="B9:B20"/>
  </mergeCells>
  <phoneticPr fontId="20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2905" t="s">
        <v>110</v>
      </c>
      <c r="E3" s="2905" t="s">
        <v>111</v>
      </c>
      <c r="F3" s="2905" t="s">
        <v>110</v>
      </c>
      <c r="G3" s="2905" t="s">
        <v>111</v>
      </c>
      <c r="H3" s="2905" t="s">
        <v>110</v>
      </c>
      <c r="I3" s="2905" t="s">
        <v>111</v>
      </c>
    </row>
    <row r="4" spans="1:9" ht="30">
      <c r="A4" s="2906" t="str">
        <f>项目基本情况!S2</f>
        <v>辽宁省朝阳市朝阳喀左经济开发区房地产</v>
      </c>
      <c r="B4" s="2905">
        <f>项目基本情况!C17</f>
        <v>34364.589999999997</v>
      </c>
      <c r="C4" s="2905">
        <f>项目基本情况!C18</f>
        <v>50693.68</v>
      </c>
      <c r="D4" s="2905">
        <f ca="1">结果表!D118</f>
        <v>1430</v>
      </c>
      <c r="E4" s="2905">
        <f ca="1">结果表!E118</f>
        <v>416</v>
      </c>
      <c r="F4" s="2905">
        <f ca="1">结果表!F118</f>
        <v>0</v>
      </c>
      <c r="G4" s="2905">
        <f ca="1">结果表!G118</f>
        <v>0</v>
      </c>
      <c r="H4" s="2905">
        <f ca="1">结果表!H118</f>
        <v>1430</v>
      </c>
      <c r="I4" s="2905">
        <f ca="1">结果表!I118</f>
        <v>416</v>
      </c>
    </row>
    <row r="5" spans="1:9" ht="30" customHeight="1">
      <c r="A5" s="2994" t="s">
        <v>112</v>
      </c>
      <c r="B5" s="2994"/>
      <c r="C5" s="2994"/>
      <c r="D5" s="2995" t="str">
        <f ca="1">结果表!D119</f>
        <v>壹仟肆佰叁拾万元整</v>
      </c>
      <c r="E5" s="2995"/>
      <c r="F5" s="2995" t="str">
        <f ca="1">结果表!F119</f>
        <v>零元整</v>
      </c>
      <c r="G5" s="2995"/>
      <c r="H5" s="2995" t="str">
        <f ca="1">结果表!H119</f>
        <v>壹仟肆佰叁拾万元整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112</v>
      </c>
      <c r="B7" s="2994"/>
      <c r="C7" s="2994"/>
      <c r="D7" s="2997" t="str">
        <f>结果表!D121</f>
        <v>零元整</v>
      </c>
      <c r="E7" s="2998"/>
      <c r="F7" s="2998"/>
      <c r="G7" s="2998"/>
      <c r="H7" s="2998"/>
      <c r="I7" s="2999"/>
    </row>
    <row r="8" spans="1:9" ht="15.75">
      <c r="A8" s="2996" t="str">
        <f>结果表!A122</f>
        <v>房地产抵押价值</v>
      </c>
      <c r="B8" s="2996"/>
      <c r="C8" s="2996"/>
      <c r="D8" s="2996">
        <f ca="1">结果表!D122</f>
        <v>1430</v>
      </c>
      <c r="E8" s="2996"/>
      <c r="F8" s="2996"/>
      <c r="G8" s="2996"/>
      <c r="H8" s="2996"/>
      <c r="I8" s="2996"/>
    </row>
    <row r="9" spans="1:9" ht="15">
      <c r="A9" s="2994" t="s">
        <v>112</v>
      </c>
      <c r="B9" s="2994"/>
      <c r="C9" s="2994"/>
      <c r="D9" s="2995" t="str">
        <f ca="1">结果表!D123</f>
        <v>壹仟肆佰叁拾万元整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112</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
      <c r="A13" s="3000" t="s">
        <v>112</v>
      </c>
      <c r="B13" s="3000"/>
      <c r="C13" s="3000"/>
      <c r="D13" s="3001" t="e">
        <f>结果表!D127</f>
        <v>#VALUE!</v>
      </c>
      <c r="E13" s="3001"/>
      <c r="F13" s="3001"/>
      <c r="G13" s="3001"/>
      <c r="H13" s="3001"/>
      <c r="I13" s="3001"/>
    </row>
    <row r="14" spans="1:9">
      <c r="A14" s="3002" t="s">
        <v>113</v>
      </c>
      <c r="B14" s="3002"/>
      <c r="C14" s="3002"/>
      <c r="D14" s="3002"/>
      <c r="E14" s="3002"/>
      <c r="F14" s="3002"/>
      <c r="G14" s="3002"/>
      <c r="H14" s="3002"/>
      <c r="I14" s="3002"/>
    </row>
    <row r="16" spans="1:9" ht="18.75">
      <c r="A16" s="2907" t="s">
        <v>106</v>
      </c>
      <c r="B16" s="2902"/>
      <c r="C16" s="2902"/>
      <c r="D16" s="2902"/>
      <c r="E16" s="2902"/>
      <c r="F16" s="2902"/>
      <c r="G16" s="2902"/>
      <c r="H16" s="2902"/>
      <c r="I16" s="2902"/>
    </row>
    <row r="17" spans="1:9">
      <c r="A17" s="2902"/>
      <c r="B17" s="2902"/>
      <c r="C17" s="2902"/>
      <c r="D17" s="2902"/>
      <c r="E17" s="2902"/>
      <c r="F17" s="2902"/>
      <c r="G17" s="2902"/>
      <c r="H17" s="2902"/>
      <c r="I17" s="2902"/>
    </row>
    <row r="18" spans="1:9">
      <c r="A18" s="2902"/>
      <c r="B18" s="2902"/>
      <c r="C18" s="2902"/>
      <c r="D18" s="2902"/>
      <c r="E18" s="2902"/>
      <c r="F18" s="2902"/>
      <c r="G18" s="2902"/>
      <c r="H18" s="2902"/>
      <c r="I18" s="2902"/>
    </row>
    <row r="19" spans="1:9">
      <c r="A19" s="2902"/>
      <c r="B19" s="2902"/>
      <c r="C19" s="2902"/>
      <c r="D19" s="2902"/>
      <c r="E19" s="2902"/>
      <c r="F19" s="2902"/>
      <c r="G19" s="2902"/>
      <c r="H19" s="2902"/>
      <c r="I19" s="2902"/>
    </row>
    <row r="20" spans="1:9">
      <c r="A20" s="2902"/>
      <c r="B20" s="2902"/>
      <c r="C20" s="2902"/>
      <c r="D20" s="2902"/>
      <c r="E20" s="2902"/>
      <c r="F20" s="2902"/>
      <c r="G20" s="2902"/>
      <c r="H20" s="2902"/>
      <c r="I20" s="2902"/>
    </row>
    <row r="21" spans="1:9">
      <c r="A21" s="2902"/>
      <c r="B21" s="2902"/>
      <c r="C21" s="2902"/>
      <c r="D21" s="2902"/>
      <c r="E21" s="2902"/>
      <c r="F21" s="2902"/>
      <c r="G21" s="2902"/>
      <c r="H21" s="2902"/>
      <c r="I21" s="2902"/>
    </row>
    <row r="22" spans="1:9">
      <c r="A22" s="2902"/>
      <c r="B22" s="2902"/>
      <c r="C22" s="2902"/>
      <c r="D22" s="2902"/>
      <c r="E22" s="2902"/>
      <c r="F22" s="2902"/>
      <c r="G22" s="2902"/>
      <c r="H22" s="2902"/>
      <c r="I22" s="29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03" t="s">
        <v>114</v>
      </c>
      <c r="B1" s="3003"/>
      <c r="C1" s="3003"/>
      <c r="D1" s="3003"/>
    </row>
    <row r="2" spans="1:4" ht="18">
      <c r="A2" s="3004" t="s">
        <v>115</v>
      </c>
      <c r="B2" s="3004"/>
      <c r="C2" s="3004"/>
      <c r="D2" s="3004"/>
    </row>
    <row r="3" spans="1:4" ht="18.75">
      <c r="A3" s="2893" t="s">
        <v>116</v>
      </c>
      <c r="B3" s="2893" t="s">
        <v>117</v>
      </c>
      <c r="C3" s="2893" t="s">
        <v>118</v>
      </c>
      <c r="D3" s="2893" t="s">
        <v>119</v>
      </c>
    </row>
    <row r="4" spans="1:4" ht="56.25" customHeight="1">
      <c r="A4" s="2894" t="str">
        <f>项目基本情况!B4</f>
        <v>郑燚</v>
      </c>
      <c r="B4" s="2895">
        <f ca="1">项目基本情况!C4</f>
        <v>0</v>
      </c>
      <c r="C4" s="2896"/>
      <c r="D4" s="2897" t="s">
        <v>120</v>
      </c>
    </row>
    <row r="5" spans="1:4" ht="56.25" customHeight="1">
      <c r="A5" s="2894" t="str">
        <f>项目基本情况!D4</f>
        <v>崔锴</v>
      </c>
      <c r="B5" s="2895">
        <f ca="1">项目基本情况!E4</f>
        <v>0</v>
      </c>
      <c r="C5" s="2898"/>
      <c r="D5" s="2897" t="s">
        <v>120</v>
      </c>
    </row>
    <row r="6" spans="1:4" ht="18">
      <c r="A6" s="3004" t="s">
        <v>121</v>
      </c>
      <c r="B6" s="3004"/>
      <c r="C6" s="3004"/>
      <c r="D6" s="3004"/>
    </row>
    <row r="7" spans="1:4" ht="18.75">
      <c r="A7" s="2893" t="s">
        <v>116</v>
      </c>
      <c r="B7" s="2895" t="s">
        <v>122</v>
      </c>
      <c r="C7" s="2893" t="s">
        <v>118</v>
      </c>
      <c r="D7" s="2893" t="s">
        <v>119</v>
      </c>
    </row>
    <row r="8" spans="1:4" ht="56.25" customHeight="1">
      <c r="A8" s="2899" t="s">
        <v>123</v>
      </c>
      <c r="B8" s="2899" t="s">
        <v>124</v>
      </c>
      <c r="C8" s="2896"/>
      <c r="D8" s="2897" t="s">
        <v>120</v>
      </c>
    </row>
    <row r="9" spans="1:4">
      <c r="A9" s="2900"/>
      <c r="B9" s="2900"/>
      <c r="C9" s="2900"/>
      <c r="D9" s="2900"/>
    </row>
    <row r="10" spans="1:4" ht="18.75">
      <c r="A10" s="2892" t="s">
        <v>125</v>
      </c>
      <c r="B10" s="2900"/>
      <c r="C10" s="2900"/>
      <c r="D10" s="2900"/>
    </row>
    <row r="11" spans="1:4" ht="30" customHeight="1">
      <c r="A11" s="3005" t="s">
        <v>126</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（1）根据估价对象《不动产权证书》原件、，截至价值时点，估价对象抵押权未见登记。</v>
      </c>
      <c r="B15" s="3006"/>
      <c r="C15" s="3006"/>
      <c r="D15" s="3006"/>
    </row>
    <row r="16" spans="1:4" ht="30" customHeight="1">
      <c r="A16" s="3008" t="s">
        <v>127</v>
      </c>
      <c r="B16" s="3008"/>
      <c r="C16" s="3008"/>
      <c r="D16" s="3008"/>
    </row>
    <row r="17" spans="1:4" ht="144" customHeight="1">
      <c r="A17" s="3008" t="s">
        <v>128</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129</v>
      </c>
      <c r="B22" s="3011"/>
      <c r="C22" s="3011"/>
      <c r="D22" s="3011"/>
    </row>
    <row r="23" spans="1:4">
      <c r="A23" s="2901"/>
      <c r="B23" s="2902"/>
      <c r="C23" s="2902"/>
      <c r="D23" s="2902"/>
    </row>
    <row r="24" spans="1:4">
      <c r="A24" s="2901"/>
      <c r="B24" s="2902"/>
      <c r="C24" s="2902"/>
      <c r="D24" s="2902"/>
    </row>
    <row r="25" spans="1:4" ht="18.75">
      <c r="A25" s="2903" t="s">
        <v>130</v>
      </c>
    </row>
    <row r="26" spans="1:4" ht="18">
      <c r="A26" s="2904"/>
    </row>
    <row r="27" spans="1:4" ht="18.75">
      <c r="A27" s="2904" t="s">
        <v>131</v>
      </c>
    </row>
    <row r="30" spans="1:4" ht="18.75">
      <c r="D30" s="2903" t="s">
        <v>132</v>
      </c>
    </row>
    <row r="31" spans="1:4" ht="13.5" customHeight="1">
      <c r="C31" s="3009">
        <v>42551</v>
      </c>
      <c r="D31" s="30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8" customWidth="1"/>
    <col min="3" max="10" width="12.5" style="2888" customWidth="1"/>
    <col min="11" max="16384" width="9" style="2888"/>
  </cols>
  <sheetData>
    <row r="1" spans="1:10" ht="18.75">
      <c r="A1" s="2889" t="s">
        <v>133</v>
      </c>
      <c r="B1" s="2890"/>
      <c r="C1" s="2890"/>
      <c r="D1" s="2890"/>
      <c r="E1" s="2890"/>
      <c r="F1" s="2890"/>
      <c r="G1" s="2890"/>
      <c r="H1" s="2890"/>
      <c r="I1" s="2890"/>
      <c r="J1" s="2890"/>
    </row>
    <row r="2" spans="1:10" ht="18.75">
      <c r="A2" s="2891"/>
      <c r="B2" s="2890"/>
      <c r="C2" s="2890"/>
      <c r="D2" s="2890"/>
      <c r="E2" s="2890"/>
      <c r="F2" s="2890"/>
      <c r="G2" s="2890"/>
      <c r="H2" s="2890"/>
      <c r="I2" s="2890"/>
      <c r="J2" s="2890"/>
    </row>
    <row r="3" spans="1:10">
      <c r="A3" s="2890"/>
      <c r="B3" s="2890"/>
      <c r="C3" s="2890"/>
      <c r="D3" s="2890"/>
      <c r="E3" s="2890"/>
      <c r="F3" s="2890"/>
      <c r="G3" s="2890"/>
      <c r="H3" s="2890"/>
      <c r="I3" s="2890"/>
      <c r="J3" s="2890"/>
    </row>
    <row r="4" spans="1:10">
      <c r="A4" s="2890"/>
      <c r="B4" s="2890"/>
      <c r="C4" s="2890"/>
      <c r="D4" s="2890"/>
      <c r="E4" s="2890"/>
      <c r="F4" s="2890"/>
      <c r="G4" s="2890"/>
      <c r="H4" s="2890"/>
      <c r="I4" s="2890"/>
      <c r="J4" s="2890"/>
    </row>
    <row r="5" spans="1:10">
      <c r="A5" s="2890"/>
      <c r="B5" s="2890"/>
      <c r="C5" s="2890"/>
      <c r="D5" s="2890"/>
      <c r="E5" s="2890"/>
      <c r="F5" s="2890"/>
      <c r="G5" s="2890"/>
      <c r="H5" s="2890"/>
      <c r="I5" s="2890"/>
      <c r="J5" s="2890"/>
    </row>
    <row r="6" spans="1:10">
      <c r="A6" s="2890"/>
      <c r="B6" s="2890"/>
      <c r="C6" s="2890"/>
      <c r="D6" s="2890"/>
      <c r="E6" s="2890"/>
      <c r="F6" s="2890"/>
      <c r="G6" s="2890"/>
      <c r="H6" s="2890"/>
      <c r="I6" s="2890"/>
      <c r="J6" s="2890"/>
    </row>
    <row r="7" spans="1:10">
      <c r="A7" s="2890"/>
      <c r="B7" s="2890"/>
      <c r="C7" s="2890"/>
      <c r="D7" s="2890"/>
      <c r="E7" s="2890"/>
      <c r="F7" s="2890"/>
      <c r="G7" s="2890"/>
      <c r="H7" s="2890"/>
      <c r="I7" s="2890"/>
      <c r="J7" s="2890"/>
    </row>
    <row r="8" spans="1:10">
      <c r="A8" s="2890"/>
      <c r="B8" s="2890"/>
      <c r="C8" s="2890"/>
      <c r="D8" s="2890"/>
      <c r="E8" s="2890"/>
      <c r="F8" s="2890"/>
      <c r="G8" s="2890"/>
      <c r="H8" s="2890"/>
      <c r="I8" s="2890"/>
      <c r="J8" s="2890"/>
    </row>
    <row r="9" spans="1:10">
      <c r="A9" s="2890"/>
      <c r="B9" s="2890"/>
      <c r="C9" s="2890"/>
      <c r="D9" s="2890"/>
      <c r="E9" s="2890"/>
      <c r="F9" s="2890"/>
      <c r="G9" s="2890"/>
      <c r="H9" s="2890"/>
      <c r="I9" s="2890"/>
      <c r="J9" s="2890"/>
    </row>
    <row r="10" spans="1:10">
      <c r="A10" s="2890"/>
      <c r="B10" s="2890"/>
      <c r="C10" s="2890"/>
      <c r="D10" s="2890"/>
      <c r="E10" s="2890"/>
      <c r="F10" s="2890"/>
      <c r="G10" s="2890"/>
      <c r="H10" s="2890"/>
      <c r="I10" s="2890"/>
      <c r="J10" s="2890"/>
    </row>
    <row r="11" spans="1:10">
      <c r="A11" s="2890"/>
      <c r="B11" s="2890"/>
      <c r="C11" s="2890"/>
      <c r="D11" s="2890"/>
      <c r="E11" s="2890"/>
      <c r="F11" s="2890"/>
      <c r="G11" s="2890"/>
      <c r="H11" s="2890"/>
      <c r="I11" s="2890"/>
      <c r="J11" s="2890"/>
    </row>
    <row r="12" spans="1:10">
      <c r="A12" s="2890"/>
      <c r="B12" s="2890"/>
      <c r="C12" s="2890"/>
      <c r="D12" s="2890"/>
      <c r="E12" s="2890"/>
      <c r="F12" s="2890"/>
      <c r="G12" s="2890"/>
      <c r="H12" s="2890"/>
      <c r="I12" s="2890"/>
      <c r="J12" s="2890"/>
    </row>
    <row r="13" spans="1:10">
      <c r="A13" s="2890"/>
      <c r="B13" s="2890"/>
      <c r="C13" s="2890"/>
      <c r="D13" s="2890"/>
      <c r="E13" s="2890"/>
      <c r="F13" s="2890"/>
      <c r="G13" s="2890"/>
      <c r="H13" s="2890"/>
      <c r="I13" s="2890"/>
      <c r="J13" s="2890"/>
    </row>
    <row r="14" spans="1:10">
      <c r="A14" s="2890"/>
      <c r="B14" s="2890"/>
      <c r="C14" s="2890"/>
      <c r="D14" s="2890"/>
      <c r="E14" s="2890"/>
      <c r="F14" s="2890"/>
      <c r="G14" s="2890"/>
      <c r="H14" s="2890"/>
      <c r="I14" s="2890"/>
      <c r="J14" s="2890"/>
    </row>
    <row r="15" spans="1:10">
      <c r="A15" s="2890"/>
      <c r="B15" s="2890"/>
      <c r="C15" s="2890"/>
      <c r="D15" s="2890"/>
      <c r="E15" s="2890"/>
      <c r="F15" s="2890"/>
      <c r="G15" s="2890"/>
      <c r="H15" s="2890"/>
      <c r="I15" s="2890"/>
      <c r="J15" s="2890"/>
    </row>
    <row r="16" spans="1:10">
      <c r="A16" s="2890"/>
      <c r="B16" s="2890"/>
      <c r="C16" s="2890"/>
      <c r="D16" s="2890"/>
      <c r="E16" s="2890"/>
      <c r="F16" s="2890"/>
      <c r="G16" s="2890"/>
      <c r="H16" s="2890"/>
      <c r="I16" s="2890"/>
      <c r="J16" s="2890"/>
    </row>
    <row r="17" spans="1:10">
      <c r="A17" s="2890"/>
      <c r="B17" s="2890"/>
      <c r="C17" s="2890"/>
      <c r="D17" s="2890"/>
      <c r="E17" s="2890"/>
      <c r="F17" s="2890"/>
      <c r="G17" s="2890"/>
      <c r="H17" s="2890"/>
      <c r="I17" s="2890"/>
      <c r="J17" s="2890"/>
    </row>
    <row r="18" spans="1:10">
      <c r="A18" s="2890"/>
      <c r="B18" s="2890"/>
      <c r="C18" s="2890"/>
      <c r="D18" s="2890"/>
      <c r="E18" s="2890"/>
      <c r="F18" s="2890"/>
      <c r="G18" s="2890"/>
      <c r="H18" s="2890"/>
      <c r="I18" s="2890"/>
      <c r="J18" s="2890"/>
    </row>
    <row r="19" spans="1:10">
      <c r="A19" s="2890"/>
      <c r="B19" s="2890"/>
      <c r="C19" s="2890"/>
      <c r="D19" s="2890"/>
      <c r="E19" s="2890"/>
      <c r="F19" s="2890"/>
      <c r="G19" s="2890"/>
      <c r="H19" s="2890"/>
      <c r="I19" s="2890"/>
      <c r="J19" s="2890"/>
    </row>
    <row r="20" spans="1:10">
      <c r="A20" s="2890"/>
      <c r="B20" s="2890"/>
      <c r="C20" s="2890"/>
      <c r="D20" s="2890"/>
      <c r="E20" s="2890"/>
      <c r="F20" s="2890"/>
      <c r="G20" s="2890"/>
      <c r="H20" s="2890"/>
      <c r="I20" s="2890"/>
      <c r="J20" s="2890"/>
    </row>
    <row r="21" spans="1:10">
      <c r="A21" s="2890"/>
      <c r="B21" s="2890"/>
      <c r="C21" s="2890"/>
      <c r="D21" s="2890"/>
      <c r="E21" s="2890"/>
      <c r="F21" s="2890"/>
      <c r="G21" s="2890"/>
      <c r="H21" s="2890"/>
      <c r="I21" s="2890"/>
      <c r="J21" s="2890"/>
    </row>
    <row r="22" spans="1:10">
      <c r="A22" s="2890"/>
      <c r="B22" s="2890"/>
      <c r="C22" s="2890"/>
      <c r="D22" s="2890"/>
      <c r="E22" s="2890"/>
      <c r="F22" s="2890"/>
      <c r="G22" s="2890"/>
      <c r="H22" s="2890"/>
      <c r="I22" s="2890"/>
      <c r="J22" s="2890"/>
    </row>
    <row r="23" spans="1:10">
      <c r="A23" s="2890"/>
      <c r="B23" s="2890"/>
      <c r="C23" s="2890"/>
      <c r="D23" s="2890"/>
      <c r="E23" s="2890"/>
      <c r="F23" s="2890"/>
      <c r="G23" s="2890"/>
      <c r="H23" s="2890"/>
      <c r="I23" s="2890"/>
      <c r="J23" s="2890"/>
    </row>
    <row r="24" spans="1:10">
      <c r="A24" s="2890"/>
      <c r="B24" s="2890"/>
      <c r="C24" s="2890"/>
      <c r="D24" s="2890"/>
      <c r="E24" s="2890"/>
      <c r="F24" s="2890"/>
      <c r="G24" s="2890"/>
      <c r="H24" s="2890"/>
      <c r="I24" s="2890"/>
      <c r="J24" s="2890"/>
    </row>
    <row r="25" spans="1:10">
      <c r="A25" s="2890"/>
      <c r="B25" s="2890"/>
      <c r="C25" s="2890"/>
      <c r="D25" s="2890"/>
      <c r="E25" s="2890"/>
      <c r="F25" s="2890"/>
      <c r="G25" s="2890"/>
      <c r="H25" s="2890"/>
      <c r="I25" s="2890"/>
      <c r="J25" s="2890"/>
    </row>
    <row r="26" spans="1:10">
      <c r="A26" s="2890"/>
      <c r="B26" s="2890"/>
      <c r="C26" s="2890"/>
      <c r="D26" s="2890"/>
      <c r="E26" s="2890"/>
      <c r="F26" s="2890"/>
      <c r="G26" s="2890"/>
      <c r="H26" s="2890"/>
      <c r="I26" s="2890"/>
      <c r="J26" s="2890"/>
    </row>
    <row r="27" spans="1:10">
      <c r="A27" s="2890"/>
      <c r="B27" s="2890"/>
      <c r="C27" s="2890"/>
      <c r="D27" s="2890"/>
      <c r="E27" s="2890"/>
      <c r="F27" s="2890"/>
      <c r="G27" s="2890"/>
      <c r="H27" s="2890"/>
      <c r="I27" s="2890"/>
      <c r="J27" s="2890"/>
    </row>
    <row r="28" spans="1:10">
      <c r="A28" s="2890"/>
      <c r="B28" s="2890"/>
      <c r="C28" s="2890"/>
      <c r="D28" s="2890"/>
      <c r="E28" s="2890"/>
      <c r="F28" s="2890"/>
      <c r="G28" s="2890"/>
      <c r="H28" s="2890"/>
      <c r="I28" s="2890"/>
      <c r="J28" s="2890"/>
    </row>
    <row r="29" spans="1:10">
      <c r="A29" s="2890"/>
      <c r="B29" s="2890"/>
      <c r="C29" s="2890"/>
      <c r="D29" s="2890"/>
      <c r="E29" s="2890"/>
      <c r="F29" s="2890"/>
      <c r="G29" s="2890"/>
      <c r="H29" s="2890"/>
      <c r="I29" s="2890"/>
      <c r="J29" s="2890"/>
    </row>
    <row r="30" spans="1:10">
      <c r="A30" s="2890"/>
      <c r="B30" s="2890"/>
      <c r="C30" s="2890"/>
      <c r="D30" s="2890"/>
      <c r="E30" s="2890"/>
      <c r="F30" s="2890"/>
      <c r="G30" s="2890"/>
      <c r="H30" s="2890"/>
      <c r="I30" s="2890"/>
      <c r="J30" s="2890"/>
    </row>
    <row r="31" spans="1:10">
      <c r="A31" s="2890"/>
      <c r="B31" s="2890"/>
      <c r="C31" s="2890"/>
      <c r="D31" s="2890"/>
      <c r="E31" s="2890"/>
      <c r="F31" s="2890"/>
      <c r="G31" s="2890"/>
      <c r="H31" s="2890"/>
      <c r="I31" s="2890"/>
      <c r="J31" s="2890"/>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1" customWidth="1"/>
    <col min="2" max="16384" width="14.5" style="2821"/>
  </cols>
  <sheetData>
    <row r="1" spans="1:7" s="2870" customFormat="1" ht="18.75">
      <c r="A1" s="2872" t="s">
        <v>134</v>
      </c>
    </row>
    <row r="3" spans="1:7">
      <c r="A3" s="2873" t="s">
        <v>135</v>
      </c>
      <c r="B3" s="2821" t="s">
        <v>136</v>
      </c>
      <c r="G3" s="2874"/>
    </row>
    <row r="4" spans="1:7">
      <c r="G4" s="2874"/>
    </row>
    <row r="5" spans="1:7">
      <c r="A5" s="2875" t="s">
        <v>137</v>
      </c>
      <c r="B5" s="2821" t="s">
        <v>138</v>
      </c>
      <c r="G5" s="2874"/>
    </row>
    <row r="6" spans="1:7">
      <c r="G6" s="2874"/>
    </row>
    <row r="7" spans="1:7">
      <c r="A7" s="2876" t="s">
        <v>139</v>
      </c>
      <c r="B7" s="2821" t="s">
        <v>140</v>
      </c>
      <c r="G7" s="2874"/>
    </row>
    <row r="8" spans="1:7">
      <c r="G8" s="2874"/>
    </row>
    <row r="9" spans="1:7">
      <c r="A9" s="2877" t="s">
        <v>141</v>
      </c>
      <c r="B9" s="2821" t="s">
        <v>142</v>
      </c>
    </row>
    <row r="11" spans="1:7">
      <c r="A11" s="2878" t="s">
        <v>143</v>
      </c>
      <c r="B11" s="2879" t="s">
        <v>144</v>
      </c>
    </row>
    <row r="13" spans="1:7">
      <c r="A13" s="2880" t="s">
        <v>145</v>
      </c>
    </row>
    <row r="15" spans="1:7" ht="13.5">
      <c r="A15" s="3014" t="s">
        <v>146</v>
      </c>
      <c r="B15" s="3019" t="s">
        <v>147</v>
      </c>
      <c r="C15" s="3013"/>
    </row>
    <row r="16" spans="1:7" ht="13.5">
      <c r="A16" s="3015"/>
      <c r="B16" s="3019" t="s">
        <v>148</v>
      </c>
      <c r="C16" s="3013"/>
    </row>
    <row r="17" spans="1:3" ht="13.5">
      <c r="A17" s="3015"/>
      <c r="B17" s="3018" t="s">
        <v>149</v>
      </c>
      <c r="C17" s="2881" t="s">
        <v>146</v>
      </c>
    </row>
    <row r="18" spans="1:3" ht="13.5">
      <c r="A18" s="3015"/>
      <c r="B18" s="3018"/>
      <c r="C18" s="2881" t="s">
        <v>150</v>
      </c>
    </row>
    <row r="19" spans="1:3" ht="13.5">
      <c r="A19" s="3015"/>
      <c r="B19" s="3018"/>
      <c r="C19" s="2881" t="s">
        <v>151</v>
      </c>
    </row>
    <row r="20" spans="1:3" ht="13.5">
      <c r="A20" s="3016"/>
      <c r="B20" s="3012" t="s">
        <v>152</v>
      </c>
      <c r="C20" s="3013"/>
    </row>
    <row r="21" spans="1:3" ht="13.5">
      <c r="A21" s="2882" t="s">
        <v>153</v>
      </c>
      <c r="B21" s="2883"/>
      <c r="C21" s="2884"/>
    </row>
    <row r="22" spans="1:3" ht="13.5">
      <c r="A22" s="3017" t="s">
        <v>154</v>
      </c>
      <c r="B22" s="3012" t="s">
        <v>155</v>
      </c>
      <c r="C22" s="3013"/>
    </row>
    <row r="23" spans="1:3" ht="13.5">
      <c r="A23" s="3017"/>
      <c r="B23" s="3012" t="s">
        <v>156</v>
      </c>
      <c r="C23" s="3013"/>
    </row>
    <row r="24" spans="1:3" ht="13.5">
      <c r="A24" s="3017"/>
      <c r="B24" s="3012" t="s">
        <v>157</v>
      </c>
      <c r="C24" s="3013"/>
    </row>
    <row r="25" spans="1:3" ht="13.5">
      <c r="A25" s="3017"/>
      <c r="B25" s="3018" t="s">
        <v>158</v>
      </c>
      <c r="C25" s="2881" t="s">
        <v>159</v>
      </c>
    </row>
    <row r="26" spans="1:3" ht="13.5">
      <c r="A26" s="3017"/>
      <c r="B26" s="3018"/>
      <c r="C26" s="2881" t="s">
        <v>160</v>
      </c>
    </row>
    <row r="27" spans="1:3" ht="13.5">
      <c r="A27" s="3017"/>
      <c r="B27" s="3018"/>
      <c r="C27" s="2881" t="s">
        <v>161</v>
      </c>
    </row>
    <row r="28" spans="1:3" ht="13.5">
      <c r="A28" s="3017"/>
      <c r="B28" s="3018"/>
      <c r="C28" s="2881" t="s">
        <v>162</v>
      </c>
    </row>
    <row r="29" spans="1:3" ht="13.5">
      <c r="A29" s="3017"/>
      <c r="B29" s="3018"/>
      <c r="C29" s="2881" t="s">
        <v>163</v>
      </c>
    </row>
    <row r="30" spans="1:3" ht="13.5">
      <c r="A30" s="3017"/>
      <c r="B30" s="3018"/>
      <c r="C30" s="2881" t="s">
        <v>164</v>
      </c>
    </row>
    <row r="31" spans="1:3" ht="13.5">
      <c r="A31" s="3017"/>
      <c r="B31" s="3018"/>
      <c r="C31" s="2881" t="s">
        <v>165</v>
      </c>
    </row>
    <row r="32" spans="1:3" ht="13.5">
      <c r="A32" s="3017"/>
      <c r="B32" s="3018"/>
      <c r="C32" s="2881" t="s">
        <v>166</v>
      </c>
    </row>
    <row r="33" spans="1:3" ht="13.5">
      <c r="A33" s="3017"/>
      <c r="B33" s="3018"/>
      <c r="C33" s="2881" t="s">
        <v>167</v>
      </c>
    </row>
    <row r="34" spans="1:3">
      <c r="A34" s="2885" t="s">
        <v>168</v>
      </c>
    </row>
    <row r="37" spans="1:3">
      <c r="A37" s="2885" t="s">
        <v>169</v>
      </c>
    </row>
    <row r="38" spans="1:3" ht="13.5">
      <c r="A38" s="2886" t="s">
        <v>170</v>
      </c>
    </row>
    <row r="39" spans="1:3" ht="13.5">
      <c r="A39" s="2886" t="s">
        <v>171</v>
      </c>
    </row>
    <row r="40" spans="1:3" ht="13.5">
      <c r="A40" s="2886" t="s">
        <v>172</v>
      </c>
    </row>
    <row r="41" spans="1:3" ht="13.5">
      <c r="A41" s="2887" t="s">
        <v>173</v>
      </c>
    </row>
    <row r="42" spans="1:3" ht="13.5">
      <c r="A42" s="288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44396</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t="str">
        <f ca="1">IF(C4&lt;B2,"已过期",1119970066)</f>
        <v>已过期</v>
      </c>
      <c r="C4" s="2851">
        <v>43849</v>
      </c>
      <c r="D4" s="2852" t="s">
        <v>182</v>
      </c>
      <c r="E4" s="2849">
        <f ca="1">IF(F4&lt;B2,"已过期",96010014)</f>
        <v>96010014</v>
      </c>
      <c r="F4" s="2853">
        <v>47118</v>
      </c>
    </row>
    <row r="5" spans="1:6" ht="24" customHeight="1">
      <c r="A5" s="2850" t="s">
        <v>183</v>
      </c>
      <c r="B5" s="2849" t="str">
        <f ca="1">IF(C5&lt;B2,"已过期",1119970074)</f>
        <v>已过期</v>
      </c>
      <c r="C5" s="2851">
        <v>43849</v>
      </c>
      <c r="D5" s="2852" t="s">
        <v>183</v>
      </c>
      <c r="E5" s="2849">
        <f ca="1">IF(F5&lt;B2,"已过期",2002110027)</f>
        <v>2002110027</v>
      </c>
      <c r="F5" s="2853">
        <v>46752</v>
      </c>
    </row>
    <row r="6" spans="1:6" ht="24" customHeight="1">
      <c r="A6" s="2850" t="s">
        <v>184</v>
      </c>
      <c r="B6" s="2849" t="str">
        <f ca="1">IF(C6&lt;B2,"已过期",1119970111)</f>
        <v>已过期</v>
      </c>
      <c r="C6" s="2851">
        <v>43849</v>
      </c>
      <c r="D6" s="2852" t="s">
        <v>184</v>
      </c>
      <c r="E6" s="2849">
        <f ca="1">IF(F6&lt;B2,"已过期",94010078)</f>
        <v>94010078</v>
      </c>
      <c r="F6" s="2853">
        <v>46387</v>
      </c>
    </row>
    <row r="7" spans="1:6" ht="24" customHeight="1">
      <c r="A7" s="2850" t="s">
        <v>185</v>
      </c>
      <c r="B7" s="2849" t="str">
        <f ca="1">IF(C7&lt;B2,"已过期",1120050019)</f>
        <v>已过期</v>
      </c>
      <c r="C7" s="2851">
        <v>44395</v>
      </c>
      <c r="D7" s="2852" t="s">
        <v>185</v>
      </c>
      <c r="E7" s="2849">
        <f ca="1">IF(F7&lt;B2,"已过期",2002110030)</f>
        <v>2002110030</v>
      </c>
      <c r="F7" s="2853">
        <v>46387</v>
      </c>
    </row>
    <row r="8" spans="1:6" ht="24" customHeight="1">
      <c r="A8" s="2850" t="s">
        <v>186</v>
      </c>
      <c r="B8" s="2849" t="str">
        <f ca="1">IF(C8&lt;B2,"已过期",1120000080)</f>
        <v>已过期</v>
      </c>
      <c r="C8" s="2851">
        <v>43849</v>
      </c>
      <c r="D8" s="2852" t="s">
        <v>186</v>
      </c>
      <c r="E8" s="2849">
        <f ca="1">IF(F8&lt;B2,"已过期",2000110082)</f>
        <v>2000110082</v>
      </c>
      <c r="F8" s="2853">
        <v>46387</v>
      </c>
    </row>
    <row r="9" spans="1:6" ht="24" customHeight="1">
      <c r="A9" s="2850" t="s">
        <v>187</v>
      </c>
      <c r="B9" s="2849" t="str">
        <f ca="1">IF(C9&lt;B2,"已过期",1419970001)</f>
        <v>已过期</v>
      </c>
      <c r="C9" s="2851">
        <v>43867</v>
      </c>
      <c r="D9" s="2852" t="s">
        <v>187</v>
      </c>
      <c r="E9" s="2849">
        <f ca="1">IF(F9&lt;B2,"已过期",2002110125)</f>
        <v>2002110125</v>
      </c>
      <c r="F9" s="2853">
        <v>47118</v>
      </c>
    </row>
    <row r="10" spans="1:6" ht="24" customHeight="1">
      <c r="A10" s="2850" t="s">
        <v>188</v>
      </c>
      <c r="B10" s="2849" t="str">
        <f ca="1">IF(C10&lt;B2,"已过期",1120060040)</f>
        <v>已过期</v>
      </c>
      <c r="C10" s="2851">
        <v>43483</v>
      </c>
      <c r="D10" s="2852" t="s">
        <v>188</v>
      </c>
      <c r="E10" s="2849">
        <f ca="1">IF(F10&lt;B2,"已过期",2004110096)</f>
        <v>2004110096</v>
      </c>
      <c r="F10" s="2853">
        <v>47118</v>
      </c>
    </row>
    <row r="11" spans="1:6" ht="24" customHeight="1">
      <c r="A11" s="2850" t="s">
        <v>189</v>
      </c>
      <c r="B11" s="2849" t="str">
        <f ca="1">IF(C11&lt;B2,"已过期",1120100036)</f>
        <v>已过期</v>
      </c>
      <c r="C11" s="2851">
        <v>43622</v>
      </c>
      <c r="D11" s="2852" t="s">
        <v>189</v>
      </c>
      <c r="E11" s="2849">
        <f ca="1">IF(F11&lt;B2,"已过期",2010110070)</f>
        <v>2010110070</v>
      </c>
      <c r="F11" s="2853">
        <v>47907</v>
      </c>
    </row>
    <row r="12" spans="1:6" ht="24" customHeight="1">
      <c r="A12" s="2850"/>
      <c r="B12" s="2849"/>
      <c r="C12" s="2854"/>
      <c r="D12" s="2850"/>
      <c r="E12" s="2849"/>
      <c r="F12" s="2853"/>
    </row>
    <row r="13" spans="1:6" ht="24" customHeight="1">
      <c r="A13" s="2850" t="s">
        <v>190</v>
      </c>
      <c r="B13" s="2849" t="str">
        <f ca="1">IF(C13&lt;B2,"已过期",1120070131)</f>
        <v>已过期</v>
      </c>
      <c r="C13" s="2851">
        <v>43814</v>
      </c>
      <c r="D13" s="2852" t="s">
        <v>190</v>
      </c>
      <c r="E13" s="2849">
        <f ca="1">IF(F13&lt;B2,"已过期",2014110011)</f>
        <v>2014110011</v>
      </c>
      <c r="F13" s="2853">
        <v>49302</v>
      </c>
    </row>
    <row r="14" spans="1:6" ht="24" customHeight="1">
      <c r="A14" s="2850" t="s">
        <v>191</v>
      </c>
      <c r="B14" s="2849" t="str">
        <f ca="1">IF(C14&lt;B2,"已过期",1120040230)</f>
        <v>已过期</v>
      </c>
      <c r="C14" s="2851">
        <v>43835</v>
      </c>
      <c r="D14" s="2852" t="s">
        <v>191</v>
      </c>
      <c r="E14" s="2849">
        <f ca="1">IF(F14&lt;B2,"已过期",98030020)</f>
        <v>98030020</v>
      </c>
      <c r="F14" s="2853">
        <v>47118</v>
      </c>
    </row>
    <row r="15" spans="1:6" ht="24" customHeight="1">
      <c r="A15" s="2855" t="s">
        <v>192</v>
      </c>
      <c r="B15" s="2849" t="str">
        <f ca="1">IF(C15&lt;B2,"已过期",1120070085)</f>
        <v>已过期</v>
      </c>
      <c r="C15" s="2851">
        <v>43814</v>
      </c>
      <c r="D15" s="2856" t="s">
        <v>192</v>
      </c>
      <c r="E15" s="2849">
        <f ca="1">IF(F15&lt;B2,"已过期",2004110128)</f>
        <v>2004110128</v>
      </c>
      <c r="F15" s="2857">
        <v>47118</v>
      </c>
    </row>
    <row r="16" spans="1:6" ht="24" customHeight="1">
      <c r="A16" s="2850" t="s">
        <v>193</v>
      </c>
      <c r="B16" s="2849" t="str">
        <f ca="1">IF(C16&lt;B2,"已过期",1120140022)</f>
        <v>已过期</v>
      </c>
      <c r="C16" s="2854">
        <v>44029</v>
      </c>
      <c r="D16" s="2852" t="s">
        <v>193</v>
      </c>
      <c r="E16" s="2849">
        <f ca="1">IF(F16&lt;B2,"已过期",2008110059)</f>
        <v>2008110059</v>
      </c>
      <c r="F16" s="2853">
        <v>47177</v>
      </c>
    </row>
    <row r="17" spans="1:7" ht="24" customHeight="1">
      <c r="A17" s="2850"/>
      <c r="B17" s="2849"/>
      <c r="C17" s="2851"/>
      <c r="D17" s="2852" t="s">
        <v>194</v>
      </c>
      <c r="E17" s="2849">
        <f ca="1">IF(F17&lt;B2,"已过期",2014110076)</f>
        <v>2014110076</v>
      </c>
      <c r="F17" s="2853">
        <v>49302</v>
      </c>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195</v>
      </c>
      <c r="E21" s="2849">
        <f ca="1">IF(F21&lt;B2,"已过期",2011110090)</f>
        <v>2011110090</v>
      </c>
      <c r="F21" s="2853">
        <v>48302</v>
      </c>
    </row>
    <row r="22" spans="1:7" ht="24" customHeight="1">
      <c r="A22" s="2850" t="s">
        <v>196</v>
      </c>
      <c r="B22" s="2849" t="str">
        <f ca="1">IF(C22&lt;B2,"已过期",1120020033)</f>
        <v>已过期</v>
      </c>
      <c r="C22" s="2854">
        <v>44339</v>
      </c>
      <c r="D22" s="2852" t="s">
        <v>196</v>
      </c>
      <c r="E22" s="2849">
        <f ca="1">IF(F22&lt;B2,"已过期",2000110137)</f>
        <v>2000110137</v>
      </c>
      <c r="F22" s="2853">
        <v>46387</v>
      </c>
    </row>
    <row r="23" spans="1:7" ht="24" customHeight="1">
      <c r="A23" s="2850"/>
      <c r="B23" s="2849"/>
      <c r="C23" s="2851"/>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20" t="s">
        <v>197</v>
      </c>
      <c r="B25" s="3020"/>
      <c r="C25" s="3020"/>
      <c r="D25" s="3020"/>
      <c r="E25" s="3020"/>
      <c r="F25" s="3020"/>
      <c r="G25" s="3020"/>
    </row>
    <row r="26" spans="1:7" s="2839" customFormat="1" ht="24" customHeight="1">
      <c r="A26" s="3021" t="s">
        <v>198</v>
      </c>
      <c r="B26" s="3021"/>
      <c r="C26" s="3022"/>
      <c r="D26" s="3023" t="s">
        <v>199</v>
      </c>
      <c r="E26" s="3021"/>
      <c r="F26" s="3021"/>
    </row>
    <row r="27" spans="1:7" s="2840" customFormat="1" ht="24" customHeight="1">
      <c r="A27" s="2859" t="s">
        <v>200</v>
      </c>
      <c r="B27" s="2846" t="s">
        <v>201</v>
      </c>
      <c r="C27" s="2847" t="s">
        <v>179</v>
      </c>
      <c r="D27" s="2860" t="s">
        <v>200</v>
      </c>
      <c r="E27" s="2846" t="s">
        <v>201</v>
      </c>
      <c r="F27" s="2846" t="s">
        <v>179</v>
      </c>
    </row>
    <row r="28" spans="1:7" s="2840" customFormat="1" ht="24" customHeight="1">
      <c r="A28" s="2861" t="s">
        <v>202</v>
      </c>
      <c r="B28" s="2862" t="s">
        <v>203</v>
      </c>
      <c r="C28" s="2863">
        <v>43725</v>
      </c>
      <c r="D28" s="2864" t="s">
        <v>204</v>
      </c>
      <c r="E28" s="2861" t="s">
        <v>205</v>
      </c>
      <c r="F28" s="2865">
        <v>44377</v>
      </c>
    </row>
    <row r="29" spans="1:7" s="2840" customFormat="1" ht="24" customHeight="1">
      <c r="A29" s="2861"/>
      <c r="B29" s="2861"/>
      <c r="C29" s="2866"/>
      <c r="D29" s="2864" t="s">
        <v>206</v>
      </c>
      <c r="E29" s="2867" t="s">
        <v>207</v>
      </c>
      <c r="F29" s="2868">
        <v>43281</v>
      </c>
    </row>
    <row r="30" spans="1:7" ht="24" customHeight="1">
      <c r="C30" s="2869"/>
      <c r="D30" s="2869"/>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2021-07-19T05:05:09Z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