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表" sheetId="78"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 (元)" sheetId="67" state="hidden" r:id="rId24"/>
    <sheet name="收益法（汇总）" sheetId="70" state="hidden" r:id="rId25"/>
    <sheet name="酒店收入计算" sheetId="66" state="hidden" r:id="rId26"/>
    <sheet name="比较法-洋房"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比较法-别墅" sheetId="81" r:id="rId38"/>
    <sheet name="收益法车" sheetId="15" r:id="rId39"/>
    <sheet name="收益法仓" sheetId="82"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 sheetId="77" r:id="rId48"/>
    <sheet name="Sheet1" sheetId="83" r:id="rId49"/>
  </sheets>
  <externalReferences>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7" hidden="1">'比较法-别墅'!$A$1:$L$49</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'比较法-洋房'!$A$1:$L$49</definedName>
    <definedName name="_xlnm._FilterDatabase" localSheetId="12"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3">'收益法 (元)'!$A$1:$AK$69</definedName>
    <definedName name="_xlnm.Print_Area" localSheetId="39">收益法仓!$A$1:$AK$69</definedName>
    <definedName name="_xlnm.Print_Area" localSheetId="38">收益法车!$A$1:$AK$69</definedName>
    <definedName name="_xlnm.Print_Area" localSheetId="14">'数据-汇总表'!$A$1:$P$32</definedName>
    <definedName name="八级">区片价!$O$1:$O$40</definedName>
    <definedName name="办公层高" localSheetId="9">'[1]比较法-办公'!$B$115:$M$115</definedName>
    <definedName name="办公层高">'比较法-办公'!$B$119:$M$119</definedName>
    <definedName name="办公朝向" localSheetId="9">'[1]比较法-办公'!$B$87:$M$87</definedName>
    <definedName name="办公朝向">'比较法-办公'!$B$91:$M$91</definedName>
    <definedName name="办公道路级别" localSheetId="9">'[1]比较法-办公'!$B$83:$M$83</definedName>
    <definedName name="办公道路级别">'比较法-办公'!$B$87:$M$87</definedName>
    <definedName name="办公公共部分装修" localSheetId="9">'[1]比较法-办公'!$B$104:$M$104</definedName>
    <definedName name="办公公共部分装修">'比较法-办公'!$B$108:$M$108</definedName>
    <definedName name="办公基础设施水平" localSheetId="9">'[1]比较法-办公'!$B$113:$M$113</definedName>
    <definedName name="办公基础设施水平">'比较法-办公'!$B$117:$M$117</definedName>
    <definedName name="办公集聚程度" localSheetId="9">[1]定义!$M$1:$M$6</definedName>
    <definedName name="办公集聚程度">定义!$M$1:$M$6</definedName>
    <definedName name="办公建筑结构" localSheetId="9">'[1]比较法-办公'!$B$102:$M$102</definedName>
    <definedName name="办公建筑结构">'比较法-办公'!$B$106:$M$106</definedName>
    <definedName name="办公建筑类型" localSheetId="9">'[1]比较法-办公'!$B$97:$M$97</definedName>
    <definedName name="办公建筑类型">'比较法-办公'!$B$101:$M$101</definedName>
    <definedName name="办公交易情况" localSheetId="9">'[1]比较法-办公'!$A$60:$M$60</definedName>
    <definedName name="办公交易情况">'比较法-办公'!$A$62:$M$62</definedName>
    <definedName name="办公楼层" localSheetId="9">'[1]比较法-办公'!$B$85:$M$85</definedName>
    <definedName name="办公楼层">'比较法-办公'!$B$89:$M$89</definedName>
    <definedName name="办公内部装修" localSheetId="9">'[1]比较法-办公'!$B$119:$M$119</definedName>
    <definedName name="办公内部装修">'比较法-办公'!$B$123:$M$123</definedName>
    <definedName name="办公物业管理" localSheetId="9">'[1]比较法-办公'!$B$111:$M$111</definedName>
    <definedName name="办公物业管理">'比较法-办公'!$B$115:$M$115</definedName>
    <definedName name="办公用途" localSheetId="9">'[1]比较法-办公'!$B$62:$M$62</definedName>
    <definedName name="办公用途">'比较法-办公'!$B$64:$M$64</definedName>
    <definedName name="仓储公共部分装修" localSheetId="9">'[1]比较法-仓储'!$B$73:$M$73</definedName>
    <definedName name="仓储公共部分装修">'比较法-仓储'!$B$77:$M$77</definedName>
    <definedName name="仓储交易情况" localSheetId="9">'[1]比较法-仓储'!$A$47:$M$47</definedName>
    <definedName name="仓储交易情况">'比较法-仓储'!$A$49:$M$49</definedName>
    <definedName name="仓储楼层" localSheetId="9">'[1]比较法-仓储'!$B$65:$M$65</definedName>
    <definedName name="仓储楼层">'比较法-仓储'!$B$69:$M$69</definedName>
    <definedName name="仓储物业等级" localSheetId="9">'[1]比较法-仓储'!$B$78:$M$78</definedName>
    <definedName name="仓储物业等级">'比较法-仓储'!$B$82:$M$82</definedName>
    <definedName name="仓储用途" localSheetId="9">'[1]比较法-仓储'!$B$49:$M$49</definedName>
    <definedName name="仓储用途">'比较法-仓储'!$B$51:$M$51</definedName>
    <definedName name="产业集聚程度" localSheetId="9">[1]定义!$N$1:$N$6</definedName>
    <definedName name="产业集聚程度">定义!$N$1:$N$6</definedName>
    <definedName name="车位公共部分装修" localSheetId="9">'[1]比较法-车位'!$B$79:$M$79</definedName>
    <definedName name="车位公共部分装修">'比较法-车位'!$B$83:$M$83</definedName>
    <definedName name="车位交易情况" localSheetId="9">'[1]比较法-车位'!$A$49:$M$49</definedName>
    <definedName name="车位交易情况">'比较法-车位'!$A$51:$M$51</definedName>
    <definedName name="车位类型" localSheetId="9">'[1]比较法-车位'!$B$89:$M$89</definedName>
    <definedName name="车位类型">'比较法-车位'!$B$93:$M$93</definedName>
    <definedName name="车位楼层" localSheetId="9">'[1]比较法-车位'!$B$67:$M$67</definedName>
    <definedName name="车位楼层">'比较法-车位'!$B$71:$M$71</definedName>
    <definedName name="车位配套类型" localSheetId="9">'[1]比较法-车位'!$B$75:$M$75</definedName>
    <definedName name="车位配套类型">'比较法-车位'!$B$79:$M$79</definedName>
    <definedName name="车位物业等级" localSheetId="9">'[1]比较法-车位'!$B$84:$M$84</definedName>
    <definedName name="车位物业等级">'比较法-车位'!$B$88:$M$88</definedName>
    <definedName name="车位用途" localSheetId="9">'[1]比较法-车位'!$B$51:$M$51</definedName>
    <definedName name="车位用途">'比较法-车位'!$B$53:$M$53</definedName>
    <definedName name="城镇土地纳税等级分级范围" localSheetId="9">'[1]数据-取费表'!$A$52:$A$62</definedName>
    <definedName name="城镇土地纳税等级分级范围">'数据-取费表'!$A$53:$A$63</definedName>
    <definedName name="单价内涵" localSheetId="9">[1]定义!$U$1:$U$3</definedName>
    <definedName name="单价内涵">定义!$V$1:$V$3</definedName>
    <definedName name="地类判定" localSheetId="9">[1]定义!$H$1:$H$9</definedName>
    <definedName name="地类判定">定义!$H$1:$H$9</definedName>
    <definedName name="二级">区片价!$I$1:$I$20</definedName>
    <definedName name="二级分类" localSheetId="9">[1]修正!$C$17:$C$39</definedName>
    <definedName name="二级分类">修正!$C$17:$C$39</definedName>
    <definedName name="法定最高年限" localSheetId="9">[1]定义!$G$1:$G$4</definedName>
    <definedName name="法定最高年限">定义!$G$1:$G$4</definedName>
    <definedName name="工业公共部分装修" localSheetId="9">'[1]比较法-工业'!$B$91:$M$91</definedName>
    <definedName name="工业公共部分装修">'比较法-工业'!$B$95:$M$95</definedName>
    <definedName name="工业基础设施水平" localSheetId="9">'[1]比较法-工业'!$B$98:$M$98</definedName>
    <definedName name="工业基础设施水平">'比较法-工业'!$B$102:$M$102</definedName>
    <definedName name="工业建筑结构" localSheetId="9">'[1]比较法-工业'!$B$89:$M$89</definedName>
    <definedName name="工业建筑结构">'比较法-工业'!$B$93:$M$93</definedName>
    <definedName name="工业建筑类型" localSheetId="9">'[1]比较法-工业'!$B$84:$M$84</definedName>
    <definedName name="工业建筑类型">'比较法-工业'!$B$88:$M$88</definedName>
    <definedName name="工业交易情况" localSheetId="9">'[1]比较法-工业'!$A$53:$M$53</definedName>
    <definedName name="工业交易情况">'比较法-工业'!$A$55:$M$55</definedName>
    <definedName name="工业内部装修" localSheetId="9">'[1]比较法-工业'!$B$100:$M$100</definedName>
    <definedName name="工业内部装修">'比较法-工业'!$B$104:$M$104</definedName>
    <definedName name="工业物业管理" localSheetId="9">'[1]比较法-工业'!$B$96:$M$96</definedName>
    <definedName name="工业物业管理">'比较法-工业'!$B$100:$M$100</definedName>
    <definedName name="工业用途" localSheetId="9">'[1]比较法-工业'!$B$55:$M$55</definedName>
    <definedName name="工业用途">'比较法-工业'!$B$57:$M$57</definedName>
    <definedName name="公共配套设施">定义!$Q$1:$Q$6</definedName>
    <definedName name="公用设施及基础设施水平">[1]定义!$Q$1:$Q$6</definedName>
    <definedName name="估价方法" localSheetId="9">[1]定义!$B$1:$B$50</definedName>
    <definedName name="估价方法">定义!$B$1:$B$50</definedName>
    <definedName name="环境" localSheetId="9">[1]定义!$R$1:$R$6</definedName>
    <definedName name="环境">定义!$S$1:$S$6</definedName>
    <definedName name="基础设施水平">定义!$R$1:$R$6</definedName>
    <definedName name="季度" localSheetId="9">[1]基准地价修正!$O$19:$Z$19</definedName>
    <definedName name="季度">基准地价修正!$Q$19:$AD$19</definedName>
    <definedName name="价值类型2" localSheetId="9">[1]定义!$B$54:$B$56</definedName>
    <definedName name="价值类型2">定义!$B$54:$B$56</definedName>
    <definedName name="交通便捷度" localSheetId="9">[1]定义!$O$1:$O$6</definedName>
    <definedName name="交通便捷度">定义!$O$1:$O$6</definedName>
    <definedName name="九级">区片价!$P$1:$P$46</definedName>
    <definedName name="居住社区成熟度" localSheetId="9">[1]定义!$K$1:$K$6</definedName>
    <definedName name="居住社区成熟度">定义!$K$1:$K$6</definedName>
    <definedName name="类别" localSheetId="9">[1]定义!$J$1:$J$3</definedName>
    <definedName name="类别">定义!$J$1:$J$3</definedName>
    <definedName name="临街状况" localSheetId="9">[1]定义!$S$1:$S$5</definedName>
    <definedName name="临街状况">定义!$T$1:$T$5</definedName>
    <definedName name="六级">区片价!$M$1:$M$49</definedName>
    <definedName name="内部装修维护情况" localSheetId="9">[1]定义!$T$1:$T$6</definedName>
    <definedName name="内部装修维护情况">定义!$U$1:$U$6</definedName>
    <definedName name="判定" localSheetId="9">[1]定义!$D$1:$D$4</definedName>
    <definedName name="判定">定义!$D$1:$D$4</definedName>
    <definedName name="七级">区片价!$N$1:$N$49</definedName>
    <definedName name="七通一平" localSheetId="9">[1]修正!$A$6:$A$14</definedName>
    <definedName name="七通一平">修正!$A$6:$A$14</definedName>
    <definedName name="区域土地利用方向" localSheetId="9">[1]定义!$P$1:$P$6</definedName>
    <definedName name="区域土地利用方向">定义!$P$1:$P$6</definedName>
    <definedName name="三级">区片价!$J$1:$J$21</definedName>
    <definedName name="商业层高" localSheetId="9">'[1]比较法-商业'!$B$112:$M$112</definedName>
    <definedName name="商业层高">'比较法-商业'!$B$116:$M$116</definedName>
    <definedName name="商业成新度">'比较法-商业'!$B$109:$M$109</definedName>
    <definedName name="商业繁华度" localSheetId="9">[1]定义!$L$1:$L$6</definedName>
    <definedName name="商业繁华度">定义!$L$1:$L$6</definedName>
    <definedName name="商业公共部分装修" localSheetId="9">'[1]比较法-商业'!$B$103:$M$103</definedName>
    <definedName name="商业公共部分装修">'比较法-商业'!$B$107:$M$107</definedName>
    <definedName name="商业基础设施水平" localSheetId="9">'[1]比较法-商业'!$B$108:$M$108</definedName>
    <definedName name="商业基础设施水平">'比较法-商业'!$B$112:$M$112</definedName>
    <definedName name="商业建筑结构" localSheetId="9">'[1]比较法-商业'!$B$101:$M$101</definedName>
    <definedName name="商业建筑结构">'比较法-商业'!$B$105:$M$105</definedName>
    <definedName name="商业交易情况" localSheetId="9">'[1]比较法-商业'!$A$59:$M$59</definedName>
    <definedName name="商业交易情况">'比较法-商业'!$A$61:$M$61</definedName>
    <definedName name="商业街名称" localSheetId="9">[1]修正!$C$59:$C$119</definedName>
    <definedName name="商业街名称">修正!$C$59:$C$119</definedName>
    <definedName name="商业进深比" localSheetId="9">'[1]比较法-商业'!$B$116:$M$116</definedName>
    <definedName name="商业进深比">'比较法-商业'!$B$120:$M$120</definedName>
    <definedName name="商业类型" localSheetId="9">'[1]比较法-商业'!$B$96:$M$96</definedName>
    <definedName name="商业类型">'比较法-商业'!$B$100:$M$100</definedName>
    <definedName name="商业临街状况" localSheetId="9">'[1]比较法-商业'!$B$82:$M$82</definedName>
    <definedName name="商业临街状况">'比较法-商业'!$B$86:$M$86</definedName>
    <definedName name="商业楼层" localSheetId="9">'[1]比较法-商业'!$B$88:$M$88</definedName>
    <definedName name="商业楼层">'比较法-商业'!$B$92:$M$92</definedName>
    <definedName name="商业内部装修" localSheetId="9">'[1]比较法-商业'!$B$118:$M$118</definedName>
    <definedName name="商业内部装修">'比较法-商业'!$B$122:$M$122</definedName>
    <definedName name="商业人流量" localSheetId="9">'[1]比较法-商业'!$B$86:$M$86</definedName>
    <definedName name="商业人流量">'比较法-商业'!$B$90:$M$90</definedName>
    <definedName name="商业业态" localSheetId="9">'[1]比较法-商业'!$B$110:$M$110</definedName>
    <definedName name="商业业态">'比较法-商业'!$B$114:$M$114</definedName>
    <definedName name="商业用途" localSheetId="9">'[1]比较法-商业'!$B$61:$M$61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9">'[1]比较法-仓储'!$B$85:$M$85</definedName>
    <definedName name="是否封闭">'比较法-仓储'!$B$89:$M$89</definedName>
    <definedName name="是否直接入户" localSheetId="9">'[1]比较法-车位'!$B$91:$M$91</definedName>
    <definedName name="是否直接入户">'比较法-车位'!$B$95:$M$95</definedName>
    <definedName name="四级">区片价!$K$1:$K$28</definedName>
    <definedName name="套工道路等级" localSheetId="9">'[1]土地比较法-工业'!$B$93:$M$93</definedName>
    <definedName name="套工道路等级">'土地比较法-工业'!$B$97:$M$97</definedName>
    <definedName name="套工地质条件" localSheetId="9">'[1]土地比较法-工业'!$B$110:$M$110</definedName>
    <definedName name="套工地质条件">'土地比较法-工业'!$B$114:$M$114</definedName>
    <definedName name="套工交易情况" localSheetId="9">'[1]土地比较法-住宅、综合'!$A$71:$M$71</definedName>
    <definedName name="套工交易情况">'土地比较法-住宅、综合'!$A$73:$M$73</definedName>
    <definedName name="套工土地级别" localSheetId="9">'[1]土地比较法-工业'!$B$95:$M$95</definedName>
    <definedName name="套工土地级别">'土地比较法-工业'!$B$99:$M$99</definedName>
    <definedName name="套工用途" localSheetId="9">'[1]土地比较法-工业'!$B$68:$M$68</definedName>
    <definedName name="套工用途">'土地比较法-工业'!$B$70:$M$70</definedName>
    <definedName name="套工宗地开发程度" localSheetId="9">'[1]土地比较法-工业'!$B$108:$M$108</definedName>
    <definedName name="套工宗地开发程度">'土地比较法-工业'!$B$112:$M$112</definedName>
    <definedName name="套工宗地形状" localSheetId="9">'[1]土地比较法-工业'!$B$106:$M$106</definedName>
    <definedName name="套工宗地形状">'土地比较法-工业'!$B$110:$M$110</definedName>
    <definedName name="套综道路等级" localSheetId="9">'[1]土地比较法-住宅、综合'!$B$102:$M$102</definedName>
    <definedName name="套综道路等级">'土地比较法-住宅、综合'!$B$106:$M$106</definedName>
    <definedName name="套综工程地质条件" localSheetId="9">'[1]土地比较法-住宅、综合'!$B$121:$M$121</definedName>
    <definedName name="套综工程地质条件">'土地比较法-住宅、综合'!$B$125:$M$125</definedName>
    <definedName name="套综交易情况" localSheetId="9">'[1]土地比较法-住宅、综合'!$A$71:$M$71</definedName>
    <definedName name="套综交易情况">'土地比较法-住宅、综合'!$A$73:$M$73</definedName>
    <definedName name="套综临街宽度及深度" localSheetId="9">'[1]土地比较法-住宅、综合'!$B$117:$M$117</definedName>
    <definedName name="套综临街宽度及深度">'土地比较法-住宅、综合'!$B$121:$M$121</definedName>
    <definedName name="套综土地级别" localSheetId="9">'[1]土地比较法-住宅、综合'!$B$104:$M$104</definedName>
    <definedName name="套综土地级别">'土地比较法-住宅、综合'!$B$108:$M$108</definedName>
    <definedName name="套综用途" localSheetId="9">'[1]土地比较法-住宅、综合'!$B$73:$M$73</definedName>
    <definedName name="套综用途">'土地比较法-住宅、综合'!$B$75:$M$75</definedName>
    <definedName name="套综宗地内开发程度" localSheetId="9">'[1]土地比较法-住宅、综合'!$B$119:$M$119</definedName>
    <definedName name="套综宗地内开发程度">'土地比较法-住宅、综合'!$B$123:$M$123</definedName>
    <definedName name="套综宗地形状" localSheetId="9">'[1]土地比较法-住宅、综合'!$B$115:$M$115</definedName>
    <definedName name="套综宗地形状">'土地比较法-住宅、综合'!$B$119:$M$119</definedName>
    <definedName name="土地估价师">估价师及机构信息!$D$3:$D$24</definedName>
    <definedName name="土地级别" localSheetId="9">[1]定义!$C$1:$C$14</definedName>
    <definedName name="土地级别">定义!$C$1:$C$14</definedName>
    <definedName name="土地利用方向">定义!$P$1:$P$6</definedName>
    <definedName name="土地年限区间" localSheetId="9">[1]定义!$I$1:$I$8</definedName>
    <definedName name="土地年限区间">定义!$I$1:$I$8</definedName>
    <definedName name="位置" localSheetId="9">[1]定义!$E$2:$E$4</definedName>
    <definedName name="位置">定义!$E$2:$E$4</definedName>
    <definedName name="五等判定" localSheetId="9">[1]定义!$V$1:$V$6</definedName>
    <definedName name="五等判定">定义!$W$1:$W$6</definedName>
    <definedName name="五级">区片价!$L$1:$L$35</definedName>
    <definedName name="项目类型" localSheetId="9">'[1]数据-汇总表'!$C$17:$C$26</definedName>
    <definedName name="项目类型">'数据-汇总表'!$C$17:$C$26</definedName>
    <definedName name="写字楼等级" localSheetId="9">'[1]比较法-办公'!$B$109:$M$109</definedName>
    <definedName name="写字楼等级">'比较法-办公'!$B$113:$M$113</definedName>
    <definedName name="一级">区片价!$H$1:$H$6</definedName>
    <definedName name="一修多修正项2" localSheetId="9">[1]典型户型修正!$5:$5</definedName>
    <definedName name="一修多修正项2">典型户型修正!$5:$5</definedName>
    <definedName name="一修多修正项3" localSheetId="9">[1]典型户型修正!$7:$7</definedName>
    <definedName name="一修多修正项3">典型户型修正!$7:$7</definedName>
    <definedName name="一修多修正项4" localSheetId="9">[1]典型户型修正!$9:$9</definedName>
    <definedName name="一修多修正项4">典型户型修正!$9:$9</definedName>
    <definedName name="一修多修正项5" localSheetId="9">[1]典型户型修正!$11:$11</definedName>
    <definedName name="一修多修正项5">典型户型修正!$11:$11</definedName>
    <definedName name="一修多修正项6" localSheetId="9">[1]典型户型修正!$13:$13</definedName>
    <definedName name="一修多修正项6">典型户型修正!$13:$13</definedName>
    <definedName name="一修多修正项7" localSheetId="9">[1]典型户型修正!$15:$15</definedName>
    <definedName name="一修多修正项7">典型户型修正!$15:$15</definedName>
    <definedName name="一修多修正项8" localSheetId="9">[1]典型户型修正!$17:$17</definedName>
    <definedName name="一修多修正项8">典型户型修正!$17:$17</definedName>
    <definedName name="用途明细" localSheetId="9">[1]定义!$A$1:$A$50</definedName>
    <definedName name="用途明细">定义!$A$1:$A$50</definedName>
    <definedName name="有无电梯" localSheetId="9">'[1]比较法-仓储'!$B$80:$M$80</definedName>
    <definedName name="有无电梯">'比较法-仓储'!$B$84:$M$84</definedName>
    <definedName name="主用途" localSheetId="9">[1]定义!$F$1:$F$10</definedName>
    <definedName name="主用途">定义!$F$1:$F$10</definedName>
    <definedName name="住宅朝向" localSheetId="37">'比较法-别墅'!$B$88:$M$88</definedName>
    <definedName name="住宅朝向" localSheetId="9">'[1]比较法-住宅-洋房'!$B$84:$M$84</definedName>
    <definedName name="住宅朝向">'比较法-洋房'!$B$88:$M$88</definedName>
    <definedName name="住宅房型" localSheetId="37">'比较法-别墅'!$B$118:$M$118</definedName>
    <definedName name="住宅房型" localSheetId="9">'[1]比较法-住宅-洋房'!$B$114:$M$114</definedName>
    <definedName name="住宅房型">'比较法-洋房'!$B$118:$M$118</definedName>
    <definedName name="住宅公共部分装修" localSheetId="37">'比较法-别墅'!$B$109:$M$109</definedName>
    <definedName name="住宅公共部分装修" localSheetId="9">'[1]比较法-住宅-洋房'!$B$105:$M$105</definedName>
    <definedName name="住宅公共部分装修">'比较法-洋房'!$B$109:$M$109</definedName>
    <definedName name="住宅基础设施水平" localSheetId="37">'比较法-别墅'!$B$116:$M$116</definedName>
    <definedName name="住宅基础设施水平" localSheetId="9">'[1]比较法-住宅-洋房'!$B$112:$M$112</definedName>
    <definedName name="住宅基础设施水平">'比较法-洋房'!$B$116:$M$116</definedName>
    <definedName name="住宅建筑结构" localSheetId="37">'比较法-别墅'!$B$105:$M$105</definedName>
    <definedName name="住宅建筑结构" localSheetId="9">'[1]比较法-住宅-洋房'!$B$101:$M$101</definedName>
    <definedName name="住宅建筑结构">'比较法-洋房'!$B$105:$M$105</definedName>
    <definedName name="住宅建筑类型" localSheetId="37">'比较法-别墅'!$B$100:$M$100</definedName>
    <definedName name="住宅建筑类型" localSheetId="9">'[1]比较法-住宅-洋房'!$B$96:$M$96</definedName>
    <definedName name="住宅建筑类型">'比较法-洋房'!$B$100:$M$100</definedName>
    <definedName name="住宅建筑品质" localSheetId="37">'比较法-别墅'!$B$107:$M$107</definedName>
    <definedName name="住宅建筑品质" localSheetId="9">'[1]比较法-住宅-洋房'!$B$103:$M$103</definedName>
    <definedName name="住宅建筑品质">'比较法-洋房'!$B$107:$M$107</definedName>
    <definedName name="住宅交易情况" localSheetId="37">'比较法-别墅'!$A$61:$M$61</definedName>
    <definedName name="住宅交易情况" localSheetId="9">'[1]比较法-住宅-洋房'!$A$59:$M$59</definedName>
    <definedName name="住宅交易情况">'比较法-洋房'!$A$61:$M$61</definedName>
    <definedName name="住宅楼层" localSheetId="37">'比较法-别墅'!$B$86:$M$86</definedName>
    <definedName name="住宅楼层" localSheetId="9">'[1]比较法-住宅-洋房'!$B$82:$M$82</definedName>
    <definedName name="住宅楼层">'比较法-洋房'!$B$86:$M$86</definedName>
    <definedName name="住宅内部装修" localSheetId="37">'比较法-别墅'!$B$122:$M$122</definedName>
    <definedName name="住宅内部装修" localSheetId="9">'[1]比较法-住宅-洋房'!$B$118:$M$118</definedName>
    <definedName name="住宅内部装修">'比较法-洋房'!$B$122:$M$122</definedName>
    <definedName name="住宅物业管理" localSheetId="37">'比较法-别墅'!$B$114:$M$114</definedName>
    <definedName name="住宅物业管理" localSheetId="9">'[1]比较法-住宅-洋房'!$B$110:$M$110</definedName>
    <definedName name="住宅物业管理">'比较法-洋房'!$B$114:$M$114</definedName>
    <definedName name="住宅用途" localSheetId="37">'比较法-别墅'!$B$63:$M$63</definedName>
    <definedName name="住宅用途" localSheetId="9">'[1]比较法-住宅-洋房'!$B$61:$M$61</definedName>
    <definedName name="住宅用途">'比较法-洋房'!$B$63:$M$63</definedName>
    <definedName name="住宅主力户型面积" localSheetId="37">'比较法-别墅'!$B$120:$M$120</definedName>
    <definedName name="住宅主力户型面积">'比较法-洋房'!$B$120:$M$120</definedName>
    <definedName name="注册房地产估价师" localSheetId="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7" i="74" l="1"/>
  <c r="B17" i="74"/>
  <c r="C16" i="74"/>
  <c r="B16" i="74"/>
  <c r="C15" i="74"/>
  <c r="B15" i="74"/>
  <c r="D17" i="74" l="1"/>
  <c r="G17" i="74" s="1"/>
  <c r="D16" i="74" l="1"/>
  <c r="G16" i="74" s="1"/>
  <c r="D15" i="74" l="1"/>
  <c r="G15" i="74" s="1"/>
  <c r="I8" i="83" l="1"/>
  <c r="A3" i="3" l="1"/>
  <c r="Q72" i="82" l="1"/>
  <c r="Q59" i="82"/>
  <c r="F59" i="82"/>
  <c r="Q58" i="82"/>
  <c r="Q51" i="82"/>
  <c r="J50" i="82"/>
  <c r="J51" i="82" s="1"/>
  <c r="M47" i="82"/>
  <c r="D46" i="82"/>
  <c r="F33" i="82"/>
  <c r="F61" i="82" s="1"/>
  <c r="F31" i="82"/>
  <c r="F23" i="82"/>
  <c r="D24" i="82" s="1"/>
  <c r="D23" i="82"/>
  <c r="D22" i="82"/>
  <c r="F21" i="82"/>
  <c r="F20" i="82"/>
  <c r="M19" i="82"/>
  <c r="F18" i="82"/>
  <c r="M17" i="82"/>
  <c r="F17" i="82"/>
  <c r="F15" i="82"/>
  <c r="M11" i="82"/>
  <c r="F11" i="82"/>
  <c r="C53" i="82" s="1"/>
  <c r="G47" i="81"/>
  <c r="E47" i="81"/>
  <c r="R47" i="81" s="1"/>
  <c r="I47" i="81"/>
  <c r="E54" i="81"/>
  <c r="F54" i="81" s="1"/>
  <c r="I47" i="21"/>
  <c r="G47" i="21"/>
  <c r="E47" i="21"/>
  <c r="C145" i="81"/>
  <c r="J142" i="81"/>
  <c r="J140" i="81"/>
  <c r="K139" i="81"/>
  <c r="K143" i="81" s="1"/>
  <c r="B130" i="81"/>
  <c r="B128" i="81"/>
  <c r="B126" i="8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D113" i="81"/>
  <c r="E113" i="81" s="1"/>
  <c r="F113" i="81" s="1"/>
  <c r="G113" i="81" s="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D89" i="81"/>
  <c r="E89" i="81" s="1"/>
  <c r="F89" i="81" s="1"/>
  <c r="G89" i="81" s="1"/>
  <c r="H89" i="81" s="1"/>
  <c r="I89" i="81" s="1"/>
  <c r="J89" i="81" s="1"/>
  <c r="K89" i="81" s="1"/>
  <c r="L89" i="81" s="1"/>
  <c r="M89" i="81" s="1"/>
  <c r="M87" i="81"/>
  <c r="L87" i="81"/>
  <c r="K87" i="81"/>
  <c r="J87" i="81"/>
  <c r="I87" i="81"/>
  <c r="H87" i="81"/>
  <c r="G87" i="81"/>
  <c r="F87" i="81"/>
  <c r="E87" i="81"/>
  <c r="D87" i="81"/>
  <c r="D83" i="81"/>
  <c r="E83" i="81" s="1"/>
  <c r="F83" i="81" s="1"/>
  <c r="G83" i="81" s="1"/>
  <c r="B74" i="81"/>
  <c r="B72" i="81"/>
  <c r="B70" i="81"/>
  <c r="M67" i="81"/>
  <c r="L67" i="81"/>
  <c r="K67" i="81"/>
  <c r="J67" i="81"/>
  <c r="I67" i="81"/>
  <c r="H67" i="81"/>
  <c r="G67" i="81"/>
  <c r="F67" i="81"/>
  <c r="E67" i="81"/>
  <c r="D67" i="81"/>
  <c r="C67" i="81"/>
  <c r="D66" i="81"/>
  <c r="E66" i="81" s="1"/>
  <c r="F66" i="81" s="1"/>
  <c r="G66" i="81" s="1"/>
  <c r="H66" i="81" s="1"/>
  <c r="I66" i="81" s="1"/>
  <c r="C63" i="81"/>
  <c r="G54" i="81"/>
  <c r="H54" i="81" s="1"/>
  <c r="P49" i="81"/>
  <c r="P48" i="81"/>
  <c r="P47" i="81"/>
  <c r="Q46" i="81"/>
  <c r="Z46" i="81" s="1"/>
  <c r="J46" i="81"/>
  <c r="AC46" i="81" s="1"/>
  <c r="H46" i="81"/>
  <c r="AB46" i="81" s="1"/>
  <c r="F46" i="81"/>
  <c r="AA46" i="81" s="1"/>
  <c r="Q45" i="81"/>
  <c r="Z45" i="81" s="1"/>
  <c r="J45" i="8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K23" i="81"/>
  <c r="D85" i="81" s="1"/>
  <c r="E85" i="81" s="1"/>
  <c r="F85" i="81" s="1"/>
  <c r="G85" i="81" s="1"/>
  <c r="H23" i="81"/>
  <c r="AB23" i="81" s="1"/>
  <c r="C23" i="81"/>
  <c r="Q21" i="81"/>
  <c r="Z21" i="81" s="1"/>
  <c r="J21" i="81"/>
  <c r="AC21" i="81" s="1"/>
  <c r="H21" i="81"/>
  <c r="AB21" i="81" s="1"/>
  <c r="F21" i="81"/>
  <c r="C21" i="81"/>
  <c r="Q19" i="81"/>
  <c r="Z19" i="81" s="1"/>
  <c r="K19" i="81"/>
  <c r="D81" i="81" s="1"/>
  <c r="E81" i="81" s="1"/>
  <c r="C19" i="81"/>
  <c r="Q17" i="81"/>
  <c r="Z17" i="81" s="1"/>
  <c r="K17" i="81"/>
  <c r="D79" i="81" s="1"/>
  <c r="E79" i="81" s="1"/>
  <c r="F79" i="81" s="1"/>
  <c r="G79" i="81" s="1"/>
  <c r="H17" i="81"/>
  <c r="AB17" i="81" s="1"/>
  <c r="C17" i="81"/>
  <c r="Q15" i="81"/>
  <c r="Z15" i="81" s="1"/>
  <c r="K15" i="81"/>
  <c r="D77" i="81" s="1"/>
  <c r="E77" i="81" s="1"/>
  <c r="F77" i="81" s="1"/>
  <c r="G77"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K11" i="81"/>
  <c r="D69" i="81" s="1"/>
  <c r="E69" i="81" s="1"/>
  <c r="F69" i="81" s="1"/>
  <c r="G69" i="81" s="1"/>
  <c r="H69" i="81" s="1"/>
  <c r="I69" i="81" s="1"/>
  <c r="J69" i="81" s="1"/>
  <c r="K69" i="81" s="1"/>
  <c r="L69" i="81" s="1"/>
  <c r="M69" i="81" s="1"/>
  <c r="Q10" i="81"/>
  <c r="Z10" i="81" s="1"/>
  <c r="J10" i="81"/>
  <c r="AC10" i="81" s="1"/>
  <c r="H10" i="81"/>
  <c r="AB10" i="81" s="1"/>
  <c r="F10" i="81"/>
  <c r="AA10" i="81" s="1"/>
  <c r="Q9" i="81"/>
  <c r="Z9" i="81" s="1"/>
  <c r="J9" i="81"/>
  <c r="AC9" i="81" s="1"/>
  <c r="H9" i="81"/>
  <c r="AB9" i="81" s="1"/>
  <c r="F9" i="81"/>
  <c r="AA9" i="81" s="1"/>
  <c r="S8" i="81"/>
  <c r="J8" i="81"/>
  <c r="AC8" i="81" s="1"/>
  <c r="H8" i="81"/>
  <c r="U8" i="81" s="1"/>
  <c r="F8" i="81"/>
  <c r="AA8" i="81" s="1"/>
  <c r="K11" i="21"/>
  <c r="K23" i="21"/>
  <c r="K19" i="21"/>
  <c r="K17" i="21"/>
  <c r="K15" i="21"/>
  <c r="W19" i="78"/>
  <c r="I46" i="39"/>
  <c r="G46" i="39"/>
  <c r="E46" i="39"/>
  <c r="D2" i="81"/>
  <c r="H113" i="81" l="1"/>
  <c r="H37" i="81"/>
  <c r="AB37" i="81" s="1"/>
  <c r="J37" i="81"/>
  <c r="AC37" i="81" s="1"/>
  <c r="F37" i="81"/>
  <c r="AA37" i="81" s="1"/>
  <c r="U17" i="81"/>
  <c r="K145" i="81"/>
  <c r="I54" i="81"/>
  <c r="J54" i="81" s="1"/>
  <c r="W8" i="81"/>
  <c r="H15" i="81"/>
  <c r="AB15" i="81" s="1"/>
  <c r="F17" i="81"/>
  <c r="AA17" i="81" s="1"/>
  <c r="J17" i="81"/>
  <c r="AC17" i="81" s="1"/>
  <c r="F23" i="81"/>
  <c r="AA23" i="81" s="1"/>
  <c r="J23" i="81"/>
  <c r="AC23" i="81" s="1"/>
  <c r="C10" i="82"/>
  <c r="V47" i="81"/>
  <c r="T47" i="81"/>
  <c r="AA21" i="81"/>
  <c r="S21" i="81"/>
  <c r="AB8" i="81"/>
  <c r="S9" i="81"/>
  <c r="W9" i="81"/>
  <c r="U10" i="81"/>
  <c r="U12" i="81"/>
  <c r="S13" i="81"/>
  <c r="W13" i="81"/>
  <c r="U14" i="81"/>
  <c r="U9" i="81"/>
  <c r="S10" i="81"/>
  <c r="W10" i="81"/>
  <c r="S12" i="81"/>
  <c r="W12" i="81"/>
  <c r="U13" i="81"/>
  <c r="S14" i="81"/>
  <c r="W14" i="81"/>
  <c r="F15" i="81"/>
  <c r="J15" i="81"/>
  <c r="U15" i="81"/>
  <c r="S17" i="81"/>
  <c r="W17" i="81"/>
  <c r="F81" i="81"/>
  <c r="J19" i="81" s="1"/>
  <c r="U21" i="81"/>
  <c r="S23" i="81"/>
  <c r="W23" i="81"/>
  <c r="U25" i="81"/>
  <c r="S26" i="81"/>
  <c r="W26"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U45" i="81"/>
  <c r="W21" i="81"/>
  <c r="U23" i="81"/>
  <c r="S25" i="81"/>
  <c r="W25" i="81"/>
  <c r="U26" i="81"/>
  <c r="S27"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AC45" i="81"/>
  <c r="W45" i="81"/>
  <c r="S45" i="81"/>
  <c r="S46" i="81"/>
  <c r="W46" i="81"/>
  <c r="K141" i="81"/>
  <c r="U46" i="81"/>
  <c r="K144" i="81"/>
  <c r="AC19" i="81" l="1"/>
  <c r="W19" i="81"/>
  <c r="AA15" i="81"/>
  <c r="S15" i="81"/>
  <c r="G81" i="81"/>
  <c r="F19" i="81"/>
  <c r="H19" i="81"/>
  <c r="AC15" i="81"/>
  <c r="W15" i="81"/>
  <c r="AA19" i="81" l="1"/>
  <c r="S19" i="81"/>
  <c r="AB19" i="81"/>
  <c r="U19" i="81"/>
  <c r="I38" i="39" l="1"/>
  <c r="G38" i="39"/>
  <c r="E38" i="39"/>
  <c r="C38" i="39"/>
  <c r="G11" i="39"/>
  <c r="E11" i="39"/>
  <c r="F116" i="39"/>
  <c r="E116" i="39"/>
  <c r="D116" i="39"/>
  <c r="C116" i="39"/>
  <c r="I7" i="39"/>
  <c r="G7" i="39"/>
  <c r="E7" i="39"/>
  <c r="I5" i="39"/>
  <c r="G5" i="39"/>
  <c r="E5" i="39"/>
  <c r="N14" i="1"/>
  <c r="L14" i="1"/>
  <c r="N8" i="1"/>
  <c r="N9" i="1"/>
  <c r="AL14" i="3"/>
  <c r="AL15" i="3"/>
  <c r="AL16" i="3"/>
  <c r="AL17" i="3"/>
  <c r="AL18" i="3"/>
  <c r="AL19" i="3"/>
  <c r="AL20" i="3"/>
  <c r="AL21" i="3"/>
  <c r="AL22" i="3"/>
  <c r="AL23" i="3"/>
  <c r="AL24" i="3"/>
  <c r="AL13" i="3"/>
  <c r="AF14" i="3"/>
  <c r="AF15" i="3"/>
  <c r="AF16" i="3"/>
  <c r="AF17" i="3"/>
  <c r="AF18" i="3"/>
  <c r="AF19" i="3"/>
  <c r="AF20" i="3"/>
  <c r="AF21" i="3"/>
  <c r="AF22" i="3"/>
  <c r="AF23" i="3"/>
  <c r="AF24" i="3"/>
  <c r="AF13" i="3"/>
  <c r="G22" i="6"/>
  <c r="G21" i="6"/>
  <c r="F20" i="6"/>
  <c r="F19" i="6"/>
  <c r="AN28" i="3"/>
  <c r="AN27" i="3"/>
  <c r="AL28" i="3"/>
  <c r="AL27" i="3"/>
  <c r="AH26" i="3"/>
  <c r="E9" i="6" s="1"/>
  <c r="O29" i="3"/>
  <c r="O30" i="3"/>
  <c r="O28" i="3"/>
  <c r="M14" i="3"/>
  <c r="M15" i="3"/>
  <c r="M16" i="3"/>
  <c r="M17" i="3"/>
  <c r="M18" i="3"/>
  <c r="M19" i="3"/>
  <c r="M20" i="3"/>
  <c r="M21" i="3"/>
  <c r="M22" i="3"/>
  <c r="M23" i="3"/>
  <c r="M24" i="3"/>
  <c r="M25" i="3"/>
  <c r="M13" i="3"/>
  <c r="K14" i="3"/>
  <c r="K15" i="3"/>
  <c r="K16" i="3"/>
  <c r="K17" i="3"/>
  <c r="K18" i="3"/>
  <c r="K19" i="3"/>
  <c r="K20" i="3"/>
  <c r="K21" i="3"/>
  <c r="K22" i="3"/>
  <c r="K23" i="3"/>
  <c r="K24" i="3"/>
  <c r="K25" i="3"/>
  <c r="K13" i="3"/>
  <c r="I14" i="3"/>
  <c r="I15" i="3"/>
  <c r="I16" i="3"/>
  <c r="I17" i="3"/>
  <c r="I18" i="3"/>
  <c r="I19" i="3"/>
  <c r="I20" i="3"/>
  <c r="I21" i="3"/>
  <c r="I22" i="3"/>
  <c r="I23" i="3"/>
  <c r="I24" i="3"/>
  <c r="I25" i="3"/>
  <c r="I13" i="3"/>
  <c r="U98" i="78"/>
  <c r="T98" i="78"/>
  <c r="S98" i="78"/>
  <c r="R98" i="78"/>
  <c r="Q98" i="78"/>
  <c r="P98" i="78"/>
  <c r="O98" i="78"/>
  <c r="M98" i="78"/>
  <c r="L98" i="78"/>
  <c r="K98" i="78"/>
  <c r="J98" i="78"/>
  <c r="I98" i="78"/>
  <c r="H98" i="78"/>
  <c r="N97" i="78"/>
  <c r="G97" i="78"/>
  <c r="N96" i="78"/>
  <c r="G96" i="78"/>
  <c r="F96" i="78"/>
  <c r="N95" i="78"/>
  <c r="G95" i="78"/>
  <c r="U94" i="78"/>
  <c r="T94" i="78"/>
  <c r="R94" i="78"/>
  <c r="Q94" i="78"/>
  <c r="P94" i="78"/>
  <c r="O94" i="78"/>
  <c r="M94" i="78"/>
  <c r="L94" i="78"/>
  <c r="K94" i="78"/>
  <c r="J94" i="78"/>
  <c r="I94" i="78"/>
  <c r="H94" i="78"/>
  <c r="S93" i="78"/>
  <c r="N93" i="78" s="1"/>
  <c r="G93" i="78"/>
  <c r="N92" i="78"/>
  <c r="G92" i="78"/>
  <c r="F92" i="78"/>
  <c r="N91" i="78"/>
  <c r="G91" i="78"/>
  <c r="F91" i="78" s="1"/>
  <c r="N90" i="78"/>
  <c r="G90" i="78"/>
  <c r="F90" i="78" s="1"/>
  <c r="N89" i="78"/>
  <c r="G89" i="78"/>
  <c r="N88" i="78"/>
  <c r="G88" i="78"/>
  <c r="F88" i="78"/>
  <c r="N87" i="78"/>
  <c r="G87" i="78"/>
  <c r="F87" i="78" s="1"/>
  <c r="N86" i="78"/>
  <c r="N94" i="78" s="1"/>
  <c r="G86" i="78"/>
  <c r="F86" i="78" s="1"/>
  <c r="U80" i="78"/>
  <c r="T80" i="78"/>
  <c r="S80" i="78"/>
  <c r="R80" i="78"/>
  <c r="Q80" i="78"/>
  <c r="P80" i="78"/>
  <c r="O80" i="78"/>
  <c r="M80" i="78"/>
  <c r="L80" i="78"/>
  <c r="K80" i="78"/>
  <c r="J80" i="78"/>
  <c r="I80" i="78"/>
  <c r="H80" i="78"/>
  <c r="N79" i="78"/>
  <c r="G79" i="78"/>
  <c r="F79" i="78" s="1"/>
  <c r="N78" i="78"/>
  <c r="G78" i="78"/>
  <c r="F78" i="78" s="1"/>
  <c r="N77" i="78"/>
  <c r="G77" i="78"/>
  <c r="N76" i="78"/>
  <c r="N80" i="78" s="1"/>
  <c r="G76" i="78"/>
  <c r="G80" i="78" s="1"/>
  <c r="F76" i="78"/>
  <c r="U75" i="78"/>
  <c r="T75" i="78"/>
  <c r="S75" i="78"/>
  <c r="R75" i="78"/>
  <c r="Q75" i="78"/>
  <c r="P75" i="78"/>
  <c r="O75" i="78"/>
  <c r="M75" i="78"/>
  <c r="K75" i="78"/>
  <c r="J75" i="78"/>
  <c r="I75" i="78"/>
  <c r="H75" i="78"/>
  <c r="N74" i="78"/>
  <c r="L74" i="78"/>
  <c r="G74" i="78" s="1"/>
  <c r="F74" i="78" s="1"/>
  <c r="N73" i="78"/>
  <c r="G73" i="78"/>
  <c r="N72" i="78"/>
  <c r="G72" i="78"/>
  <c r="F72" i="78"/>
  <c r="N71" i="78"/>
  <c r="G71" i="78"/>
  <c r="F71" i="78" s="1"/>
  <c r="N70" i="78"/>
  <c r="G70" i="78"/>
  <c r="F70" i="78" s="1"/>
  <c r="N69" i="78"/>
  <c r="G69" i="78"/>
  <c r="N68" i="78"/>
  <c r="G68" i="78"/>
  <c r="F68" i="78"/>
  <c r="N67" i="78"/>
  <c r="G67" i="78"/>
  <c r="F67" i="78" s="1"/>
  <c r="N66" i="78"/>
  <c r="G66" i="78"/>
  <c r="F66" i="78" s="1"/>
  <c r="N65" i="78"/>
  <c r="G65" i="78"/>
  <c r="N64" i="78"/>
  <c r="G64" i="78"/>
  <c r="F64" i="78"/>
  <c r="N63" i="78"/>
  <c r="G63" i="78"/>
  <c r="F63" i="78" s="1"/>
  <c r="N62" i="78"/>
  <c r="G62" i="78"/>
  <c r="F62" i="78" s="1"/>
  <c r="N61" i="78"/>
  <c r="G61" i="78"/>
  <c r="N60" i="78"/>
  <c r="N75" i="78" s="1"/>
  <c r="G60" i="78"/>
  <c r="G75" i="78" s="1"/>
  <c r="F60" i="78"/>
  <c r="U59" i="78"/>
  <c r="U55" i="78"/>
  <c r="T55" i="78"/>
  <c r="R55" i="78"/>
  <c r="Q55" i="78"/>
  <c r="P55" i="78"/>
  <c r="O55" i="78"/>
  <c r="M55" i="78"/>
  <c r="L55" i="78"/>
  <c r="K55" i="78"/>
  <c r="J55" i="78"/>
  <c r="I55" i="78"/>
  <c r="H55" i="78"/>
  <c r="S54" i="78"/>
  <c r="N54" i="78" s="1"/>
  <c r="G54" i="78"/>
  <c r="N53" i="78"/>
  <c r="G53" i="78"/>
  <c r="F53" i="78" s="1"/>
  <c r="N52" i="78"/>
  <c r="G52" i="78"/>
  <c r="F52" i="78" s="1"/>
  <c r="N51" i="78"/>
  <c r="G51" i="78"/>
  <c r="F51" i="78"/>
  <c r="N50" i="78"/>
  <c r="G50" i="78"/>
  <c r="F50" i="78" s="1"/>
  <c r="N49" i="78"/>
  <c r="G49" i="78"/>
  <c r="F49" i="78" s="1"/>
  <c r="N48" i="78"/>
  <c r="G48" i="78"/>
  <c r="N47" i="78"/>
  <c r="G47" i="78"/>
  <c r="F47" i="78"/>
  <c r="N46" i="78"/>
  <c r="G46" i="78"/>
  <c r="F46" i="78" s="1"/>
  <c r="N45" i="78"/>
  <c r="G45" i="78"/>
  <c r="F45" i="78" s="1"/>
  <c r="N44" i="78"/>
  <c r="G44" i="78"/>
  <c r="N43" i="78"/>
  <c r="G43" i="78"/>
  <c r="F43" i="78"/>
  <c r="N42" i="78"/>
  <c r="G42" i="78"/>
  <c r="F42" i="78" s="1"/>
  <c r="N41" i="78"/>
  <c r="G41" i="78"/>
  <c r="F41" i="78" s="1"/>
  <c r="N40" i="78"/>
  <c r="G40" i="78"/>
  <c r="N39" i="78"/>
  <c r="G39" i="78"/>
  <c r="F39" i="78"/>
  <c r="N38" i="78"/>
  <c r="G38" i="78"/>
  <c r="F38" i="78" s="1"/>
  <c r="N37" i="78"/>
  <c r="G37" i="78"/>
  <c r="F37" i="78" s="1"/>
  <c r="N36" i="78"/>
  <c r="G36" i="78"/>
  <c r="N35" i="78"/>
  <c r="G35" i="78"/>
  <c r="F35" i="78"/>
  <c r="N34" i="78"/>
  <c r="G34" i="78"/>
  <c r="F34" i="78" s="1"/>
  <c r="N33" i="78"/>
  <c r="G33" i="78"/>
  <c r="F33" i="78" s="1"/>
  <c r="N32" i="78"/>
  <c r="G32" i="78"/>
  <c r="N31" i="78"/>
  <c r="G31" i="78"/>
  <c r="F31" i="78"/>
  <c r="N30" i="78"/>
  <c r="G30" i="78"/>
  <c r="F30" i="78" s="1"/>
  <c r="N29" i="78"/>
  <c r="G29" i="78"/>
  <c r="F29" i="78" s="1"/>
  <c r="U28" i="78"/>
  <c r="T23" i="78"/>
  <c r="S23" i="78"/>
  <c r="R23" i="78"/>
  <c r="Q23" i="78"/>
  <c r="P23" i="78"/>
  <c r="O23" i="78"/>
  <c r="M23" i="78"/>
  <c r="L23" i="78"/>
  <c r="K23" i="78"/>
  <c r="J23" i="78"/>
  <c r="I23" i="78"/>
  <c r="H23" i="78"/>
  <c r="N22" i="78"/>
  <c r="G22" i="78"/>
  <c r="F22" i="78"/>
  <c r="N21" i="78"/>
  <c r="G21" i="78"/>
  <c r="F21" i="78" s="1"/>
  <c r="U20" i="78"/>
  <c r="N20" i="78" s="1"/>
  <c r="G20" i="78"/>
  <c r="F20" i="78" s="1"/>
  <c r="N19" i="78"/>
  <c r="G19" i="78"/>
  <c r="F19" i="78" s="1"/>
  <c r="N18" i="78"/>
  <c r="N23" i="78" s="1"/>
  <c r="G18" i="78"/>
  <c r="U17" i="78"/>
  <c r="T17" i="78"/>
  <c r="S17" i="78"/>
  <c r="R17" i="78"/>
  <c r="Q17" i="78"/>
  <c r="P17" i="78"/>
  <c r="O17" i="78"/>
  <c r="M17" i="78"/>
  <c r="M24" i="78" s="1"/>
  <c r="L17" i="78"/>
  <c r="K17" i="78"/>
  <c r="J17" i="78"/>
  <c r="I17" i="78"/>
  <c r="I24" i="78" s="1"/>
  <c r="H17" i="78"/>
  <c r="N16" i="78"/>
  <c r="G16" i="78"/>
  <c r="F16" i="78" s="1"/>
  <c r="N15" i="78"/>
  <c r="G15" i="78"/>
  <c r="N14" i="78"/>
  <c r="G14" i="78"/>
  <c r="F14" i="78"/>
  <c r="N13" i="78"/>
  <c r="G13" i="78"/>
  <c r="F13" i="78" s="1"/>
  <c r="X12" i="78"/>
  <c r="N12" i="78"/>
  <c r="G12" i="78"/>
  <c r="F12" i="78" s="1"/>
  <c r="X11" i="78"/>
  <c r="N11" i="78"/>
  <c r="G11" i="78"/>
  <c r="Y10" i="78"/>
  <c r="N7" i="1" s="1"/>
  <c r="X10" i="78"/>
  <c r="N10" i="78"/>
  <c r="G10" i="78"/>
  <c r="F10" i="78"/>
  <c r="Y9" i="78"/>
  <c r="N6" i="1" s="1"/>
  <c r="X9" i="78"/>
  <c r="N9" i="78"/>
  <c r="G9" i="78"/>
  <c r="F9" i="78" s="1"/>
  <c r="N8" i="78"/>
  <c r="G8" i="78"/>
  <c r="F8" i="78" s="1"/>
  <c r="N7" i="78"/>
  <c r="G7" i="78"/>
  <c r="F7" i="78" s="1"/>
  <c r="N6" i="78"/>
  <c r="G6" i="78"/>
  <c r="F6" i="78" s="1"/>
  <c r="N5" i="78"/>
  <c r="G5" i="78"/>
  <c r="N4" i="78"/>
  <c r="G4" i="78"/>
  <c r="F4" i="78" s="1"/>
  <c r="C30" i="3"/>
  <c r="C29" i="3"/>
  <c r="C28" i="3"/>
  <c r="C27" i="3"/>
  <c r="C26" i="3"/>
  <c r="C25" i="3"/>
  <c r="C24" i="3"/>
  <c r="C23" i="3"/>
  <c r="C22" i="3"/>
  <c r="C21" i="3"/>
  <c r="C20" i="3"/>
  <c r="C19" i="3"/>
  <c r="C18" i="3"/>
  <c r="C17" i="3"/>
  <c r="C16" i="3"/>
  <c r="C15" i="3"/>
  <c r="C14" i="3"/>
  <c r="C13" i="3"/>
  <c r="D3" i="4"/>
  <c r="F5" i="78" l="1"/>
  <c r="F15" i="78"/>
  <c r="F18" i="78"/>
  <c r="H24" i="78"/>
  <c r="J24" i="78"/>
  <c r="L24" i="78"/>
  <c r="O24" i="78"/>
  <c r="Q24" i="78"/>
  <c r="S24" i="78"/>
  <c r="U23" i="78"/>
  <c r="U24" i="78" s="1"/>
  <c r="N55" i="78"/>
  <c r="F32" i="78"/>
  <c r="F36" i="78"/>
  <c r="F40" i="78"/>
  <c r="F44" i="78"/>
  <c r="F48" i="78"/>
  <c r="H81" i="78"/>
  <c r="J81" i="78"/>
  <c r="O81" i="78"/>
  <c r="Q81" i="78"/>
  <c r="S81" i="78"/>
  <c r="U81" i="78"/>
  <c r="F97" i="78"/>
  <c r="H99" i="78"/>
  <c r="J99" i="78"/>
  <c r="L99" i="78"/>
  <c r="AT28" i="3"/>
  <c r="F11" i="78"/>
  <c r="K24" i="78"/>
  <c r="P24" i="78"/>
  <c r="R24" i="78"/>
  <c r="T24" i="78"/>
  <c r="F61" i="78"/>
  <c r="F75" i="78" s="1"/>
  <c r="F65" i="78"/>
  <c r="F69" i="78"/>
  <c r="F73" i="78"/>
  <c r="F77" i="78"/>
  <c r="F80" i="78" s="1"/>
  <c r="F81" i="78" s="1"/>
  <c r="I81" i="78"/>
  <c r="K81" i="78"/>
  <c r="M81" i="78"/>
  <c r="P81" i="78"/>
  <c r="R81" i="78"/>
  <c r="T81" i="78"/>
  <c r="F89" i="78"/>
  <c r="F94" i="78" s="1"/>
  <c r="F93" i="78"/>
  <c r="N98" i="78"/>
  <c r="N99" i="78" s="1"/>
  <c r="P99" i="78"/>
  <c r="R99" i="78"/>
  <c r="T99" i="78"/>
  <c r="N81" i="78"/>
  <c r="S55" i="78"/>
  <c r="G81" i="78"/>
  <c r="G94" i="78"/>
  <c r="G98" i="78"/>
  <c r="G99" i="78" s="1"/>
  <c r="F95" i="78"/>
  <c r="F98" i="78" s="1"/>
  <c r="F17" i="78"/>
  <c r="N17" i="78"/>
  <c r="N24" i="78" s="1"/>
  <c r="G17" i="78"/>
  <c r="F23" i="78"/>
  <c r="F24" i="78" s="1"/>
  <c r="G23" i="78"/>
  <c r="G24" i="78" s="1"/>
  <c r="F54" i="78"/>
  <c r="F55" i="78" s="1"/>
  <c r="G55" i="78"/>
  <c r="L75" i="78"/>
  <c r="L81" i="78" s="1"/>
  <c r="S94" i="78"/>
  <c r="I99" i="78"/>
  <c r="K99" i="78"/>
  <c r="M99" i="78"/>
  <c r="O99" i="78"/>
  <c r="Q99" i="78"/>
  <c r="S99" i="78"/>
  <c r="U99" i="78"/>
  <c r="A21" i="62"/>
  <c r="A20" i="62"/>
  <c r="A22" i="51"/>
  <c r="A21" i="51"/>
  <c r="A20" i="51"/>
  <c r="F99" i="78" l="1"/>
  <c r="A14" i="62"/>
  <c r="A13" i="62"/>
  <c r="A2" i="53"/>
  <c r="A19" i="62" l="1"/>
  <c r="A12" i="62"/>
  <c r="A120" i="9"/>
  <c r="H2" i="52"/>
  <c r="A1" i="52"/>
  <c r="A3" i="53"/>
  <c r="L5" i="71" l="1"/>
  <c r="Q5" i="71" s="1"/>
  <c r="K5" i="71"/>
  <c r="P5" i="71" s="1"/>
  <c r="J5" i="71"/>
  <c r="O5" i="71" s="1"/>
  <c r="I5" i="71"/>
  <c r="N5" i="71" s="1"/>
  <c r="D5" i="43" l="1"/>
  <c r="A15" i="51" l="1"/>
  <c r="B11" i="76"/>
  <c r="B13" i="76"/>
  <c r="E11" i="76"/>
  <c r="B9" i="76"/>
  <c r="E8" i="76"/>
  <c r="E9" i="76"/>
  <c r="B12" i="76"/>
  <c r="B8" i="76"/>
  <c r="E13" i="76"/>
  <c r="B10" i="76"/>
  <c r="E7" i="76"/>
  <c r="B7" i="76"/>
  <c r="E10"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3" i="73"/>
  <c r="F6" i="73"/>
  <c r="F5" i="73"/>
  <c r="F4" i="73"/>
  <c r="D7" i="73"/>
  <c r="I1" i="73" l="1"/>
  <c r="D6" i="73"/>
  <c r="D5" i="73"/>
  <c r="D4" i="73"/>
  <c r="D3"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Y8" i="71"/>
  <c r="Z8" i="71" s="1"/>
  <c r="AB8" i="71"/>
  <c r="X11" i="71"/>
  <c r="AA11" i="71"/>
  <c r="C13" i="71"/>
  <c r="Y12" i="71"/>
  <c r="Z12" i="71" s="1"/>
  <c r="X15" i="71"/>
  <c r="AA15" i="7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A9" i="70"/>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G20" i="20"/>
  <c r="B86" i="43" s="1"/>
  <c r="C22" i="20"/>
  <c r="AO12" i="1"/>
  <c r="AO13" i="1"/>
  <c r="AO11" i="1"/>
  <c r="AO10" i="1"/>
  <c r="B11" i="70" l="1"/>
  <c r="B10" i="70"/>
  <c r="B12" i="70"/>
  <c r="B13"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F15" i="4"/>
  <c r="F10" i="1"/>
  <c r="F11" i="1"/>
  <c r="F12" i="1"/>
  <c r="F13" i="1"/>
  <c r="D6" i="1"/>
  <c r="D9" i="1"/>
  <c r="D10" i="1"/>
  <c r="D11" i="1"/>
  <c r="D12" i="1"/>
  <c r="D13" i="1"/>
  <c r="D7" i="1"/>
  <c r="D8" i="1"/>
  <c r="A7" i="1"/>
  <c r="A8" i="1"/>
  <c r="B8" i="1" s="1"/>
  <c r="E8" i="1" s="1"/>
  <c r="A9" i="1"/>
  <c r="A10" i="1"/>
  <c r="A11" i="1"/>
  <c r="A12" i="1"/>
  <c r="A13" i="1"/>
  <c r="A6" i="1"/>
  <c r="G1" i="82"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F9" i="1" s="1"/>
  <c r="G9" i="1" s="1"/>
  <c r="G15" i="4"/>
  <c r="F8" i="1" s="1"/>
  <c r="G8"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O6" i="1" s="1"/>
  <c r="P6" i="1" s="1"/>
  <c r="E20" i="6"/>
  <c r="D3" i="81" s="1"/>
  <c r="E21" i="6"/>
  <c r="K8" i="1" s="1"/>
  <c r="F23" i="15"/>
  <c r="D24" i="15"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A493" i="3" s="1"/>
  <c r="BD493" i="3"/>
  <c r="BE493" i="3"/>
  <c r="BF493" i="3"/>
  <c r="BG493" i="3"/>
  <c r="BG5" i="3" s="1"/>
  <c r="BH493" i="3"/>
  <c r="BI493" i="3"/>
  <c r="BJ493" i="3"/>
  <c r="BK493" i="3"/>
  <c r="BM493" i="3"/>
  <c r="BN493" i="3"/>
  <c r="BO493" i="3"/>
  <c r="BP493" i="3"/>
  <c r="BP5" i="3" s="1"/>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G498" i="3" s="1"/>
  <c r="AC498" i="3"/>
  <c r="BB498" i="3"/>
  <c r="BA498" i="3" s="1"/>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A501" i="3" s="1"/>
  <c r="BD501" i="3"/>
  <c r="BE501" i="3"/>
  <c r="BF501" i="3"/>
  <c r="BG501" i="3"/>
  <c r="BH501" i="3"/>
  <c r="BI501" i="3"/>
  <c r="BJ501" i="3"/>
  <c r="BK501" i="3"/>
  <c r="BM501" i="3"/>
  <c r="BN501" i="3"/>
  <c r="BO501" i="3"/>
  <c r="BP501" i="3"/>
  <c r="BR501" i="3"/>
  <c r="BS501" i="3"/>
  <c r="BT501" i="3"/>
  <c r="H502" i="3"/>
  <c r="AC502" i="3"/>
  <c r="BB502" i="3"/>
  <c r="BA502" i="3" s="1"/>
  <c r="AZ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A512" i="3" s="1"/>
  <c r="AZ512" i="3" s="1"/>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A526" i="3" s="1"/>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L564" i="3" s="1"/>
  <c r="BO564" i="3"/>
  <c r="BP564" i="3"/>
  <c r="BQ564" i="3"/>
  <c r="BR564" i="3"/>
  <c r="BS564" i="3"/>
  <c r="BT564" i="3"/>
  <c r="H565" i="3"/>
  <c r="AC565" i="3"/>
  <c r="BB565" i="3"/>
  <c r="BC565" i="3"/>
  <c r="BA565" i="3" s="1"/>
  <c r="BD565" i="3"/>
  <c r="BE565" i="3"/>
  <c r="BF565" i="3"/>
  <c r="BG565" i="3"/>
  <c r="BH565" i="3"/>
  <c r="BI565" i="3"/>
  <c r="BJ565" i="3"/>
  <c r="BK565" i="3"/>
  <c r="BM565" i="3"/>
  <c r="BN565" i="3"/>
  <c r="BL565" i="3" s="1"/>
  <c r="BO565" i="3"/>
  <c r="BP565" i="3"/>
  <c r="BR565" i="3"/>
  <c r="BS565" i="3"/>
  <c r="BT565" i="3"/>
  <c r="H566" i="3"/>
  <c r="G566" i="3" s="1"/>
  <c r="AC566" i="3"/>
  <c r="BB566" i="3"/>
  <c r="BC566" i="3"/>
  <c r="BA566" i="3" s="1"/>
  <c r="AZ566" i="3" s="1"/>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L569" i="3" s="1"/>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A583" i="3" s="1"/>
  <c r="BD583" i="3"/>
  <c r="BE583" i="3"/>
  <c r="BF583" i="3"/>
  <c r="BG583" i="3"/>
  <c r="BH583" i="3"/>
  <c r="BI583" i="3"/>
  <c r="BJ583" i="3"/>
  <c r="BK583" i="3"/>
  <c r="BM583" i="3"/>
  <c r="BN583" i="3"/>
  <c r="BL583" i="3" s="1"/>
  <c r="BO583" i="3"/>
  <c r="BP583" i="3"/>
  <c r="BR583" i="3"/>
  <c r="BS583" i="3"/>
  <c r="BT583" i="3"/>
  <c r="H584" i="3"/>
  <c r="G584" i="3" s="1"/>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H39" i="40"/>
  <c r="U39" i="40" s="1"/>
  <c r="F39" i="40"/>
  <c r="AA39" i="40" s="1"/>
  <c r="Q38" i="40"/>
  <c r="Z38" i="40"/>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B95" i="36"/>
  <c r="D83" i="36"/>
  <c r="E83" i="36" s="1"/>
  <c r="D78" i="36"/>
  <c r="E78" i="36" s="1"/>
  <c r="F78" i="36" s="1"/>
  <c r="G78" i="36" s="1"/>
  <c r="H78" i="36" s="1"/>
  <c r="I78" i="36" s="1"/>
  <c r="J78" i="36" s="1"/>
  <c r="K78" i="36" s="1"/>
  <c r="L78" i="36" s="1"/>
  <c r="M78" i="36" s="1"/>
  <c r="B75" i="36"/>
  <c r="J25" i="36" s="1"/>
  <c r="W25" i="36" s="1"/>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F35" i="35" s="1"/>
  <c r="AA35" i="35" s="1"/>
  <c r="B97" i="35"/>
  <c r="B77" i="35"/>
  <c r="J25" i="35" s="1"/>
  <c r="W25" i="35" s="1"/>
  <c r="B75" i="35"/>
  <c r="J24" i="35"/>
  <c r="AC24" i="35" s="1"/>
  <c r="B73" i="35"/>
  <c r="H23" i="35"/>
  <c r="U23" i="35" s="1"/>
  <c r="B57" i="35"/>
  <c r="B61" i="35"/>
  <c r="J13" i="35" s="1"/>
  <c r="AC13" i="35" s="1"/>
  <c r="B59" i="35"/>
  <c r="B131" i="34"/>
  <c r="H47" i="34" s="1"/>
  <c r="U47" i="34" s="1"/>
  <c r="B129" i="34"/>
  <c r="B127" i="34"/>
  <c r="J45" i="34" s="1"/>
  <c r="W45" i="34" s="1"/>
  <c r="B99" i="34"/>
  <c r="B97" i="34"/>
  <c r="J31" i="34" s="1"/>
  <c r="B95" i="34"/>
  <c r="B93" i="34"/>
  <c r="F29" i="34" s="1"/>
  <c r="S29" i="34" s="1"/>
  <c r="B75" i="34"/>
  <c r="B73" i="34"/>
  <c r="J13" i="34" s="1"/>
  <c r="W13" i="34" s="1"/>
  <c r="B71" i="34"/>
  <c r="B130" i="33"/>
  <c r="B128" i="33"/>
  <c r="B126" i="33"/>
  <c r="J44" i="33" s="1"/>
  <c r="AC44" i="33" s="1"/>
  <c r="B98" i="33"/>
  <c r="B96" i="33"/>
  <c r="B94" i="33"/>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s="1"/>
  <c r="D120" i="34"/>
  <c r="E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H9" i="34"/>
  <c r="F9" i="34"/>
  <c r="J8" i="34"/>
  <c r="AC8" i="34" s="1"/>
  <c r="H8" i="34"/>
  <c r="U8" i="34" s="1"/>
  <c r="F8" i="34"/>
  <c r="D121" i="33"/>
  <c r="E121" i="33" s="1"/>
  <c r="F109" i="33"/>
  <c r="E109" i="33"/>
  <c r="D109" i="33"/>
  <c r="C109" i="33"/>
  <c r="D91" i="33"/>
  <c r="E91" i="33" s="1"/>
  <c r="B88" i="33"/>
  <c r="C23" i="33"/>
  <c r="C19" i="33"/>
  <c r="C17" i="33"/>
  <c r="C15" i="33"/>
  <c r="C15" i="21"/>
  <c r="D125" i="33"/>
  <c r="D123" i="33"/>
  <c r="E123" i="33" s="1"/>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D77" i="21"/>
  <c r="E77" i="21" s="1"/>
  <c r="B130" i="21"/>
  <c r="H46" i="21" s="1"/>
  <c r="U46" i="21" s="1"/>
  <c r="B128" i="21"/>
  <c r="J45" i="21" s="1"/>
  <c r="W45" i="21" s="1"/>
  <c r="B126" i="21"/>
  <c r="B98" i="21"/>
  <c r="B96" i="21"/>
  <c r="B94" i="21"/>
  <c r="B92" i="21"/>
  <c r="B90" i="2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s="1"/>
  <c r="U9" i="39"/>
  <c r="W25" i="37"/>
  <c r="U30" i="37"/>
  <c r="W31" i="37"/>
  <c r="E103" i="37"/>
  <c r="F103" i="37"/>
  <c r="F39" i="37"/>
  <c r="S39" i="37" s="1"/>
  <c r="U14" i="37"/>
  <c r="F29" i="36"/>
  <c r="AA29" i="36" s="1"/>
  <c r="W8" i="36"/>
  <c r="F16" i="36"/>
  <c r="AA16" i="36" s="1"/>
  <c r="U9" i="36"/>
  <c r="S30" i="36"/>
  <c r="AA31" i="36"/>
  <c r="AC31" i="36"/>
  <c r="W31" i="36"/>
  <c r="J33" i="36"/>
  <c r="W33" i="36" s="1"/>
  <c r="H22" i="35"/>
  <c r="AB22" i="35" s="1"/>
  <c r="AC27" i="35"/>
  <c r="S34" i="35"/>
  <c r="W34" i="35"/>
  <c r="W22" i="35"/>
  <c r="S31" i="35"/>
  <c r="U34" i="35"/>
  <c r="F36" i="34"/>
  <c r="J35" i="34"/>
  <c r="S34" i="34"/>
  <c r="H39" i="33"/>
  <c r="AB39" i="33" s="1"/>
  <c r="S9" i="33"/>
  <c r="U33" i="33"/>
  <c r="U35" i="33"/>
  <c r="S40" i="33"/>
  <c r="W33" i="33"/>
  <c r="W39" i="33"/>
  <c r="H39" i="37"/>
  <c r="AB39" i="37" s="1"/>
  <c r="F11" i="40"/>
  <c r="AA11" i="40" s="1"/>
  <c r="H11" i="40"/>
  <c r="AB11" i="40" s="1"/>
  <c r="W8" i="40"/>
  <c r="AB39" i="40"/>
  <c r="AA9" i="40"/>
  <c r="AC9" i="40"/>
  <c r="S34" i="40"/>
  <c r="U34" i="40"/>
  <c r="S39" i="40"/>
  <c r="U40" i="40"/>
  <c r="F42" i="39"/>
  <c r="AA42" i="39" s="1"/>
  <c r="H40" i="39"/>
  <c r="AB40" i="39" s="1"/>
  <c r="H39" i="39"/>
  <c r="U39" i="39" s="1"/>
  <c r="S38" i="39"/>
  <c r="S34" i="39"/>
  <c r="H34" i="39"/>
  <c r="U34" i="39" s="1"/>
  <c r="E109" i="39"/>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J19" i="39"/>
  <c r="AC19" i="39" s="1"/>
  <c r="J17" i="39"/>
  <c r="S40" i="21"/>
  <c r="U34" i="21"/>
  <c r="C27" i="39"/>
  <c r="S40" i="39"/>
  <c r="S19" i="39"/>
  <c r="H32" i="33"/>
  <c r="AB32" i="33" s="1"/>
  <c r="H37" i="40"/>
  <c r="U37" i="40" s="1"/>
  <c r="H36" i="40"/>
  <c r="AB36" i="40" s="1"/>
  <c r="F35" i="40"/>
  <c r="AA35" i="40" s="1"/>
  <c r="H23" i="40"/>
  <c r="H17" i="40"/>
  <c r="U17" i="40" s="1"/>
  <c r="J15" i="40"/>
  <c r="W15" i="40" s="1"/>
  <c r="J11" i="40"/>
  <c r="W11" i="40" s="1"/>
  <c r="AB8" i="39"/>
  <c r="AC12" i="34"/>
  <c r="AA12" i="34"/>
  <c r="AB12" i="35"/>
  <c r="AB12" i="36"/>
  <c r="S44" i="39"/>
  <c r="U30" i="36"/>
  <c r="J30" i="35"/>
  <c r="W30" i="35" s="1"/>
  <c r="H30" i="35"/>
  <c r="AB30" i="35" s="1"/>
  <c r="F22" i="35"/>
  <c r="AA22" i="35" s="1"/>
  <c r="H10" i="35"/>
  <c r="U10" i="35" s="1"/>
  <c r="AB33" i="36"/>
  <c r="F33" i="36"/>
  <c r="AA33" i="36" s="1"/>
  <c r="W30" i="36"/>
  <c r="H16" i="36"/>
  <c r="AB16" i="36" s="1"/>
  <c r="E85" i="36"/>
  <c r="F85" i="36" s="1"/>
  <c r="G85" i="36" s="1"/>
  <c r="H85" i="36" s="1"/>
  <c r="I85" i="36" s="1"/>
  <c r="J85" i="36" s="1"/>
  <c r="K85" i="36" s="1"/>
  <c r="L85" i="36" s="1"/>
  <c r="M85" i="36" s="1"/>
  <c r="J29" i="36"/>
  <c r="AC29" i="36" s="1"/>
  <c r="F12" i="36"/>
  <c r="F24" i="36"/>
  <c r="AA24" i="36" s="1"/>
  <c r="S10" i="36"/>
  <c r="S8" i="36"/>
  <c r="U8" i="35"/>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S10" i="37"/>
  <c r="AA39" i="37"/>
  <c r="AB34" i="37"/>
  <c r="J33" i="37"/>
  <c r="AC33" i="37" s="1"/>
  <c r="F120" i="34"/>
  <c r="G120" i="34" s="1"/>
  <c r="H120" i="34" s="1"/>
  <c r="I120" i="34" s="1"/>
  <c r="J120" i="34" s="1"/>
  <c r="K120" i="34" s="1"/>
  <c r="L120" i="34" s="1"/>
  <c r="M120" i="34" s="1"/>
  <c r="H40" i="34"/>
  <c r="U40" i="34" s="1"/>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S38" i="33"/>
  <c r="E113" i="33"/>
  <c r="F113" i="33" s="1"/>
  <c r="G113" i="33" s="1"/>
  <c r="H113" i="33" s="1"/>
  <c r="I113" i="33" s="1"/>
  <c r="J113" i="33" s="1"/>
  <c r="K113" i="33" s="1"/>
  <c r="L113" i="33" s="1"/>
  <c r="M113" i="33" s="1"/>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s="1"/>
  <c r="AA42" i="34"/>
  <c r="AC38" i="34"/>
  <c r="AA38" i="34"/>
  <c r="J37" i="34"/>
  <c r="AC37" i="34" s="1"/>
  <c r="J11" i="33"/>
  <c r="W11" i="33" s="1"/>
  <c r="S28" i="34"/>
  <c r="G123" i="21"/>
  <c r="H123" i="21" s="1"/>
  <c r="I123" i="21" s="1"/>
  <c r="J123" i="21" s="1"/>
  <c r="K123" i="21" s="1"/>
  <c r="L123" i="21" s="1"/>
  <c r="M123"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J46" i="21"/>
  <c r="W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F27" i="21"/>
  <c r="AA27" i="21" s="1"/>
  <c r="J31" i="21"/>
  <c r="AC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11" i="36"/>
  <c r="AC11" i="36" s="1"/>
  <c r="H11" i="36"/>
  <c r="U11" i="36" s="1"/>
  <c r="F11" i="36"/>
  <c r="AA11"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J40" i="37"/>
  <c r="AC40" i="37" s="1"/>
  <c r="AC12" i="40"/>
  <c r="H14" i="33"/>
  <c r="U14" i="33" s="1"/>
  <c r="F30" i="33"/>
  <c r="F44" i="33"/>
  <c r="S44" i="33" s="1"/>
  <c r="H13" i="34"/>
  <c r="U13" i="34" s="1"/>
  <c r="J29" i="34"/>
  <c r="H29" i="34"/>
  <c r="AB29" i="34" s="1"/>
  <c r="H31" i="34"/>
  <c r="AB31" i="34" s="1"/>
  <c r="H45" i="34"/>
  <c r="U45" i="34" s="1"/>
  <c r="F45" i="34"/>
  <c r="S45" i="34" s="1"/>
  <c r="F47" i="34"/>
  <c r="S47" i="34" s="1"/>
  <c r="F13" i="35"/>
  <c r="S13" i="35" s="1"/>
  <c r="H13" i="35"/>
  <c r="U13" i="35" s="1"/>
  <c r="F25" i="35"/>
  <c r="S25" i="35" s="1"/>
  <c r="J35" i="35"/>
  <c r="AC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AA14" i="33"/>
  <c r="J36" i="37"/>
  <c r="AC36" i="37" s="1"/>
  <c r="G105" i="37"/>
  <c r="AB11" i="36"/>
  <c r="AB11" i="35"/>
  <c r="J10" i="36"/>
  <c r="AC10" i="36" s="1"/>
  <c r="AB30" i="21"/>
  <c r="AA14" i="37"/>
  <c r="S11" i="36"/>
  <c r="W11" i="35"/>
  <c r="AB46" i="34"/>
  <c r="AC30" i="34"/>
  <c r="AA14" i="34"/>
  <c r="S45" i="33"/>
  <c r="AB45" i="33"/>
  <c r="AB31" i="33"/>
  <c r="U31" i="33"/>
  <c r="W29" i="33"/>
  <c r="U13" i="33"/>
  <c r="AC28" i="21"/>
  <c r="S44" i="34"/>
  <c r="BA586" i="3"/>
  <c r="BA585" i="3"/>
  <c r="F17" i="21"/>
  <c r="AA17" i="21" s="1"/>
  <c r="H17" i="21"/>
  <c r="AB17" i="21" s="1"/>
  <c r="AC45" i="39"/>
  <c r="W35" i="39"/>
  <c r="S35" i="39"/>
  <c r="G544" i="3"/>
  <c r="G540" i="3"/>
  <c r="G535" i="3"/>
  <c r="G531" i="3"/>
  <c r="G527" i="3"/>
  <c r="G518" i="3"/>
  <c r="G510" i="3"/>
  <c r="G504" i="3"/>
  <c r="G496" i="3"/>
  <c r="G580" i="3"/>
  <c r="G576" i="3"/>
  <c r="G572" i="3"/>
  <c r="G564" i="3"/>
  <c r="G560" i="3"/>
  <c r="G554" i="3"/>
  <c r="BL584" i="3"/>
  <c r="BL576" i="3"/>
  <c r="BL572" i="3"/>
  <c r="BL568" i="3"/>
  <c r="BL560" i="3"/>
  <c r="BL546" i="3"/>
  <c r="AZ546" i="3" s="1"/>
  <c r="BL542" i="3"/>
  <c r="BL538" i="3"/>
  <c r="BL530" i="3"/>
  <c r="BL522" i="3"/>
  <c r="BL512" i="3"/>
  <c r="BL502" i="3"/>
  <c r="BL494" i="3"/>
  <c r="BL574" i="3"/>
  <c r="BL570" i="3"/>
  <c r="BL566" i="3"/>
  <c r="BL556" i="3"/>
  <c r="BL544" i="3"/>
  <c r="BL536" i="3"/>
  <c r="BL532" i="3"/>
  <c r="BL528" i="3"/>
  <c r="BL524" i="3"/>
  <c r="BL518" i="3"/>
  <c r="BL510" i="3"/>
  <c r="BL500" i="3"/>
  <c r="G493" i="3"/>
  <c r="BA582" i="3"/>
  <c r="AZ582" i="3" s="1"/>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2" i="3"/>
  <c r="AZ522" i="3" s="1"/>
  <c r="BA518" i="3"/>
  <c r="AZ518" i="3" s="1"/>
  <c r="BA516" i="3"/>
  <c r="AZ516" i="3" s="1"/>
  <c r="BA514" i="3"/>
  <c r="BA506" i="3"/>
  <c r="BA500" i="3"/>
  <c r="BA494" i="3"/>
  <c r="BA581" i="3"/>
  <c r="AZ581" i="3" s="1"/>
  <c r="BA579" i="3"/>
  <c r="AZ579" i="3" s="1"/>
  <c r="BA577" i="3"/>
  <c r="BA575" i="3"/>
  <c r="AZ575" i="3" s="1"/>
  <c r="BA573" i="3"/>
  <c r="BA571" i="3"/>
  <c r="AZ571" i="3" s="1"/>
  <c r="BA567" i="3"/>
  <c r="AZ567" i="3" s="1"/>
  <c r="BA563" i="3"/>
  <c r="AZ563" i="3" s="1"/>
  <c r="BA561" i="3"/>
  <c r="BA559" i="3"/>
  <c r="BA553" i="3"/>
  <c r="BA547" i="3"/>
  <c r="BA545" i="3"/>
  <c r="BA543" i="3"/>
  <c r="BA539" i="3"/>
  <c r="BA535" i="3"/>
  <c r="BA531" i="3"/>
  <c r="BA527" i="3"/>
  <c r="BA523" i="3"/>
  <c r="BA517" i="3"/>
  <c r="BA513" i="3"/>
  <c r="BA507" i="3"/>
  <c r="BA503" i="3"/>
  <c r="BA499" i="3"/>
  <c r="BA495" i="3"/>
  <c r="AZ560" i="3"/>
  <c r="G581" i="3"/>
  <c r="G577" i="3"/>
  <c r="G575" i="3"/>
  <c r="G573" i="3"/>
  <c r="G571" i="3"/>
  <c r="G569" i="3"/>
  <c r="G565" i="3"/>
  <c r="G561" i="3"/>
  <c r="BL558" i="3"/>
  <c r="BA557" i="3"/>
  <c r="AZ557" i="3" s="1"/>
  <c r="AC557" i="3"/>
  <c r="G557" i="3"/>
  <c r="BQ557" i="3"/>
  <c r="BL557" i="3"/>
  <c r="BQ583" i="3"/>
  <c r="BQ581" i="3"/>
  <c r="BL581" i="3"/>
  <c r="BQ579" i="3"/>
  <c r="BL579" i="3"/>
  <c r="BQ577" i="3"/>
  <c r="BL577" i="3" s="1"/>
  <c r="AZ577" i="3" s="1"/>
  <c r="BQ575" i="3"/>
  <c r="BL575" i="3"/>
  <c r="BQ573" i="3"/>
  <c r="BL573" i="3" s="1"/>
  <c r="AZ573" i="3" s="1"/>
  <c r="BQ571" i="3"/>
  <c r="BL571" i="3"/>
  <c r="BQ569" i="3"/>
  <c r="BQ567" i="3"/>
  <c r="BL567" i="3"/>
  <c r="BQ565" i="3"/>
  <c r="BQ563" i="3"/>
  <c r="BL563" i="3"/>
  <c r="BQ561" i="3"/>
  <c r="BL561" i="3"/>
  <c r="AZ561" i="3" s="1"/>
  <c r="BQ559" i="3"/>
  <c r="BL559" i="3" s="1"/>
  <c r="AZ559" i="3"/>
  <c r="G559" i="3"/>
  <c r="G555" i="3"/>
  <c r="G549" i="3"/>
  <c r="G547" i="3"/>
  <c r="G545" i="3"/>
  <c r="G543" i="3"/>
  <c r="G541" i="3"/>
  <c r="G537" i="3"/>
  <c r="BQ555" i="3"/>
  <c r="BL555" i="3"/>
  <c r="BQ553" i="3"/>
  <c r="BQ551" i="3"/>
  <c r="BQ549" i="3"/>
  <c r="BQ547" i="3"/>
  <c r="BL547" i="3" s="1"/>
  <c r="BQ545" i="3"/>
  <c r="BL545" i="3" s="1"/>
  <c r="AZ545" i="3" s="1"/>
  <c r="BQ543" i="3"/>
  <c r="BL543" i="3" s="1"/>
  <c r="BQ541" i="3"/>
  <c r="BQ539" i="3"/>
  <c r="BQ537" i="3"/>
  <c r="BQ535" i="3"/>
  <c r="BQ533" i="3"/>
  <c r="BQ531" i="3"/>
  <c r="BQ529" i="3"/>
  <c r="BQ527" i="3"/>
  <c r="BQ525" i="3"/>
  <c r="BQ523" i="3"/>
  <c r="BA521" i="3"/>
  <c r="AC521" i="3"/>
  <c r="G521" i="3"/>
  <c r="BQ521" i="3"/>
  <c r="BL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AB27" i="37"/>
  <c r="U32" i="33"/>
  <c r="F39" i="33"/>
  <c r="AA39"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3" i="36"/>
  <c r="AA12" i="35"/>
  <c r="W23" i="35"/>
  <c r="W14" i="37"/>
  <c r="AB28" i="37"/>
  <c r="U33" i="37"/>
  <c r="U39" i="37"/>
  <c r="W26" i="37"/>
  <c r="AC8" i="37"/>
  <c r="U26" i="37"/>
  <c r="AB13" i="34"/>
  <c r="W37" i="34"/>
  <c r="AB37" i="34"/>
  <c r="AC36" i="34"/>
  <c r="AA13" i="33"/>
  <c r="AC45" i="33"/>
  <c r="U11" i="33"/>
  <c r="W44" i="21"/>
  <c r="U26" i="21"/>
  <c r="AC46" i="21"/>
  <c r="U12" i="21"/>
  <c r="F43" i="33"/>
  <c r="AA43" i="33" s="1"/>
  <c r="W15" i="34"/>
  <c r="AC15" i="34"/>
  <c r="W16" i="35"/>
  <c r="G107" i="37"/>
  <c r="H107" i="37" s="1"/>
  <c r="I107" i="37" s="1"/>
  <c r="J107" i="37" s="1"/>
  <c r="K107" i="37" s="1"/>
  <c r="L107" i="37" s="1"/>
  <c r="M107" i="37" s="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H5" i="3"/>
  <c r="AA25" i="21"/>
  <c r="C12" i="43"/>
  <c r="H19" i="40"/>
  <c r="U19" i="40" s="1"/>
  <c r="F88" i="40"/>
  <c r="G88" i="40" s="1"/>
  <c r="F19" i="40"/>
  <c r="S19" i="40" s="1"/>
  <c r="S14" i="40"/>
  <c r="AB33" i="40"/>
  <c r="W23" i="39"/>
  <c r="AC43" i="39"/>
  <c r="W43" i="39"/>
  <c r="U45" i="39"/>
  <c r="AB45" i="39"/>
  <c r="AB44" i="39"/>
  <c r="U44" i="39"/>
  <c r="AC37" i="39"/>
  <c r="H25" i="39"/>
  <c r="AB25" i="39" s="1"/>
  <c r="J25" i="39"/>
  <c r="F25" i="39"/>
  <c r="AA25" i="39" s="1"/>
  <c r="AB34"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550" i="3"/>
  <c r="AZ494" i="3"/>
  <c r="AZ514" i="3"/>
  <c r="AZ530" i="3"/>
  <c r="G546"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AZ200" i="3" s="1"/>
  <c r="G201" i="3"/>
  <c r="BA203" i="3"/>
  <c r="AZ203" i="3" s="1"/>
  <c r="BL204" i="3"/>
  <c r="AZ204" i="3" s="1"/>
  <c r="AZ43" i="3"/>
  <c r="AZ47" i="3"/>
  <c r="AZ51" i="3"/>
  <c r="AZ55" i="3"/>
  <c r="AZ59" i="3"/>
  <c r="AZ63" i="3"/>
  <c r="AZ67" i="3"/>
  <c r="AZ71" i="3"/>
  <c r="AZ75" i="3"/>
  <c r="AZ79" i="3"/>
  <c r="AZ83" i="3"/>
  <c r="AZ144" i="3"/>
  <c r="AZ160" i="3"/>
  <c r="AZ176" i="3"/>
  <c r="AZ192" i="3"/>
  <c r="AZ85" i="3"/>
  <c r="AZ89" i="3"/>
  <c r="AZ93" i="3"/>
  <c r="AZ97" i="3"/>
  <c r="AZ101" i="3"/>
  <c r="AZ105" i="3"/>
  <c r="AZ109" i="3"/>
  <c r="AZ128" i="3"/>
  <c r="G530" i="3"/>
  <c r="G516" i="3"/>
  <c r="G506" i="3"/>
  <c r="G494" i="3"/>
  <c r="G16" i="3"/>
  <c r="G15" i="3"/>
  <c r="BA304" i="3"/>
  <c r="AZ304" i="3"/>
  <c r="BA305" i="3"/>
  <c r="BL305" i="3"/>
  <c r="AZ305" i="3" s="1"/>
  <c r="G306" i="3"/>
  <c r="G309" i="3"/>
  <c r="BL310" i="3"/>
  <c r="BA312" i="3"/>
  <c r="AZ312" i="3" s="1"/>
  <c r="BA313" i="3"/>
  <c r="AZ313" i="3" s="1"/>
  <c r="BL313" i="3"/>
  <c r="G314" i="3"/>
  <c r="G317" i="3"/>
  <c r="BL318" i="3"/>
  <c r="BA320" i="3"/>
  <c r="AZ320" i="3"/>
  <c r="BA321" i="3"/>
  <c r="BL321" i="3"/>
  <c r="AZ321" i="3" s="1"/>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c r="BA346" i="3"/>
  <c r="AZ346" i="3"/>
  <c r="BA347" i="3"/>
  <c r="BL347" i="3"/>
  <c r="AZ347" i="3" s="1"/>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AZ392" i="3" s="1"/>
  <c r="G393" i="3"/>
  <c r="AZ263" i="3"/>
  <c r="AZ275" i="3"/>
  <c r="AZ279" i="3"/>
  <c r="AZ283" i="3"/>
  <c r="AZ287" i="3"/>
  <c r="AZ291" i="3"/>
  <c r="AZ295" i="3"/>
  <c r="AZ299" i="3"/>
  <c r="BM5" i="3"/>
  <c r="BD5" i="3"/>
  <c r="AZ317" i="3"/>
  <c r="AZ325" i="3"/>
  <c r="AZ333" i="3"/>
  <c r="AZ345" i="3"/>
  <c r="BQ5" i="3"/>
  <c r="AZ506" i="3"/>
  <c r="AZ496" i="3"/>
  <c r="G548" i="3"/>
  <c r="G538" i="3"/>
  <c r="G502" i="3"/>
  <c r="BK5" i="3"/>
  <c r="BC5" i="3"/>
  <c r="G17" i="3"/>
  <c r="BA17" i="3"/>
  <c r="AZ350" i="3"/>
  <c r="AZ360" i="3"/>
  <c r="AZ368" i="3"/>
  <c r="BA15" i="3"/>
  <c r="AZ15" i="3" s="1"/>
  <c r="BR5" i="3"/>
  <c r="AZ384" i="3"/>
  <c r="AZ396" i="3"/>
  <c r="AZ394"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U36" i="40"/>
  <c r="N4" i="43"/>
  <c r="F36" i="43"/>
  <c r="F81" i="43"/>
  <c r="H83" i="43" s="1"/>
  <c r="H113" i="43"/>
  <c r="F48" i="43"/>
  <c r="H52" i="43" s="1"/>
  <c r="N7" i="43"/>
  <c r="F70" i="43"/>
  <c r="H73" i="43" s="1"/>
  <c r="M6" i="43"/>
  <c r="M11" i="43"/>
  <c r="E17" i="43"/>
  <c r="F39" i="43"/>
  <c r="I17" i="43"/>
  <c r="F35" i="43"/>
  <c r="J17" i="43"/>
  <c r="F6" i="1"/>
  <c r="S14" i="35"/>
  <c r="U43" i="21"/>
  <c r="U35" i="21"/>
  <c r="AC35" i="21"/>
  <c r="U10" i="21"/>
  <c r="G10" i="1"/>
  <c r="F48" i="9"/>
  <c r="O52" i="9" s="1"/>
  <c r="W37" i="37"/>
  <c r="W44" i="34"/>
  <c r="AC44" i="34"/>
  <c r="S15" i="37"/>
  <c r="U12" i="40"/>
  <c r="J37" i="33"/>
  <c r="W37" i="33" s="1"/>
  <c r="AC17" i="34"/>
  <c r="F106" i="33"/>
  <c r="G106" i="33" s="1"/>
  <c r="H106" i="33" s="1"/>
  <c r="I106" i="33" s="1"/>
  <c r="J106" i="33" s="1"/>
  <c r="K106" i="33" s="1"/>
  <c r="L106" i="33" s="1"/>
  <c r="M106" i="33" s="1"/>
  <c r="J34" i="33"/>
  <c r="W34" i="33" s="1"/>
  <c r="AC27" i="34"/>
  <c r="W27" i="34"/>
  <c r="F33" i="34"/>
  <c r="S33" i="34" s="1"/>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H20" i="35"/>
  <c r="U20" i="35" s="1"/>
  <c r="F20" i="35"/>
  <c r="AA20" i="35" s="1"/>
  <c r="AB23" i="35"/>
  <c r="AB29" i="36"/>
  <c r="U29" i="36"/>
  <c r="H32" i="37"/>
  <c r="AB32" i="37" s="1"/>
  <c r="F96" i="37"/>
  <c r="G96" i="37" s="1"/>
  <c r="H27" i="40"/>
  <c r="U27" i="40" s="1"/>
  <c r="F96" i="40"/>
  <c r="G96" i="40" s="1"/>
  <c r="H96" i="40" s="1"/>
  <c r="I96" i="40" s="1"/>
  <c r="J96" i="40" s="1"/>
  <c r="K96" i="40" s="1"/>
  <c r="L96" i="40" s="1"/>
  <c r="M96" i="40" s="1"/>
  <c r="J27" i="40"/>
  <c r="AC27" i="40" s="1"/>
  <c r="F27" i="40"/>
  <c r="S27" i="40" s="1"/>
  <c r="J30" i="40"/>
  <c r="AC30" i="40" s="1"/>
  <c r="F30" i="40"/>
  <c r="AA30" i="40" s="1"/>
  <c r="AC21" i="40"/>
  <c r="S31" i="39"/>
  <c r="E98" i="40"/>
  <c r="F98" i="40" s="1"/>
  <c r="G98" i="40" s="1"/>
  <c r="H98" i="40" s="1"/>
  <c r="I98" i="40" s="1"/>
  <c r="J98" i="40" s="1"/>
  <c r="K98" i="40" s="1"/>
  <c r="L98" i="40" s="1"/>
  <c r="M98" i="40" s="1"/>
  <c r="AZ424" i="3"/>
  <c r="AZ440" i="3"/>
  <c r="AZ448" i="3"/>
  <c r="AZ456" i="3"/>
  <c r="AZ464" i="3"/>
  <c r="AZ472" i="3"/>
  <c r="F10" i="33"/>
  <c r="S10" i="33" s="1"/>
  <c r="F34" i="33"/>
  <c r="H34" i="33"/>
  <c r="U34" i="33" s="1"/>
  <c r="F35" i="33"/>
  <c r="S35" i="33" s="1"/>
  <c r="F39" i="34"/>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G97" i="39" s="1"/>
  <c r="S34" i="33"/>
  <c r="AA34" i="33"/>
  <c r="H27" i="36"/>
  <c r="U27" i="36" s="1"/>
  <c r="F27" i="36"/>
  <c r="AA27" i="36" s="1"/>
  <c r="H33" i="34"/>
  <c r="U33" i="34" s="1"/>
  <c r="AC34" i="33"/>
  <c r="F32" i="37"/>
  <c r="AA32" i="37" s="1"/>
  <c r="H96" i="37"/>
  <c r="I96" i="37" s="1"/>
  <c r="J96" i="37" s="1"/>
  <c r="K96" i="37" s="1"/>
  <c r="L96" i="37" s="1"/>
  <c r="M96" i="37" s="1"/>
  <c r="F20" i="36"/>
  <c r="AA20" i="36" s="1"/>
  <c r="J33" i="34"/>
  <c r="AC33" i="34" s="1"/>
  <c r="H23" i="39"/>
  <c r="U23" i="39" s="1"/>
  <c r="D48" i="9"/>
  <c r="M52" i="9" s="1"/>
  <c r="H86" i="43"/>
  <c r="H82" i="43"/>
  <c r="H87" i="43"/>
  <c r="F3" i="35"/>
  <c r="D93" i="9"/>
  <c r="J51" i="15"/>
  <c r="M29" i="82"/>
  <c r="F43" i="82"/>
  <c r="E7" i="12" l="1"/>
  <c r="D7" i="12"/>
  <c r="F46" i="21"/>
  <c r="AA46" i="21" s="1"/>
  <c r="AZ334" i="3"/>
  <c r="AZ351" i="3"/>
  <c r="AZ521" i="3"/>
  <c r="AZ503" i="3"/>
  <c r="AZ580" i="3"/>
  <c r="AZ578" i="3"/>
  <c r="AZ569" i="3"/>
  <c r="BL551" i="3"/>
  <c r="BL525" i="3"/>
  <c r="AZ525" i="3" s="1"/>
  <c r="BL523" i="3"/>
  <c r="AZ523" i="3" s="1"/>
  <c r="AZ520" i="3"/>
  <c r="AZ519" i="3"/>
  <c r="BL517" i="3"/>
  <c r="AZ517" i="3" s="1"/>
  <c r="AZ515" i="3"/>
  <c r="BL513" i="3"/>
  <c r="AZ513" i="3" s="1"/>
  <c r="AZ511" i="3"/>
  <c r="BL509" i="3"/>
  <c r="AZ509" i="3" s="1"/>
  <c r="AZ508" i="3"/>
  <c r="BL505" i="3"/>
  <c r="AZ505" i="3" s="1"/>
  <c r="AZ504" i="3"/>
  <c r="BL501" i="3"/>
  <c r="AZ501" i="3" s="1"/>
  <c r="BL499" i="3"/>
  <c r="AZ498" i="3"/>
  <c r="BL497" i="3"/>
  <c r="AZ497" i="3"/>
  <c r="BL495" i="3"/>
  <c r="AZ495" i="3" s="1"/>
  <c r="AZ493" i="3"/>
  <c r="S39" i="34"/>
  <c r="AA39" i="34"/>
  <c r="AB12" i="37"/>
  <c r="U12" i="37"/>
  <c r="AZ499" i="3"/>
  <c r="AZ507" i="3"/>
  <c r="AZ543" i="3"/>
  <c r="AZ547" i="3"/>
  <c r="AZ587" i="3"/>
  <c r="AC31" i="34"/>
  <c r="W31" i="34"/>
  <c r="AZ583" i="3"/>
  <c r="AZ565" i="3"/>
  <c r="AZ564" i="3"/>
  <c r="AZ562" i="3"/>
  <c r="AZ555" i="3"/>
  <c r="BL553" i="3"/>
  <c r="AZ553" i="3" s="1"/>
  <c r="AZ549" i="3"/>
  <c r="BL541" i="3"/>
  <c r="AZ541" i="3" s="1"/>
  <c r="BL539" i="3"/>
  <c r="AZ539" i="3" s="1"/>
  <c r="BL537" i="3"/>
  <c r="AZ537" i="3" s="1"/>
  <c r="BL535" i="3"/>
  <c r="AZ535" i="3" s="1"/>
  <c r="BL533" i="3"/>
  <c r="AZ533" i="3" s="1"/>
  <c r="BL531" i="3"/>
  <c r="AZ531" i="3" s="1"/>
  <c r="BL529" i="3"/>
  <c r="AZ529" i="3" s="1"/>
  <c r="BL527" i="3"/>
  <c r="AZ527" i="3" s="1"/>
  <c r="AZ526" i="3"/>
  <c r="B71" i="43"/>
  <c r="C21" i="39"/>
  <c r="AB34" i="34"/>
  <c r="U34" i="34"/>
  <c r="J12" i="33"/>
  <c r="F12" i="33"/>
  <c r="H30" i="33"/>
  <c r="J30" i="33"/>
  <c r="J46" i="33"/>
  <c r="AC46" i="33" s="1"/>
  <c r="H46" i="33"/>
  <c r="AC28" i="36"/>
  <c r="W28" i="36"/>
  <c r="H13" i="36"/>
  <c r="AB13" i="36" s="1"/>
  <c r="F13" i="36"/>
  <c r="S13" i="36" s="1"/>
  <c r="F32" i="36"/>
  <c r="H32" i="36"/>
  <c r="AB32" i="36" s="1"/>
  <c r="AB9" i="40"/>
  <c r="U9" i="40"/>
  <c r="F36" i="39"/>
  <c r="J36" i="39"/>
  <c r="AZ408" i="3"/>
  <c r="AZ415" i="3"/>
  <c r="AZ421" i="3"/>
  <c r="AZ425" i="3"/>
  <c r="AZ436" i="3"/>
  <c r="AZ452" i="3"/>
  <c r="AZ470" i="3"/>
  <c r="S29" i="35"/>
  <c r="AA29" i="35"/>
  <c r="AA41" i="33"/>
  <c r="S41" i="33"/>
  <c r="AB33" i="35"/>
  <c r="U33" i="35"/>
  <c r="F42" i="21"/>
  <c r="J42" i="21"/>
  <c r="AC42" i="21" s="1"/>
  <c r="AC36" i="35"/>
  <c r="W36" i="35"/>
  <c r="W16" i="36"/>
  <c r="AC16" i="36"/>
  <c r="AB38" i="40"/>
  <c r="U38" i="40"/>
  <c r="S11" i="40"/>
  <c r="AC14" i="35"/>
  <c r="AA12" i="40"/>
  <c r="U13" i="37"/>
  <c r="H41" i="39"/>
  <c r="H37" i="39"/>
  <c r="AB37" i="39" s="1"/>
  <c r="AC13" i="40"/>
  <c r="W40" i="37"/>
  <c r="W44" i="33"/>
  <c r="AC31" i="33"/>
  <c r="U35" i="35"/>
  <c r="F32" i="40"/>
  <c r="S32" i="40" s="1"/>
  <c r="W44" i="39"/>
  <c r="J41" i="39"/>
  <c r="W41" i="39" s="1"/>
  <c r="W11" i="36"/>
  <c r="AC13" i="34"/>
  <c r="AA47" i="34"/>
  <c r="W28" i="37"/>
  <c r="H25" i="36"/>
  <c r="AB25" i="36" s="1"/>
  <c r="H25" i="35"/>
  <c r="AB25" i="35" s="1"/>
  <c r="J47" i="34"/>
  <c r="F31" i="34"/>
  <c r="S31" i="34" s="1"/>
  <c r="F13" i="34"/>
  <c r="AA13" i="34" s="1"/>
  <c r="F46" i="33"/>
  <c r="AA46" i="33" s="1"/>
  <c r="H44" i="33"/>
  <c r="J14" i="33"/>
  <c r="J13" i="36"/>
  <c r="J32" i="36"/>
  <c r="H42" i="21"/>
  <c r="U42" i="21" s="1"/>
  <c r="U30" i="35"/>
  <c r="U23" i="34"/>
  <c r="AB23" i="34"/>
  <c r="F37" i="39"/>
  <c r="AA37" i="39" s="1"/>
  <c r="W32" i="40"/>
  <c r="AB23" i="40"/>
  <c r="U23" i="40"/>
  <c r="F41" i="39"/>
  <c r="H36" i="39"/>
  <c r="BL586" i="3"/>
  <c r="AZ586" i="3" s="1"/>
  <c r="J27" i="21"/>
  <c r="W27" i="21" s="1"/>
  <c r="H27" i="21"/>
  <c r="AB27" i="21" s="1"/>
  <c r="J29" i="21"/>
  <c r="AC29" i="21" s="1"/>
  <c r="H29" i="21"/>
  <c r="U29" i="21" s="1"/>
  <c r="H31" i="21"/>
  <c r="F31" i="21"/>
  <c r="S31" i="21" s="1"/>
  <c r="E106" i="21"/>
  <c r="F106" i="21" s="1"/>
  <c r="G106" i="21" s="1"/>
  <c r="H106" i="21" s="1"/>
  <c r="I106" i="21" s="1"/>
  <c r="J106" i="21" s="1"/>
  <c r="K106" i="21" s="1"/>
  <c r="L106" i="21" s="1"/>
  <c r="M106" i="21" s="1"/>
  <c r="F34" i="21"/>
  <c r="J34" i="21"/>
  <c r="W34" i="21" s="1"/>
  <c r="H12" i="33"/>
  <c r="AB40" i="33"/>
  <c r="U40" i="33"/>
  <c r="J26" i="33"/>
  <c r="F26" i="33"/>
  <c r="H26" i="33"/>
  <c r="AA9" i="34"/>
  <c r="S9" i="34"/>
  <c r="AC9" i="34"/>
  <c r="W9" i="34"/>
  <c r="W8" i="35"/>
  <c r="AC8" i="35"/>
  <c r="AC28" i="35"/>
  <c r="W28" i="35"/>
  <c r="AA27" i="35"/>
  <c r="S27" i="35"/>
  <c r="U8" i="36"/>
  <c r="AB8" i="36"/>
  <c r="H34" i="36"/>
  <c r="J34" i="36"/>
  <c r="F34" i="36"/>
  <c r="S34" i="36" s="1"/>
  <c r="AB31" i="36"/>
  <c r="U31" i="36"/>
  <c r="H40" i="37"/>
  <c r="U40" i="37" s="1"/>
  <c r="F40" i="37"/>
  <c r="AA40" i="37" s="1"/>
  <c r="AC40" i="39"/>
  <c r="W40" i="39"/>
  <c r="F101" i="39"/>
  <c r="J27" i="39"/>
  <c r="AC39" i="40"/>
  <c r="W39" i="40"/>
  <c r="AC31" i="40"/>
  <c r="W31" i="40"/>
  <c r="F38" i="40"/>
  <c r="J38" i="40"/>
  <c r="AC38" i="40" s="1"/>
  <c r="J40" i="40"/>
  <c r="F40" i="40"/>
  <c r="U42" i="34"/>
  <c r="AB42" i="34"/>
  <c r="BA551" i="3"/>
  <c r="AZ551" i="3" s="1"/>
  <c r="BL548" i="3"/>
  <c r="AZ548" i="3" s="1"/>
  <c r="AZ401" i="3"/>
  <c r="AZ412" i="3"/>
  <c r="AZ417" i="3"/>
  <c r="AZ444" i="3"/>
  <c r="AZ460" i="3"/>
  <c r="M20" i="15"/>
  <c r="F34" i="82"/>
  <c r="F62" i="82" s="1"/>
  <c r="M20" i="82"/>
  <c r="AZ385" i="3"/>
  <c r="AZ397" i="3"/>
  <c r="AZ210" i="3"/>
  <c r="AZ212" i="3"/>
  <c r="AZ216" i="3"/>
  <c r="AZ219" i="3"/>
  <c r="AZ221" i="3"/>
  <c r="AZ225" i="3"/>
  <c r="AZ228" i="3"/>
  <c r="AZ239" i="3"/>
  <c r="AZ244" i="3"/>
  <c r="AZ255" i="3"/>
  <c r="AZ260" i="3"/>
  <c r="AZ267" i="3"/>
  <c r="AZ272" i="3"/>
  <c r="AZ276" i="3"/>
  <c r="AZ278" i="3"/>
  <c r="AZ282" i="3"/>
  <c r="AZ285" i="3"/>
  <c r="AZ292" i="3"/>
  <c r="AZ298" i="3"/>
  <c r="AZ301" i="3"/>
  <c r="AZ122" i="3"/>
  <c r="AZ125" i="3"/>
  <c r="AZ205" i="3"/>
  <c r="AZ46" i="3"/>
  <c r="AZ49" i="3"/>
  <c r="AZ62" i="3"/>
  <c r="AZ65" i="3"/>
  <c r="AZ39" i="3"/>
  <c r="S12" i="1"/>
  <c r="R12" i="1"/>
  <c r="B12" i="1"/>
  <c r="E12" i="1" s="1"/>
  <c r="S10" i="1"/>
  <c r="R10" i="1"/>
  <c r="B10" i="1"/>
  <c r="E10" i="1" s="1"/>
  <c r="BE5" i="3"/>
  <c r="BI5" i="3"/>
  <c r="G25" i="3"/>
  <c r="BA28" i="3"/>
  <c r="BL28" i="3"/>
  <c r="G29" i="3"/>
  <c r="BL30" i="3"/>
  <c r="BL34" i="3"/>
  <c r="BA38" i="3"/>
  <c r="BL38" i="3"/>
  <c r="AZ80" i="3"/>
  <c r="AZ84" i="3"/>
  <c r="AZ88" i="3"/>
  <c r="AZ107" i="3"/>
  <c r="AZ111" i="3"/>
  <c r="K12" i="1"/>
  <c r="M12" i="1" s="1"/>
  <c r="O12" i="1" s="1"/>
  <c r="P12" i="1" s="1"/>
  <c r="S13" i="1"/>
  <c r="R13" i="1"/>
  <c r="S11" i="1"/>
  <c r="R11" i="1"/>
  <c r="C58" i="81"/>
  <c r="D58" i="81" s="1"/>
  <c r="E58" i="81" s="1"/>
  <c r="F58" i="81" s="1"/>
  <c r="G58" i="81" s="1"/>
  <c r="H58" i="81" s="1"/>
  <c r="I58" i="81" s="1"/>
  <c r="J58" i="81" s="1"/>
  <c r="K58" i="81" s="1"/>
  <c r="L58" i="81" s="1"/>
  <c r="M58" i="81" s="1"/>
  <c r="N58" i="81" s="1"/>
  <c r="O58" i="81" s="1"/>
  <c r="E7" i="81"/>
  <c r="H100" i="43"/>
  <c r="E26" i="66"/>
  <c r="C30" i="66"/>
  <c r="F71" i="82"/>
  <c r="M8" i="1"/>
  <c r="O8" i="1" s="1"/>
  <c r="P8" i="1" s="1"/>
  <c r="H37" i="21"/>
  <c r="U37" i="21" s="1"/>
  <c r="H113" i="21"/>
  <c r="G81" i="21"/>
  <c r="H19" i="21"/>
  <c r="AB38" i="21"/>
  <c r="AA12" i="21"/>
  <c r="C5" i="11"/>
  <c r="F89" i="39"/>
  <c r="H15" i="39" s="1"/>
  <c r="M9" i="1"/>
  <c r="AH9" i="1"/>
  <c r="U17" i="39"/>
  <c r="U40" i="39"/>
  <c r="AC12" i="39"/>
  <c r="W12" i="39"/>
  <c r="C15" i="39"/>
  <c r="C25" i="39"/>
  <c r="BL18" i="3"/>
  <c r="G19" i="3"/>
  <c r="BL20" i="3"/>
  <c r="G23" i="3"/>
  <c r="BO5" i="3"/>
  <c r="F29" i="6" s="1"/>
  <c r="BS5" i="3"/>
  <c r="BN5" i="3"/>
  <c r="G29" i="6" s="1"/>
  <c r="E29" i="6" s="1"/>
  <c r="K15" i="1" s="1"/>
  <c r="BT5" i="3"/>
  <c r="BB5" i="3"/>
  <c r="E15" i="6" s="1"/>
  <c r="E60" i="40" s="1"/>
  <c r="BF5" i="3"/>
  <c r="BJ5" i="3"/>
  <c r="E12" i="6" s="1"/>
  <c r="BL31" i="3"/>
  <c r="AZ31" i="3" s="1"/>
  <c r="BL33" i="3"/>
  <c r="AZ33" i="3" s="1"/>
  <c r="BA34" i="3"/>
  <c r="AZ34" i="3" s="1"/>
  <c r="BL35" i="3"/>
  <c r="AZ35" i="3" s="1"/>
  <c r="BA36" i="3"/>
  <c r="AZ36" i="3" s="1"/>
  <c r="AZ32" i="3"/>
  <c r="AZ38" i="3"/>
  <c r="BA25" i="3"/>
  <c r="BA22" i="3"/>
  <c r="BL22" i="3"/>
  <c r="BA24" i="3"/>
  <c r="BL24" i="3"/>
  <c r="BL26" i="3"/>
  <c r="F28" i="6"/>
  <c r="BL14" i="3"/>
  <c r="AZ28" i="3"/>
  <c r="BA18" i="3"/>
  <c r="AZ18" i="3" s="1"/>
  <c r="BA19" i="3"/>
  <c r="AZ19" i="3" s="1"/>
  <c r="BA20" i="3"/>
  <c r="AZ20" i="3" s="1"/>
  <c r="BA21" i="3"/>
  <c r="AZ21" i="3" s="1"/>
  <c r="BA23" i="3"/>
  <c r="AZ23" i="3" s="1"/>
  <c r="E8" i="6"/>
  <c r="F27" i="6" s="1"/>
  <c r="G28" i="6"/>
  <c r="AZ22" i="3"/>
  <c r="AZ24" i="3"/>
  <c r="AZ25" i="3"/>
  <c r="G26" i="3"/>
  <c r="G28" i="3"/>
  <c r="G30" i="3"/>
  <c r="G20" i="3"/>
  <c r="G21" i="3"/>
  <c r="G22" i="3"/>
  <c r="AZ26" i="3"/>
  <c r="AZ30" i="3"/>
  <c r="G14" i="3"/>
  <c r="BA14" i="3"/>
  <c r="E13" i="6"/>
  <c r="F22" i="43"/>
  <c r="B113" i="43"/>
  <c r="B115" i="43" s="1"/>
  <c r="C115" i="43" s="1"/>
  <c r="K101" i="43"/>
  <c r="K103" i="43" s="1"/>
  <c r="F101" i="43"/>
  <c r="F104" i="43" s="1"/>
  <c r="N101" i="43"/>
  <c r="N102" i="43" s="1"/>
  <c r="E22" i="43"/>
  <c r="G101" i="43"/>
  <c r="G105" i="43" s="1"/>
  <c r="J101" i="43"/>
  <c r="J104" i="43" s="1"/>
  <c r="N104" i="46"/>
  <c r="C101" i="43"/>
  <c r="C104" i="43" s="1"/>
  <c r="A15" i="62"/>
  <c r="B61" i="72" s="1"/>
  <c r="J51" i="67"/>
  <c r="C42" i="1"/>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U31" i="39"/>
  <c r="S25" i="39"/>
  <c r="J21" i="39"/>
  <c r="F21" i="39"/>
  <c r="G95" i="39"/>
  <c r="H21" i="39"/>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F77" i="21"/>
  <c r="J15" i="21" s="1"/>
  <c r="E85" i="21"/>
  <c r="F23" i="21" s="1"/>
  <c r="S23" i="21" s="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s="1"/>
  <c r="A24" i="51"/>
  <c r="B18" i="72" s="1"/>
  <c r="U29" i="34"/>
  <c r="E14" i="6"/>
  <c r="E64" i="39" s="1"/>
  <c r="E5" i="6"/>
  <c r="D9" i="11" s="1"/>
  <c r="C9" i="11" s="1"/>
  <c r="J105" i="43"/>
  <c r="P10" i="1"/>
  <c r="H22" i="43"/>
  <c r="L101" i="43"/>
  <c r="L109" i="43" s="1"/>
  <c r="H101" i="43"/>
  <c r="D101" i="43"/>
  <c r="M101" i="43"/>
  <c r="M109" i="43" s="1"/>
  <c r="I101" i="43"/>
  <c r="I109" i="43" s="1"/>
  <c r="E101" i="43"/>
  <c r="G22" i="43"/>
  <c r="E32" i="6"/>
  <c r="L19" i="6" s="1"/>
  <c r="G1" i="68"/>
  <c r="K1" i="12"/>
  <c r="F30" i="6"/>
  <c r="E28" i="6"/>
  <c r="J107" i="43"/>
  <c r="J103" i="43"/>
  <c r="J102" i="43"/>
  <c r="F107" i="43"/>
  <c r="F102" i="43"/>
  <c r="F106" i="43"/>
  <c r="C107" i="43"/>
  <c r="C105" i="43"/>
  <c r="C103"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C102" i="43"/>
  <c r="S2" i="43" s="1"/>
  <c r="F103" i="43"/>
  <c r="F105" i="43"/>
  <c r="J106" i="43"/>
  <c r="E56" i="40"/>
  <c r="AR13" i="1"/>
  <c r="AQ13" i="1"/>
  <c r="T13" i="1"/>
  <c r="AR11" i="1"/>
  <c r="AQ11" i="1"/>
  <c r="T11"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E7" i="21" s="1"/>
  <c r="G7" i="21" s="1"/>
  <c r="I7"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M29" i="67"/>
  <c r="M9" i="15"/>
  <c r="F38" i="82"/>
  <c r="F16" i="67"/>
  <c r="M28" i="82"/>
  <c r="F26" i="67"/>
  <c r="F43" i="15"/>
  <c r="F26" i="82"/>
  <c r="J15" i="67"/>
  <c r="F9" i="82"/>
  <c r="F13" i="15"/>
  <c r="M6" i="67"/>
  <c r="F7" i="15"/>
  <c r="M22" i="67"/>
  <c r="M24" i="82"/>
  <c r="F40" i="15"/>
  <c r="F42" i="82"/>
  <c r="M26" i="15"/>
  <c r="M8" i="67"/>
  <c r="F40" i="82"/>
  <c r="F42" i="15"/>
  <c r="F6" i="67"/>
  <c r="F38" i="15"/>
  <c r="F37" i="15"/>
  <c r="C76" i="82"/>
  <c r="F7" i="67"/>
  <c r="F8" i="67"/>
  <c r="F43" i="67"/>
  <c r="F38" i="67"/>
  <c r="F36" i="82"/>
  <c r="M28" i="67"/>
  <c r="L48" i="82"/>
  <c r="F42" i="67"/>
  <c r="F7" i="82"/>
  <c r="C76" i="67"/>
  <c r="C76" i="15"/>
  <c r="F13" i="67"/>
  <c r="M24" i="15"/>
  <c r="F40" i="67"/>
  <c r="F16" i="82"/>
  <c r="L47" i="67"/>
  <c r="M22" i="82"/>
  <c r="M23" i="15"/>
  <c r="M9" i="67"/>
  <c r="M9" i="82"/>
  <c r="L48" i="15"/>
  <c r="F8" i="82"/>
  <c r="M29" i="15"/>
  <c r="M22" i="15"/>
  <c r="F37" i="82"/>
  <c r="F9" i="15"/>
  <c r="L47" i="82"/>
  <c r="M23" i="67"/>
  <c r="J15" i="15"/>
  <c r="M27" i="82"/>
  <c r="F6" i="15"/>
  <c r="M24" i="67"/>
  <c r="F9" i="67"/>
  <c r="J15" i="82"/>
  <c r="M6" i="15"/>
  <c r="M26" i="82"/>
  <c r="F37" i="67"/>
  <c r="L47" i="15"/>
  <c r="F8" i="15"/>
  <c r="F16" i="15"/>
  <c r="F13" i="82"/>
  <c r="F36" i="67"/>
  <c r="M26" i="67"/>
  <c r="F26" i="15"/>
  <c r="M8" i="15"/>
  <c r="M8" i="82"/>
  <c r="G1" i="73"/>
  <c r="M23" i="82"/>
  <c r="M6" i="82"/>
  <c r="M28" i="15"/>
  <c r="F36" i="15"/>
  <c r="F6" i="82"/>
  <c r="L48" i="67"/>
  <c r="N104" i="43" l="1"/>
  <c r="K107" i="43"/>
  <c r="N106" i="43"/>
  <c r="G109" i="43"/>
  <c r="K106" i="43"/>
  <c r="K104" i="43"/>
  <c r="N103" i="43"/>
  <c r="F31" i="6"/>
  <c r="C27" i="82"/>
  <c r="F66" i="82"/>
  <c r="L59" i="82"/>
  <c r="L58" i="82"/>
  <c r="F51" i="82"/>
  <c r="L56" i="82"/>
  <c r="J53" i="82"/>
  <c r="K53" i="82"/>
  <c r="J57" i="82"/>
  <c r="J55" i="82" s="1"/>
  <c r="J58" i="82" s="1"/>
  <c r="Q50" i="82" s="1"/>
  <c r="F65" i="82"/>
  <c r="F64" i="82"/>
  <c r="Q71" i="82"/>
  <c r="F68" i="82"/>
  <c r="W15" i="21"/>
  <c r="AC15" i="21"/>
  <c r="C7" i="43"/>
  <c r="F53" i="9"/>
  <c r="F32" i="82"/>
  <c r="F60" i="82" s="1"/>
  <c r="F28" i="82"/>
  <c r="C28" i="82" s="1"/>
  <c r="M18" i="82"/>
  <c r="W40" i="40"/>
  <c r="AC40" i="40"/>
  <c r="AA38" i="40"/>
  <c r="S38" i="40"/>
  <c r="F27" i="39"/>
  <c r="H27" i="39"/>
  <c r="G101" i="39"/>
  <c r="W34" i="36"/>
  <c r="AC34" i="36"/>
  <c r="U26" i="33"/>
  <c r="AB26" i="33"/>
  <c r="AC26" i="33"/>
  <c r="W26" i="33"/>
  <c r="AB36" i="39"/>
  <c r="U36" i="39"/>
  <c r="W32" i="36"/>
  <c r="AC32" i="36"/>
  <c r="S36" i="39"/>
  <c r="AA36" i="39"/>
  <c r="AA32" i="36"/>
  <c r="S32" i="36"/>
  <c r="AB30" i="33"/>
  <c r="U30" i="33"/>
  <c r="W12" i="33"/>
  <c r="AC12" i="33"/>
  <c r="F28" i="15"/>
  <c r="F7" i="81"/>
  <c r="G7" i="81"/>
  <c r="AA40" i="40"/>
  <c r="S40" i="40"/>
  <c r="AC27" i="39"/>
  <c r="W27" i="39"/>
  <c r="AB34" i="36"/>
  <c r="U34" i="36"/>
  <c r="AA26" i="33"/>
  <c r="S26" i="33"/>
  <c r="U12" i="33"/>
  <c r="AB12" i="33"/>
  <c r="AA34" i="21"/>
  <c r="S34" i="21"/>
  <c r="S41" i="39"/>
  <c r="AA41" i="39"/>
  <c r="W13" i="36"/>
  <c r="AC13" i="36"/>
  <c r="AC47" i="34"/>
  <c r="W47" i="34"/>
  <c r="AA42" i="21"/>
  <c r="S42" i="21"/>
  <c r="AC36" i="39"/>
  <c r="W36" i="39"/>
  <c r="AB46" i="33"/>
  <c r="U46" i="33"/>
  <c r="S12" i="33"/>
  <c r="AA12" i="33"/>
  <c r="M7" i="82"/>
  <c r="F50" i="82"/>
  <c r="C6" i="82"/>
  <c r="C5" i="82" s="1"/>
  <c r="O9" i="1"/>
  <c r="P9" i="1" s="1"/>
  <c r="AB19" i="21"/>
  <c r="U19" i="21"/>
  <c r="G77" i="21"/>
  <c r="F15" i="21"/>
  <c r="W17" i="21"/>
  <c r="U15" i="39"/>
  <c r="AB15" i="39"/>
  <c r="G89" i="39"/>
  <c r="J15" i="39"/>
  <c r="F15" i="39"/>
  <c r="AZ14" i="3"/>
  <c r="AZ13" i="3"/>
  <c r="E30" i="6"/>
  <c r="E62" i="39"/>
  <c r="E57" i="40"/>
  <c r="I115" i="43"/>
  <c r="J115" i="43" s="1"/>
  <c r="K115" i="43" s="1"/>
  <c r="L115" i="43" s="1"/>
  <c r="M115" i="43" s="1"/>
  <c r="C106" i="43"/>
  <c r="E65" i="39"/>
  <c r="BA5" i="3"/>
  <c r="E27" i="6" s="1"/>
  <c r="K20" i="6" s="1"/>
  <c r="S7" i="1" s="1"/>
  <c r="G30" i="6"/>
  <c r="G31" i="6" s="1"/>
  <c r="D19" i="12"/>
  <c r="C19" i="12" s="1"/>
  <c r="G5" i="3"/>
  <c r="B3" i="3" s="1"/>
  <c r="E69" i="3" s="1"/>
  <c r="D9" i="68"/>
  <c r="C9" i="68" s="1"/>
  <c r="D22" i="43"/>
  <c r="G102" i="43"/>
  <c r="N109" i="43"/>
  <c r="K109" i="43"/>
  <c r="N107" i="43"/>
  <c r="K105" i="43"/>
  <c r="G106" i="43"/>
  <c r="G104" i="43"/>
  <c r="G107" i="43"/>
  <c r="K102" i="43"/>
  <c r="N105" i="43"/>
  <c r="E16" i="6"/>
  <c r="E59" i="40"/>
  <c r="E58" i="40"/>
  <c r="E63" i="39"/>
  <c r="E66" i="39" s="1"/>
  <c r="E4" i="4"/>
  <c r="K4" i="4" s="1"/>
  <c r="B46" i="48" s="1"/>
  <c r="B4" i="72" s="1"/>
  <c r="C28" i="67"/>
  <c r="C48" i="69"/>
  <c r="C30" i="68"/>
  <c r="C28" i="15"/>
  <c r="C24" i="12"/>
  <c r="C30" i="69"/>
  <c r="C48" i="68"/>
  <c r="C77" i="9"/>
  <c r="C74" i="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R22" i="31"/>
  <c r="B21" i="31" s="1"/>
  <c r="B40" i="1"/>
  <c r="F24" i="82"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67"/>
  <c r="F59" i="67"/>
  <c r="F59" i="15"/>
  <c r="M17" i="67"/>
  <c r="M17" i="15"/>
  <c r="F31" i="15"/>
  <c r="C16" i="82"/>
  <c r="C16" i="67"/>
  <c r="C16" i="15"/>
  <c r="C49" i="82" l="1"/>
  <c r="C48" i="82" s="1"/>
  <c r="C66" i="82" s="1"/>
  <c r="S7" i="81"/>
  <c r="AA7" i="81"/>
  <c r="AA27" i="39"/>
  <c r="S27" i="39"/>
  <c r="Q60" i="82"/>
  <c r="Q73" i="82"/>
  <c r="H7" i="81"/>
  <c r="I7" i="81"/>
  <c r="J7" i="81" s="1"/>
  <c r="U27" i="39"/>
  <c r="AB27" i="39"/>
  <c r="F1" i="82"/>
  <c r="Q52" i="82"/>
  <c r="Q61" i="82"/>
  <c r="Q74" i="82"/>
  <c r="M19" i="6"/>
  <c r="I19" i="6" s="1"/>
  <c r="C60" i="82"/>
  <c r="C32" i="82"/>
  <c r="C38" i="82"/>
  <c r="J6" i="82"/>
  <c r="J10" i="82"/>
  <c r="C24" i="82"/>
  <c r="S15" i="21"/>
  <c r="AA15" i="21"/>
  <c r="AA15" i="39"/>
  <c r="S15" i="39"/>
  <c r="W15" i="39"/>
  <c r="AC15" i="39"/>
  <c r="E17" i="3"/>
  <c r="E526" i="3"/>
  <c r="K27" i="6"/>
  <c r="E213" i="3"/>
  <c r="E302" i="3"/>
  <c r="E565" i="3"/>
  <c r="E183" i="3"/>
  <c r="E361" i="3"/>
  <c r="E503" i="3"/>
  <c r="E217" i="3"/>
  <c r="E237" i="3"/>
  <c r="E563" i="3"/>
  <c r="E172" i="3"/>
  <c r="E260" i="3"/>
  <c r="E445" i="3"/>
  <c r="E550" i="3"/>
  <c r="E535" i="3"/>
  <c r="E125" i="3"/>
  <c r="E366" i="3"/>
  <c r="E553" i="3"/>
  <c r="E304" i="3"/>
  <c r="E278" i="3"/>
  <c r="AT6" i="3"/>
  <c r="E3" i="6"/>
  <c r="D3" i="34" s="1"/>
  <c r="M22" i="6"/>
  <c r="I22" i="6" s="1"/>
  <c r="S22" i="6" s="1"/>
  <c r="S9" i="1"/>
  <c r="M21" i="6"/>
  <c r="I21" i="6" s="1"/>
  <c r="S21" i="6" s="1"/>
  <c r="S8" i="1"/>
  <c r="E268" i="3"/>
  <c r="E153" i="3"/>
  <c r="E282" i="3"/>
  <c r="E305" i="3"/>
  <c r="E322" i="3"/>
  <c r="E426" i="3"/>
  <c r="N6" i="3"/>
  <c r="E508" i="3"/>
  <c r="AJ6" i="3"/>
  <c r="E328" i="3"/>
  <c r="E53" i="3"/>
  <c r="E175" i="3"/>
  <c r="E319" i="3"/>
  <c r="E530" i="3"/>
  <c r="E501" i="3"/>
  <c r="E343" i="3"/>
  <c r="E261" i="3"/>
  <c r="E528" i="3"/>
  <c r="E114" i="3"/>
  <c r="E415" i="3"/>
  <c r="E395" i="3"/>
  <c r="B14" i="74"/>
  <c r="B1" i="74" s="1"/>
  <c r="D3" i="21"/>
  <c r="B5" i="62"/>
  <c r="B73" i="72" s="1"/>
  <c r="A18" i="62"/>
  <c r="B64" i="72" s="1"/>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19" i="11"/>
  <c r="C19" i="11" s="1"/>
  <c r="C20" i="11" s="1"/>
  <c r="D37" i="11"/>
  <c r="D14" i="12"/>
  <c r="D17" i="12" s="1"/>
  <c r="C17" i="12" s="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Q61" i="15"/>
  <c r="C49" i="15"/>
  <c r="Q60" i="15"/>
  <c r="M16" i="1"/>
  <c r="N16" i="1" s="1"/>
  <c r="Q60" i="67"/>
  <c r="Q73" i="67"/>
  <c r="F27" i="11"/>
  <c r="Q61" i="67"/>
  <c r="Q74" i="67"/>
  <c r="C49" i="67"/>
  <c r="F1" i="67"/>
  <c r="Q52" i="67"/>
  <c r="AE9" i="1"/>
  <c r="C17" i="82"/>
  <c r="C17" i="15"/>
  <c r="W7" i="81" l="1"/>
  <c r="AC7" i="81"/>
  <c r="D3" i="37"/>
  <c r="L18" i="9"/>
  <c r="C17" i="4"/>
  <c r="B4" i="52" s="1"/>
  <c r="B43" i="72" s="1"/>
  <c r="E6" i="6"/>
  <c r="D3" i="33"/>
  <c r="AB7" i="81"/>
  <c r="U7" i="81"/>
  <c r="J5" i="82"/>
  <c r="J18" i="82" s="1"/>
  <c r="E8" i="70"/>
  <c r="E9" i="70"/>
  <c r="M27" i="6"/>
  <c r="AQ8" i="1"/>
  <c r="AR8" i="1"/>
  <c r="T8" i="1"/>
  <c r="AQ9" i="1"/>
  <c r="AR9" i="1"/>
  <c r="T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41" i="82"/>
  <c r="C14" i="82"/>
  <c r="R20" i="6" l="1"/>
  <c r="R7" i="1" s="1"/>
  <c r="F69" i="82"/>
  <c r="J26" i="82"/>
  <c r="J29" i="82" s="1"/>
  <c r="J24" i="82"/>
  <c r="C15" i="82"/>
  <c r="C18" i="82"/>
  <c r="J59" i="82"/>
  <c r="J60" i="82" s="1"/>
  <c r="Q48" i="82" s="1"/>
  <c r="C36" i="11"/>
  <c r="J24" i="67"/>
  <c r="J18" i="67"/>
  <c r="J24" i="15"/>
  <c r="J18" i="15"/>
  <c r="G36" i="36"/>
  <c r="R37" i="36"/>
  <c r="AB7" i="34"/>
  <c r="T49" i="34" s="1"/>
  <c r="G49" i="34" s="1"/>
  <c r="G53" i="34" s="1"/>
  <c r="H53" i="34" s="1"/>
  <c r="W7" i="21"/>
  <c r="AA7" i="2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E6" i="76"/>
  <c r="M21" i="82"/>
  <c r="F35" i="82"/>
  <c r="C19" i="82" l="1"/>
  <c r="C20" i="82" s="1"/>
  <c r="C26" i="82" s="1"/>
  <c r="F63" i="82"/>
  <c r="C62" i="82" s="1"/>
  <c r="C34" i="82"/>
  <c r="J20" i="82"/>
  <c r="L46" i="82"/>
  <c r="D31" i="6"/>
  <c r="I6" i="6" s="1"/>
  <c r="I7" i="6" s="1"/>
  <c r="C11" i="39" s="1"/>
  <c r="E2" i="76"/>
  <c r="B2" i="43"/>
  <c r="G54" i="34"/>
  <c r="H54" i="34" s="1"/>
  <c r="C37" i="36"/>
  <c r="C36" i="36"/>
  <c r="G40" i="36"/>
  <c r="H40" i="36" s="1"/>
  <c r="E41" i="36"/>
  <c r="F41" i="36" s="1"/>
  <c r="G41" i="36"/>
  <c r="H41" i="36" s="1"/>
  <c r="C19" i="68"/>
  <c r="D37" i="68"/>
  <c r="C37" i="68" s="1"/>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M21" i="15"/>
  <c r="F35" i="67"/>
  <c r="F35" i="15"/>
  <c r="M21" i="67"/>
  <c r="B6" i="76"/>
  <c r="C23" i="82" l="1"/>
  <c r="C29" i="82" s="1"/>
  <c r="Q49" i="82" s="1"/>
  <c r="C11" i="81"/>
  <c r="C11" i="21"/>
  <c r="L57" i="82"/>
  <c r="L60" i="82" s="1"/>
  <c r="J11" i="39"/>
  <c r="H11" i="39"/>
  <c r="F11" i="39"/>
  <c r="B2" i="76"/>
  <c r="B3" i="76" s="1"/>
  <c r="B3" i="43"/>
  <c r="F63" i="67"/>
  <c r="C62" i="67" s="1"/>
  <c r="C34" i="67"/>
  <c r="J20" i="67"/>
  <c r="C24" i="68"/>
  <c r="J20" i="15"/>
  <c r="F63" i="15"/>
  <c r="C62" i="15" s="1"/>
  <c r="C34" i="15"/>
  <c r="R16" i="1"/>
  <c r="C22" i="12"/>
  <c r="C33" i="68"/>
  <c r="I63" i="40"/>
  <c r="H65" i="40"/>
  <c r="C39" i="11"/>
  <c r="C43" i="11" s="1"/>
  <c r="C41" i="11" s="1"/>
  <c r="I70" i="39"/>
  <c r="J19" i="82" l="1"/>
  <c r="J17" i="82" s="1"/>
  <c r="J14" i="82"/>
  <c r="J22" i="82" s="1"/>
  <c r="C33" i="82"/>
  <c r="C31" i="82" s="1"/>
  <c r="C36" i="82"/>
  <c r="C13" i="82"/>
  <c r="C75" i="82" s="1"/>
  <c r="C57" i="82"/>
  <c r="C61" i="82" s="1"/>
  <c r="C59" i="82" s="1"/>
  <c r="J11" i="81"/>
  <c r="H11" i="81"/>
  <c r="F11" i="81"/>
  <c r="C64" i="82"/>
  <c r="H11" i="21"/>
  <c r="F11" i="21"/>
  <c r="J11" i="21"/>
  <c r="J13" i="82"/>
  <c r="J23" i="82" s="1"/>
  <c r="Q57" i="82"/>
  <c r="Q66" i="82"/>
  <c r="AA11" i="39"/>
  <c r="S11" i="39"/>
  <c r="W11" i="39"/>
  <c r="AC11" i="39"/>
  <c r="AB11" i="39"/>
  <c r="U11" i="39"/>
  <c r="C39" i="68"/>
  <c r="C43" i="68" s="1"/>
  <c r="C42" i="68"/>
  <c r="J63" i="40"/>
  <c r="I65" i="40"/>
  <c r="C46" i="11"/>
  <c r="C45" i="11" s="1"/>
  <c r="C49" i="11" s="1"/>
  <c r="C51" i="11" s="1"/>
  <c r="C52" i="11" s="1"/>
  <c r="B2" i="11" s="1"/>
  <c r="B3" i="11" s="1"/>
  <c r="J70" i="39"/>
  <c r="J16" i="82" l="1"/>
  <c r="J25" i="82" s="1"/>
  <c r="C37" i="82"/>
  <c r="C30" i="82" s="1"/>
  <c r="C39" i="82" s="1"/>
  <c r="C40" i="82" s="1"/>
  <c r="Q70" i="82"/>
  <c r="C56" i="82"/>
  <c r="C65" i="82" s="1"/>
  <c r="C58" i="82" s="1"/>
  <c r="C67" i="82" s="1"/>
  <c r="C68" i="82" s="1"/>
  <c r="C71" i="82" s="1"/>
  <c r="S11" i="21"/>
  <c r="AA11" i="21"/>
  <c r="R48" i="21" s="1"/>
  <c r="AA11" i="81"/>
  <c r="R48" i="81" s="1"/>
  <c r="S11" i="81"/>
  <c r="AC11" i="81"/>
  <c r="V48" i="81" s="1"/>
  <c r="I48" i="81" s="1"/>
  <c r="W11" i="81"/>
  <c r="W11" i="21"/>
  <c r="AC11" i="21"/>
  <c r="V48" i="21" s="1"/>
  <c r="I48" i="21" s="1"/>
  <c r="U11" i="21"/>
  <c r="AB11" i="21"/>
  <c r="T48" i="21" s="1"/>
  <c r="G48" i="21" s="1"/>
  <c r="U11" i="81"/>
  <c r="AB11" i="81"/>
  <c r="T48" i="81" s="1"/>
  <c r="G48" i="81" s="1"/>
  <c r="C41" i="68"/>
  <c r="C46" i="68"/>
  <c r="C45" i="68" s="1"/>
  <c r="K63" i="40"/>
  <c r="J65" i="40"/>
  <c r="K70" i="39"/>
  <c r="C56" i="11"/>
  <c r="C57" i="11" s="1"/>
  <c r="L51" i="82"/>
  <c r="C80" i="82" l="1"/>
  <c r="C79" i="82" s="1"/>
  <c r="Q69" i="82"/>
  <c r="Q68" i="82" s="1"/>
  <c r="Q67" i="82"/>
  <c r="C46" i="82"/>
  <c r="G52" i="21"/>
  <c r="H52" i="21" s="1"/>
  <c r="G53" i="21"/>
  <c r="H53" i="21" s="1"/>
  <c r="G53" i="81"/>
  <c r="H53" i="81" s="1"/>
  <c r="G52" i="81"/>
  <c r="H52" i="81" s="1"/>
  <c r="E48" i="21"/>
  <c r="I53" i="21" s="1"/>
  <c r="J53" i="21" s="1"/>
  <c r="R49" i="21"/>
  <c r="I52" i="21"/>
  <c r="J52" i="21" s="1"/>
  <c r="I52" i="81"/>
  <c r="J52" i="81" s="1"/>
  <c r="E48" i="81"/>
  <c r="R49" i="81"/>
  <c r="Q65" i="82"/>
  <c r="Q75" i="82" s="1"/>
  <c r="C43" i="82"/>
  <c r="Q47" i="82"/>
  <c r="Q53" i="82" s="1"/>
  <c r="Q56" i="82"/>
  <c r="Q62" i="82" s="1"/>
  <c r="B2" i="82"/>
  <c r="C83" i="82"/>
  <c r="C82" i="82" s="1"/>
  <c r="C49" i="68"/>
  <c r="C51" i="68" s="1"/>
  <c r="L63" i="40"/>
  <c r="K65" i="40"/>
  <c r="L70" i="39"/>
  <c r="E2" i="70"/>
  <c r="C34" i="69"/>
  <c r="C17" i="67"/>
  <c r="AO9" i="1"/>
  <c r="B9" i="70" l="1"/>
  <c r="C49" i="81"/>
  <c r="B2" i="81" s="1"/>
  <c r="B3" i="81" s="1"/>
  <c r="C48" i="81"/>
  <c r="D6" i="12" s="1"/>
  <c r="D8" i="12" s="1"/>
  <c r="C48" i="21"/>
  <c r="C6" i="12" s="1"/>
  <c r="C8" i="12" s="1"/>
  <c r="C49" i="21"/>
  <c r="F8" i="12"/>
  <c r="B3" i="82"/>
  <c r="E53" i="81"/>
  <c r="F53" i="81" s="1"/>
  <c r="E52" i="81"/>
  <c r="F52" i="81" s="1"/>
  <c r="I53" i="81"/>
  <c r="J53" i="81" s="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M27" i="15"/>
  <c r="F41" i="15"/>
  <c r="M27" i="67"/>
  <c r="F41" i="67"/>
  <c r="L51" i="15"/>
  <c r="Q67" i="15" l="1"/>
  <c r="J26" i="15"/>
  <c r="J29" i="15" s="1"/>
  <c r="J26" i="67"/>
  <c r="J29" i="67" s="1"/>
  <c r="C58" i="15"/>
  <c r="C67" i="15" s="1"/>
  <c r="F69" i="15"/>
  <c r="C40" i="15"/>
  <c r="L46" i="15"/>
  <c r="Q57" i="15"/>
  <c r="Q66" i="15"/>
  <c r="F69" i="67"/>
  <c r="C68" i="67" s="1"/>
  <c r="C71" i="67" s="1"/>
  <c r="C40" i="67"/>
  <c r="C83" i="67" s="1"/>
  <c r="C82" i="67" s="1"/>
  <c r="C43" i="15" l="1"/>
  <c r="D44" i="15"/>
  <c r="C68" i="15"/>
  <c r="C71" i="15" s="1"/>
  <c r="C83" i="15"/>
  <c r="C82" i="15" s="1"/>
  <c r="Q65" i="15"/>
  <c r="Q75" i="15" s="1"/>
  <c r="Q47" i="15"/>
  <c r="Q53" i="15" s="1"/>
  <c r="Q56" i="15"/>
  <c r="Q62" i="15" s="1"/>
  <c r="B2" i="15"/>
  <c r="E8" i="12" s="1"/>
  <c r="C4" i="12" s="1"/>
  <c r="C43" i="67"/>
  <c r="C45" i="67"/>
  <c r="C46" i="67" s="1"/>
  <c r="Q65" i="67"/>
  <c r="Q75" i="67" s="1"/>
  <c r="Q56" i="67"/>
  <c r="Q62" i="67" s="1"/>
  <c r="Q47" i="67"/>
  <c r="Q53" i="67" s="1"/>
  <c r="D2" i="67"/>
  <c r="B2" i="67" s="1"/>
  <c r="E2" i="69"/>
  <c r="AO8" i="1"/>
  <c r="AO7" i="1"/>
  <c r="AO6" i="1"/>
  <c r="C31" i="12" l="1"/>
  <c r="C23" i="12"/>
  <c r="B3" i="15"/>
  <c r="B8" i="70"/>
  <c r="B7" i="70"/>
  <c r="B6" i="70"/>
  <c r="C46" i="15"/>
  <c r="B2" i="69"/>
  <c r="B3" i="69" s="1"/>
  <c r="B3" i="67"/>
  <c r="F20" i="31"/>
  <c r="D2" i="35"/>
  <c r="D2" i="34"/>
  <c r="D2" i="37"/>
  <c r="D2" i="36"/>
  <c r="D2" i="21"/>
  <c r="D2" i="33"/>
  <c r="E2" i="68"/>
  <c r="C30" i="12" l="1"/>
  <c r="C28" i="12" s="1"/>
  <c r="C27" i="12"/>
  <c r="C25" i="12" s="1"/>
  <c r="B20" i="31"/>
  <c r="B2" i="36"/>
  <c r="B3" i="36" s="1"/>
  <c r="B2" i="35"/>
  <c r="B3" i="35" s="1"/>
  <c r="B2" i="37"/>
  <c r="B3" i="37" s="1"/>
  <c r="B2" i="34"/>
  <c r="B3" i="34" s="1"/>
  <c r="B2" i="21"/>
  <c r="B3" i="21" s="1"/>
  <c r="B2" i="70"/>
  <c r="B3" i="70" s="1"/>
  <c r="C32" i="12" l="1"/>
  <c r="B2" i="12" s="1"/>
  <c r="D19" i="9"/>
  <c r="D21" i="9" l="1"/>
  <c r="D102" i="9"/>
  <c r="B3" i="12"/>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I14" i="74"/>
  <c r="B8" i="74" s="1"/>
  <c r="D127" i="9"/>
  <c r="D13" i="52" s="1"/>
  <c r="D12" i="52"/>
  <c r="B38" i="72"/>
  <c r="D20" i="53"/>
  <c r="B40" i="72" s="1"/>
  <c r="C31" i="68" l="1"/>
  <c r="C52" i="68" s="1"/>
  <c r="C57" i="68" s="1"/>
  <c r="C56" i="68" s="1"/>
  <c r="D8" i="74"/>
  <c r="C8" i="74"/>
  <c r="B2" i="68" l="1"/>
  <c r="C19" i="9"/>
  <c r="C102" i="9" l="1"/>
  <c r="C21" i="9"/>
  <c r="G19" i="9"/>
  <c r="D22" i="9"/>
  <c r="B3" i="68"/>
  <c r="D34" i="9"/>
  <c r="C20" i="9"/>
  <c r="D35" i="9"/>
  <c r="C103" i="9" l="1"/>
  <c r="G20" i="9"/>
  <c r="C32" i="9"/>
  <c r="G21" i="9"/>
  <c r="C35" i="9" l="1"/>
  <c r="F118" i="9" s="1"/>
  <c r="H118" i="9"/>
  <c r="C104" i="9" l="1"/>
  <c r="H101" i="9"/>
  <c r="H119" i="9"/>
  <c r="H5" i="52" s="1"/>
  <c r="H4" i="52"/>
  <c r="I118" i="9"/>
  <c r="D14" i="74"/>
  <c r="C34" i="9"/>
  <c r="D118" i="9" s="1"/>
  <c r="G118" i="9"/>
  <c r="G4" i="52" s="1"/>
  <c r="B52" i="72" s="1"/>
  <c r="F119" i="9"/>
  <c r="F5" i="52" s="1"/>
  <c r="B53" i="72" s="1"/>
  <c r="F4" i="52"/>
  <c r="B51" i="72" s="1"/>
  <c r="E14" i="74" l="1"/>
  <c r="B5" i="74"/>
  <c r="F14" i="74"/>
  <c r="M48" i="9"/>
  <c r="H107" i="9"/>
  <c r="D45" i="9"/>
  <c r="D5" i="53"/>
  <c r="D119" i="9"/>
  <c r="D5" i="52" s="1"/>
  <c r="B49" i="72" s="1"/>
  <c r="D4" i="52"/>
  <c r="B47" i="72" s="1"/>
  <c r="C105" i="9"/>
  <c r="E118" i="9"/>
  <c r="E4" i="52" s="1"/>
  <c r="B48" i="72" s="1"/>
  <c r="I4" i="52"/>
  <c r="H102" i="9"/>
  <c r="D7" i="53" s="1"/>
  <c r="B21" i="72" s="1"/>
  <c r="D53" i="9" l="1"/>
  <c r="C93" i="9"/>
  <c r="C86" i="9" s="1"/>
  <c r="C78" i="9"/>
  <c r="C73" i="9" s="1"/>
  <c r="C72" i="9"/>
  <c r="C64" i="9"/>
  <c r="C63" i="9" s="1"/>
  <c r="C67" i="9" s="1"/>
  <c r="C68" i="9" s="1"/>
  <c r="D54" i="9" s="1"/>
  <c r="D52" i="9"/>
  <c r="C85" i="9"/>
  <c r="D55" i="9"/>
  <c r="M53" i="9" s="1"/>
  <c r="D5" i="74"/>
  <c r="C5" i="74"/>
  <c r="B20" i="72"/>
  <c r="D6" i="53"/>
  <c r="B22" i="72" s="1"/>
  <c r="M49" i="9"/>
  <c r="H108" i="9"/>
  <c r="D15" i="53" s="1"/>
  <c r="B31" i="72" s="1"/>
  <c r="D13" i="53"/>
  <c r="D122" i="9"/>
  <c r="C95" i="9" l="1"/>
  <c r="C79" i="9"/>
  <c r="D14" i="53"/>
  <c r="B32" i="72" s="1"/>
  <c r="B30" i="72"/>
  <c r="G14" i="74"/>
  <c r="B6" i="74" s="1"/>
  <c r="D123" i="9"/>
  <c r="D9" i="52" s="1"/>
  <c r="D8" i="52"/>
  <c r="C80" i="9"/>
  <c r="E80" i="9" s="1"/>
  <c r="E81" i="9" s="1"/>
  <c r="L66" i="9"/>
  <c r="M66" i="9" s="1"/>
  <c r="L68" i="9"/>
  <c r="M68" i="9" s="1"/>
  <c r="L64" i="9"/>
  <c r="M64" i="9" s="1"/>
  <c r="L67" i="9"/>
  <c r="M67" i="9" s="1"/>
  <c r="L63" i="9"/>
  <c r="M63" i="9" s="1"/>
  <c r="L65" i="9"/>
  <c r="M65" i="9" s="1"/>
  <c r="C96" i="9"/>
  <c r="E96" i="9" s="1"/>
  <c r="E97" i="9" s="1"/>
  <c r="C97" i="9" l="1"/>
  <c r="D58" i="9" s="1"/>
  <c r="D56" i="9" s="1"/>
  <c r="M54" i="9" s="1"/>
  <c r="N57" i="9" s="1"/>
  <c r="N59" i="9" s="1"/>
  <c r="N61" i="9" s="1"/>
  <c r="M69" i="9"/>
  <c r="N69" i="9" s="1"/>
  <c r="C81" i="9"/>
  <c r="C6" i="74"/>
  <c r="D6" i="74"/>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<sst xmlns="http://schemas.openxmlformats.org/spreadsheetml/2006/main" count="8606" uniqueCount="3383">
  <si>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</si>
  <si>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</si>
  <si>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</si>
  <si>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</si>
  <si>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</si>
  <si>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</si>
  <si>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</si>
  <si>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</si>
  <si>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</si>
  <si>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</si>
  <si>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</si>
  <si>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</si>
  <si>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</si>
  <si>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</si>
  <si>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</si>
  <si>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</si>
  <si>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</si>
  <si>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</si>
  <si>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</si>
  <si>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</si>
  <si>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</si>
  <si>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</si>
  <si>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</si>
  <si>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</si>
  <si>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</si>
  <si>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</si>
  <si>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</si>
  <si>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</si>
  <si>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</si>
  <si>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</si>
  <si>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</si>
  <si>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</si>
  <si>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</si>
  <si>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</si>
  <si>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</si>
  <si>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</si>
  <si>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</si>
  <si>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</si>
  <si>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</si>
  <si>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</si>
  <si>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</si>
  <si>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</si>
  <si>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</si>
  <si>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</si>
  <si>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</si>
  <si>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</si>
  <si>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</si>
  <si>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</si>
  <si>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</si>
  <si>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</si>
  <si>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</si>
  <si>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</si>
  <si>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</si>
  <si>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</si>
  <si>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</si>
  <si>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</si>
  <si>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</si>
  <si>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</si>
  <si>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</si>
  <si>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</si>
  <si>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</si>
  <si>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</si>
  <si>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</si>
  <si>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</si>
  <si>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</si>
  <si>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</si>
  <si>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</si>
  <si>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</si>
  <si>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</si>
  <si>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</si>
  <si>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</si>
  <si>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</si>
  <si>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</si>
  <si>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</si>
  <si>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</si>
  <si>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</si>
  <si>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</si>
  <si>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</si>
  <si>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</si>
  <si>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</si>
  <si>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</si>
  <si>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</si>
  <si>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</si>
  <si>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</si>
  <si>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</si>
  <si>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</si>
  <si>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</si>
  <si>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</si>
  <si>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</si>
  <si>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</si>
  <si>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</si>
  <si>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</si>
  <si>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</si>
  <si>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</si>
  <si>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</si>
  <si>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</si>
  <si>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</si>
  <si>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</si>
  <si>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</si>
  <si>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</si>
  <si>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</si>
  <si>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</si>
  <si>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</si>
  <si>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</si>
  <si>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</si>
  <si>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</si>
  <si>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</si>
  <si>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</si>
  <si>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</si>
  <si>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</si>
  <si>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</si>
  <si>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</si>
  <si>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</si>
  <si>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</si>
  <si>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</si>
  <si>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</si>
  <si>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</si>
  <si>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</si>
  <si>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</si>
  <si>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</si>
  <si>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</si>
  <si>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</si>
  <si>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</si>
  <si>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</si>
  <si>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</si>
  <si>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</si>
  <si>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</si>
  <si>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</si>
  <si>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</si>
  <si>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</si>
  <si>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</si>
  <si>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</si>
  <si>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</si>
  <si>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</si>
  <si>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</si>
  <si>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</si>
  <si>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</si>
  <si>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</si>
  <si>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</si>
  <si>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</si>
  <si>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</si>
  <si>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</si>
  <si>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</si>
  <si>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</si>
  <si>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</si>
  <si>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</si>
  <si>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</si>
  <si>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</si>
  <si>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</si>
  <si>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</si>
  <si>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</si>
  <si>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</si>
  <si>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</si>
  <si>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</si>
  <si>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</si>
  <si>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</si>
  <si>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</si>
  <si>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</si>
  <si>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</si>
  <si>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</si>
  <si>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</si>
  <si>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</si>
  <si>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</si>
  <si>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</si>
  <si>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</si>
  <si>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</si>
  <si>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</si>
  <si>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</si>
  <si>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</si>
  <si>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</si>
  <si>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</si>
  <si>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</si>
  <si>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</si>
  <si>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</si>
  <si>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</si>
  <si>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</si>
  <si>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</si>
  <si>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</si>
  <si>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</si>
  <si>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</si>
  <si>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</si>
  <si>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</si>
  <si>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</si>
  <si>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</si>
  <si>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</si>
  <si>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</si>
  <si>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</si>
  <si>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</si>
  <si>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</si>
  <si>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</si>
  <si>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</si>
  <si>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</si>
  <si>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</si>
  <si>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</si>
  <si>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</si>
  <si>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</si>
  <si>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</si>
  <si>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</si>
  <si>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</si>
  <si>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</si>
  <si>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</si>
  <si>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</si>
  <si>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</si>
  <si>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</si>
  <si>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</si>
  <si>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</si>
  <si>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</si>
  <si>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</si>
  <si>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</si>
  <si>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</si>
  <si>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</si>
  <si>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</si>
  <si>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</si>
  <si>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</si>
  <si>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</si>
  <si>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</si>
  <si>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</si>
  <si>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</si>
  <si>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</si>
  <si>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</si>
  <si>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</si>
  <si>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</si>
  <si>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</si>
  <si>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</si>
  <si>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</si>
  <si>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</si>
  <si>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</si>
  <si>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</si>
  <si>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</si>
  <si>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</si>
  <si>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</si>
  <si>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</si>
  <si>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</si>
  <si>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</si>
  <si>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</si>
  <si>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</si>
  <si>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</si>
  <si>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</si>
  <si>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</si>
  <si>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</si>
  <si>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</si>
  <si>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</si>
  <si>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</si>
  <si>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</si>
  <si>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</si>
  <si>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</si>
  <si>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</si>
  <si>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</si>
  <si>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</si>
  <si>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</si>
  <si>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</si>
  <si>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</si>
  <si>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</si>
  <si>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</si>
  <si>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</si>
  <si>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</si>
  <si>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</si>
  <si>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</si>
  <si>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</si>
  <si>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</si>
  <si>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</si>
  <si>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</si>
  <si>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</si>
  <si>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</si>
  <si>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</si>
  <si>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</si>
  <si>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</si>
  <si>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</si>
  <si>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</si>
  <si>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</si>
  <si>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</si>
  <si>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</si>
  <si>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</si>
  <si>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</si>
  <si>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</si>
  <si>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</si>
  <si>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</si>
  <si>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</si>
  <si>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</si>
  <si>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</si>
  <si>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</si>
  <si>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</si>
  <si>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</si>
  <si>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</si>
  <si>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</si>
  <si>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</si>
  <si>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</si>
  <si>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</si>
  <si>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</si>
  <si>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</si>
  <si>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</si>
  <si>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</si>
  <si>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</si>
  <si>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</si>
  <si>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</si>
  <si>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</si>
  <si>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</si>
  <si>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</si>
  <si>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</si>
  <si>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</si>
  <si>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</si>
  <si>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</si>
  <si>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</si>
  <si>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</si>
  <si>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</si>
  <si>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</si>
  <si>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</si>
  <si>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</si>
  <si>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</si>
  <si>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</si>
  <si>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</si>
  <si>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</si>
  <si>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</si>
  <si>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</si>
  <si>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</si>
  <si>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</si>
  <si>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</si>
  <si>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</si>
  <si>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</si>
  <si>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</si>
  <si>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</si>
  <si>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</si>
  <si>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</si>
  <si>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</si>
  <si>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</si>
  <si>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</si>
  <si>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</si>
  <si>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</si>
  <si>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</si>
  <si>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</si>
  <si>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</si>
  <si>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</si>
  <si>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</si>
  <si>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</si>
  <si>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</si>
  <si>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</si>
  <si>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</si>
  <si>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</si>
  <si>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</si>
  <si>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</si>
  <si>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</si>
  <si>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</si>
  <si>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</si>
  <si>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</si>
  <si>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</si>
  <si>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</si>
  <si>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</si>
  <si>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</si>
  <si>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</si>
  <si>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</si>
  <si>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</si>
  <si>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</si>
  <si>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</si>
  <si>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</si>
  <si>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</si>
  <si>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</si>
  <si>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</si>
  <si>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</si>
  <si>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</si>
  <si>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</si>
  <si>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</si>
  <si>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</si>
  <si>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</si>
  <si>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</si>
  <si>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</si>
  <si>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</si>
  <si>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</si>
  <si>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</si>
  <si>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</si>
  <si>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</si>
  <si>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</si>
  <si>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</si>
  <si>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</si>
  <si>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</si>
  <si>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</si>
  <si>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</si>
  <si>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</si>
  <si>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</si>
  <si>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</si>
  <si>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</si>
  <si>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</si>
  <si>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</si>
  <si>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</si>
  <si>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</si>
  <si>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</si>
  <si>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</si>
  <si>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</si>
  <si>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</si>
  <si>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</si>
  <si>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</si>
  <si>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</si>
  <si>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</si>
  <si>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</si>
  <si>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</si>
  <si>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</si>
  <si>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</si>
  <si>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</si>
  <si>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</si>
  <si>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</si>
  <si>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</si>
  <si>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</si>
  <si>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</si>
  <si>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</si>
  <si>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</si>
  <si>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</si>
  <si>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</si>
  <si>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</si>
  <si>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</si>
  <si>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</si>
  <si>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</si>
  <si>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</si>
  <si>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</si>
  <si>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</si>
  <si>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</si>
  <si>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</si>
  <si>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</si>
  <si>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</si>
  <si>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</si>
  <si>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</si>
  <si>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</si>
  <si>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</si>
  <si>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</si>
  <si>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</si>
  <si>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</si>
  <si>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</si>
  <si>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</si>
  <si>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</si>
  <si>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</si>
  <si>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</si>
  <si>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</si>
  <si>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</si>
  <si>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</si>
  <si>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</si>
  <si>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</si>
  <si>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</si>
  <si>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</si>
  <si>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</si>
  <si>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</si>
  <si>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</si>
  <si>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</si>
  <si>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</si>
  <si>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</si>
  <si>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</si>
  <si>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</si>
  <si>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</si>
  <si>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</si>
  <si>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</si>
  <si>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</si>
  <si>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</si>
  <si>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</si>
  <si>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</si>
  <si>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</si>
  <si>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</si>
  <si>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</si>
  <si>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</si>
  <si>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</si>
  <si>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</si>
  <si>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</si>
  <si>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</si>
  <si>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</si>
  <si>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</si>
  <si>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</si>
  <si>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</si>
  <si>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</si>
  <si>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</si>
  <si>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</si>
  <si>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</si>
  <si>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</si>
  <si>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</si>
  <si>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</si>
  <si>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</si>
  <si>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</si>
  <si>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</si>
  <si>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</si>
  <si>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</si>
  <si>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</si>
  <si>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</si>
  <si>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</si>
  <si>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</si>
  <si>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</si>
  <si>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</si>
  <si>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</si>
  <si>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</si>
  <si>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</si>
  <si>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</si>
  <si>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</si>
  <si>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</si>
  <si>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</si>
  <si>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</si>
  <si>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</si>
  <si>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</si>
  <si>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</si>
  <si>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</si>
  <si>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</si>
  <si>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</si>
  <si>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</si>
  <si>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</si>
  <si>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</si>
  <si>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</si>
  <si>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</si>
  <si>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</si>
  <si>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</si>
  <si>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</si>
  <si>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</si>
  <si>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</si>
  <si>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</si>
  <si>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</si>
  <si>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</si>
  <si>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</si>
  <si>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</si>
  <si>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</si>
  <si>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</si>
  <si>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</si>
  <si>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</si>
  <si>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</si>
  <si>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</si>
  <si>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</si>
  <si>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</si>
  <si>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</si>
  <si>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</si>
  <si>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</si>
  <si>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</si>
  <si>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</si>
  <si>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</si>
  <si>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</si>
  <si>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</si>
  <si>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</si>
  <si>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</si>
  <si>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</si>
  <si>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</si>
  <si>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</si>
  <si>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</si>
  <si>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</si>
  <si>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</si>
  <si>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</si>
  <si>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</si>
  <si>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</si>
  <si>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</si>
  <si>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</si>
  <si>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</si>
  <si>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</si>
  <si>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</si>
  <si>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</si>
  <si>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</si>
  <si>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</si>
  <si>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</si>
  <si>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</si>
  <si>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</si>
  <si>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</si>
  <si>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</si>
  <si>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</si>
  <si>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</si>
  <si>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</si>
  <si>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</si>
  <si>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</si>
  <si>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</si>
  <si>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</si>
  <si>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</si>
  <si>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</si>
  <si>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</si>
  <si>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</si>
  <si>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</si>
  <si>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</si>
  <si>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</si>
  <si>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</si>
  <si>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</si>
  <si>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</si>
  <si>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</si>
  <si>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</si>
  <si>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</si>
  <si>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</si>
  <si>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</si>
  <si>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</si>
  <si>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</si>
  <si>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</si>
  <si>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</si>
  <si>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</si>
  <si>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</si>
  <si>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</si>
  <si>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</si>
  <si>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</si>
  <si>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</si>
  <si>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</si>
  <si>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</si>
  <si>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</si>
  <si>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</si>
  <si>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</si>
  <si>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</si>
  <si>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</si>
  <si>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</si>
  <si>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</si>
  <si>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</si>
  <si>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</si>
  <si>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</si>
  <si>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</si>
  <si>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</si>
  <si>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</si>
  <si>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</si>
  <si>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</si>
  <si>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</si>
  <si>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</si>
  <si>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</si>
  <si>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</si>
  <si>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</si>
  <si>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</si>
  <si>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</si>
  <si>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</si>
  <si>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</si>
  <si>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</si>
  <si>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</si>
  <si>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</si>
  <si>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</si>
  <si>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</si>
  <si>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</si>
  <si>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</si>
  <si>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</si>
  <si>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</si>
  <si>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</si>
  <si>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</si>
  <si>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</si>
  <si>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</si>
  <si>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</si>
  <si>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</si>
  <si>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</si>
  <si>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</si>
  <si>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</si>
  <si>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</si>
  <si>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</si>
  <si>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</si>
  <si>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</si>
  <si>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</si>
  <si>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</si>
  <si>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</si>
  <si>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</si>
  <si>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</si>
  <si>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</si>
  <si>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</si>
  <si>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</si>
  <si>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</si>
  <si>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</si>
  <si>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</si>
  <si>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</si>
  <si>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</si>
  <si>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</si>
  <si>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</si>
  <si>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</si>
  <si>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</si>
  <si>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</si>
  <si>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</si>
  <si>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</si>
  <si>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</si>
  <si>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</si>
  <si>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</si>
  <si>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</si>
  <si>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</si>
  <si>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</si>
  <si>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</si>
  <si>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</si>
  <si>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</si>
  <si>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</si>
  <si>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</si>
  <si>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</si>
  <si>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</si>
  <si>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</si>
  <si>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</si>
  <si>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</si>
  <si>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</si>
  <si>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</si>
  <si>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</si>
  <si>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</si>
  <si>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</si>
  <si>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</si>
  <si>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</si>
  <si>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</si>
  <si>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</si>
  <si>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</si>
  <si>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</si>
  <si>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</si>
  <si>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</si>
  <si>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</si>
  <si>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</si>
  <si>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</si>
  <si>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</si>
  <si>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</si>
  <si>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</si>
  <si>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</si>
  <si>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</si>
  <si>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</si>
  <si>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</si>
  <si>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</si>
  <si>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</si>
  <si>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</si>
  <si>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</si>
  <si>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</si>
  <si>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</si>
  <si>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</si>
  <si>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</si>
  <si>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</si>
  <si>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</si>
  <si>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</si>
  <si>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</si>
  <si>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</si>
  <si>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</si>
  <si>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</si>
  <si>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</si>
  <si>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</si>
  <si>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</si>
  <si>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</si>
  <si>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</si>
  <si>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</si>
  <si>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</si>
  <si>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</si>
  <si>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</si>
  <si>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</si>
  <si>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</si>
  <si>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</si>
  <si>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</si>
  <si>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</si>
  <si>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</si>
  <si>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</si>
  <si>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</si>
  <si>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</si>
  <si>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</si>
  <si>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</si>
  <si>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</si>
  <si>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</si>
  <si>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</si>
  <si>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</si>
  <si>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</si>
  <si>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</si>
  <si>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</si>
  <si>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</si>
  <si>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</si>
  <si>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</si>
  <si>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</si>
  <si>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</si>
  <si>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</si>
  <si>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</si>
  <si>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</si>
  <si>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</si>
  <si>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</si>
  <si>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</si>
  <si>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</si>
  <si>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</si>
  <si>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</si>
  <si>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</si>
  <si>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</si>
  <si>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</si>
  <si>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</si>
  <si>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</si>
  <si>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</si>
  <si>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</si>
  <si>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</si>
  <si>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</si>
  <si>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</si>
  <si>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</si>
  <si>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</si>
  <si>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</si>
  <si>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</si>
  <si>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</si>
  <si>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</si>
  <si>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</si>
  <si>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</si>
  <si>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</si>
  <si>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</si>
  <si>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</si>
  <si>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</si>
  <si>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</si>
  <si>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</si>
  <si>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</si>
  <si>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</si>
  <si>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</si>
  <si>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</si>
  <si>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</si>
  <si>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</si>
  <si>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</si>
  <si>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</si>
  <si>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</si>
  <si>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</si>
  <si>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</si>
  <si>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</si>
  <si>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</si>
  <si>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</si>
  <si>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</si>
  <si>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</si>
  <si>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</si>
  <si>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</si>
  <si>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</si>
  <si>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</si>
  <si>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</si>
  <si>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</si>
  <si>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</si>
  <si>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</si>
  <si>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</si>
  <si>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</si>
  <si>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</si>
  <si>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</si>
  <si>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</si>
  <si>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</si>
  <si>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</si>
  <si>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</si>
  <si>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</si>
  <si>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</si>
  <si>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</si>
  <si>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</si>
  <si>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</si>
  <si>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</si>
  <si>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</si>
  <si>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</si>
  <si>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</si>
  <si>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</si>
  <si>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</si>
  <si>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</si>
  <si>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</si>
  <si>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</si>
  <si>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</si>
  <si>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</si>
  <si>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</si>
  <si>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</si>
  <si>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</si>
  <si>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</si>
  <si>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</si>
  <si>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</si>
  <si>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</si>
  <si>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</si>
  <si>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</si>
  <si>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</si>
  <si>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</si>
  <si>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</si>
  <si>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</si>
  <si>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</si>
  <si>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</si>
  <si>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</si>
  <si>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</si>
  <si>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</si>
  <si>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</si>
  <si>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</si>
  <si>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</si>
  <si>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</si>
  <si>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</si>
  <si>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</si>
  <si>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</si>
  <si>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</si>
  <si>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</si>
  <si>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</si>
  <si>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</si>
  <si>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</si>
  <si>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</si>
  <si>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</si>
  <si>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</si>
  <si>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</si>
  <si>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</si>
  <si>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</si>
  <si>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</si>
  <si>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</si>
  <si>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</si>
  <si>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</si>
  <si>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</si>
  <si>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</si>
  <si>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</si>
  <si>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</si>
  <si>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</si>
  <si>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</si>
  <si>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</si>
  <si>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</si>
  <si>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</si>
  <si>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</si>
  <si>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</si>
  <si>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</si>
  <si>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</si>
  <si>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</si>
  <si>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</si>
  <si>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</si>
  <si>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</si>
  <si>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</si>
  <si>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</si>
  <si>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</si>
  <si>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</si>
  <si>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</si>
  <si>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</si>
  <si>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</si>
  <si>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</si>
  <si>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</si>
  <si>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</si>
  <si>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</si>
  <si>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</si>
  <si>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</si>
  <si>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</si>
  <si>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</si>
  <si>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</si>
  <si>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</si>
  <si>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</si>
  <si>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</si>
  <si>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</si>
  <si>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</si>
  <si>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</si>
  <si>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</si>
  <si>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</si>
  <si>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</si>
  <si>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</si>
  <si>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</si>
  <si>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</si>
  <si>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</si>
  <si>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</si>
  <si>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</si>
  <si>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</si>
  <si>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</si>
  <si>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</si>
  <si>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</si>
  <si>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</si>
  <si>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</si>
  <si>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</si>
  <si>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</si>
  <si>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</si>
  <si>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</si>
  <si>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</si>
  <si>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</si>
  <si>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</si>
  <si>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</si>
  <si>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</si>
  <si>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</si>
  <si>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</si>
  <si>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</si>
  <si>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</si>
  <si>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</si>
  <si>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</si>
  <si>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</si>
  <si>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</si>
  <si>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</si>
  <si>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</si>
  <si>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</si>
  <si>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</si>
  <si>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</si>
  <si>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</si>
  <si>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</si>
  <si>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</si>
  <si>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</si>
  <si>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</si>
  <si>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</si>
  <si>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</si>
  <si>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</si>
  <si>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</si>
  <si>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</si>
  <si>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</si>
  <si>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</si>
  <si>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</si>
  <si>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</si>
  <si>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</si>
  <si>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</si>
  <si>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</si>
  <si>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</si>
  <si>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</si>
  <si>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</si>
  <si>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</si>
  <si>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</si>
  <si>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</si>
  <si>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</si>
  <si>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</si>
  <si>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</si>
  <si>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</si>
  <si>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</si>
  <si>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</si>
  <si>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</si>
  <si>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</si>
  <si>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</si>
  <si>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</si>
  <si>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</si>
  <si>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</si>
  <si>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</si>
  <si>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</si>
  <si>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</si>
  <si>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</si>
  <si>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</si>
  <si>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</si>
  <si>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</si>
  <si>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</si>
  <si>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</si>
  <si>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</si>
  <si>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</si>
  <si>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</si>
  <si>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</si>
  <si>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</si>
  <si>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</si>
  <si>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</si>
  <si>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</si>
  <si>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</si>
  <si>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</si>
  <si>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</si>
  <si>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</si>
  <si>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</si>
  <si>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</si>
  <si>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</si>
  <si>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</si>
  <si>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</si>
  <si>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</si>
  <si>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</si>
  <si>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</si>
  <si>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</si>
  <si>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</si>
  <si>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</si>
  <si>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</si>
  <si>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</si>
  <si>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</si>
  <si>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</si>
  <si>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</si>
  <si>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</si>
  <si>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</si>
  <si>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</si>
  <si>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</si>
  <si>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</si>
  <si>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</si>
  <si>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</si>
  <si>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</si>
  <si>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</si>
  <si>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</si>
  <si>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</si>
  <si>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</si>
  <si>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</si>
  <si>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</si>
  <si>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</si>
  <si>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</si>
  <si>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</si>
  <si>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</si>
  <si>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</si>
  <si>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</si>
  <si>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</si>
  <si>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</si>
  <si>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</si>
  <si>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</si>
  <si>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</si>
  <si>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</si>
  <si>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</si>
  <si>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</si>
  <si>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</si>
  <si>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</si>
  <si>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</si>
  <si>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</si>
  <si>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</si>
  <si>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</si>
  <si>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</si>
  <si>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</si>
  <si>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</si>
  <si>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</si>
  <si>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</si>
  <si>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</si>
  <si>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</si>
  <si>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</si>
  <si>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</si>
  <si>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</si>
  <si>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</si>
  <si>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</si>
  <si>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</si>
  <si>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</si>
  <si>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</si>
  <si>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</si>
  <si>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</si>
  <si>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</si>
  <si>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</si>
  <si>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</si>
  <si>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</si>
  <si>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</si>
  <si>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</si>
  <si>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</si>
  <si>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</si>
  <si>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</si>
  <si>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</si>
  <si>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</si>
  <si>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</si>
  <si>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</si>
  <si>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</si>
  <si>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</si>
  <si>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</si>
  <si>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</si>
  <si>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</si>
  <si>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</si>
  <si>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</si>
  <si>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</si>
  <si>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</si>
  <si>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</si>
  <si>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</si>
  <si>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</si>
  <si>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</si>
  <si>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</si>
  <si>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</si>
  <si>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</si>
  <si>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</si>
  <si>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</si>
  <si>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</si>
  <si>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</si>
  <si>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</si>
  <si>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</si>
  <si>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</si>
  <si>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</si>
  <si>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</si>
  <si>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</si>
  <si>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</si>
  <si>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</si>
  <si>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</si>
  <si>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</si>
  <si>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</si>
  <si>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</si>
  <si>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</si>
  <si>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</si>
  <si>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</si>
  <si>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</si>
  <si>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</si>
  <si>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</si>
  <si>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</si>
  <si>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</si>
  <si>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</si>
  <si>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</si>
  <si>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</si>
  <si>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</si>
  <si>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</si>
  <si>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</si>
  <si>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</si>
  <si>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</si>
  <si>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</si>
  <si>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</si>
  <si>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</si>
  <si>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</si>
  <si>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</si>
  <si>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</si>
  <si>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</si>
  <si>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</si>
  <si>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</si>
  <si>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</si>
  <si>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</si>
  <si>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</si>
  <si>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</si>
  <si>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</si>
  <si>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</si>
  <si>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</si>
  <si>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</si>
  <si>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</si>
  <si>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</si>
  <si>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</si>
  <si>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</si>
  <si>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</si>
  <si>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</si>
  <si>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</si>
  <si>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</si>
  <si>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</si>
  <si>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</si>
  <si>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</si>
  <si>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</si>
  <si>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</si>
  <si>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</si>
  <si>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</si>
  <si>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</si>
  <si>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</si>
  <si>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</si>
  <si>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</si>
  <si>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</si>
  <si>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</si>
  <si>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</si>
  <si>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</si>
  <si>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</si>
  <si>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</si>
  <si>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</si>
  <si>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</si>
  <si>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</si>
  <si>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</si>
  <si>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</si>
  <si>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</si>
  <si>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</si>
  <si>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</si>
  <si>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</si>
  <si>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</si>
  <si>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</si>
  <si>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</si>
  <si>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</si>
  <si>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</si>
  <si>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</si>
  <si>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</si>
  <si>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</si>
  <si>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</si>
  <si>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</si>
  <si>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</si>
  <si>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</si>
  <si>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</si>
  <si>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</si>
  <si>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</si>
  <si>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</si>
  <si>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</si>
  <si>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</si>
  <si>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</si>
  <si>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</si>
  <si>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</si>
  <si>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</si>
  <si>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</si>
  <si>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</si>
  <si>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</si>
  <si>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</si>
  <si>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</si>
  <si>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</si>
  <si>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</si>
  <si>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</si>
  <si>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</si>
  <si>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</si>
  <si>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</si>
  <si>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</si>
  <si>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</si>
  <si>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</si>
  <si>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</si>
  <si>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</si>
  <si>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</si>
  <si>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</si>
  <si>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</si>
  <si>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</si>
  <si>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</si>
  <si>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</si>
  <si>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</si>
  <si>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</si>
  <si>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</si>
  <si>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</si>
  <si>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</si>
  <si>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</si>
  <si>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</si>
  <si>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</si>
  <si>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</si>
  <si>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</si>
  <si>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</si>
  <si>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</si>
  <si>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</si>
  <si>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</si>
  <si>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</si>
  <si>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</si>
  <si>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</si>
  <si>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</si>
  <si>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</si>
  <si>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</si>
  <si>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</si>
  <si>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</si>
  <si>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</si>
  <si>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</si>
  <si>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</si>
  <si>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</si>
  <si>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</si>
  <si>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</si>
  <si>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</si>
  <si>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</si>
  <si>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</si>
  <si>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</si>
  <si>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</si>
  <si>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</si>
  <si>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</si>
  <si>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</si>
  <si>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</si>
  <si>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</si>
  <si>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</si>
  <si>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</si>
  <si>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</si>
  <si>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</si>
  <si>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</si>
  <si>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</si>
  <si>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</si>
  <si>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</si>
  <si>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</si>
  <si>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</si>
  <si>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</si>
  <si>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</si>
  <si>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</si>
  <si>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</si>
  <si>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</si>
  <si>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</si>
  <si>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</si>
  <si>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</si>
  <si>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</si>
  <si>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</si>
  <si>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</si>
  <si>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</si>
  <si>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</si>
  <si>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</si>
  <si>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</si>
  <si>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</si>
  <si>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</si>
  <si>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</si>
  <si>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</si>
  <si>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</si>
  <si>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</si>
  <si>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</si>
  <si>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</si>
  <si>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</si>
  <si>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</si>
  <si>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</si>
  <si>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</si>
  <si>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</si>
  <si>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</si>
  <si>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</si>
  <si>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</si>
  <si>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</si>
  <si>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</si>
  <si>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</si>
  <si>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</si>
  <si>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</si>
  <si>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</si>
  <si>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</si>
  <si>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</si>
  <si>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</si>
  <si>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</si>
  <si>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</si>
  <si>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</si>
  <si>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</si>
  <si>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</si>
  <si>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</si>
  <si>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</si>
  <si>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</si>
  <si>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</si>
  <si>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</si>
  <si>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</si>
  <si>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</si>
  <si>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</si>
  <si>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</si>
  <si>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</si>
  <si>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</si>
  <si>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</si>
  <si>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</si>
  <si>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</si>
  <si>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</si>
  <si>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</si>
  <si>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</si>
  <si>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</si>
  <si>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</si>
  <si>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</si>
  <si>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</si>
  <si>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</si>
  <si>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</si>
  <si>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</si>
  <si>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</si>
  <si>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</si>
  <si>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</si>
  <si>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</si>
  <si>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</si>
  <si>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</si>
  <si>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</si>
  <si>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</si>
  <si>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</si>
  <si>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</si>
  <si>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</si>
  <si>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</si>
  <si>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</si>
  <si>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</si>
  <si>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</si>
  <si>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</si>
  <si>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</si>
  <si>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</si>
  <si>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</si>
  <si>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</si>
  <si>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</si>
  <si>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</si>
  <si>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</si>
  <si>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</si>
  <si>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</si>
  <si>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</si>
  <si>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</si>
  <si>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</si>
  <si>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</si>
  <si>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</si>
  <si>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</si>
  <si>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</si>
  <si>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</si>
  <si>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</si>
  <si>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</si>
  <si>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</si>
  <si>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</si>
  <si>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</si>
  <si>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</si>
  <si>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</si>
  <si>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</si>
  <si>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</si>
  <si>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</si>
  <si>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</si>
  <si>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</si>
  <si>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</si>
  <si>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</si>
  <si>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</si>
  <si>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</si>
  <si>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</si>
  <si>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</si>
  <si>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</si>
  <si>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</si>
  <si>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</si>
  <si>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</si>
  <si>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</si>
  <si>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</si>
  <si>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</si>
  <si>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</si>
  <si>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</si>
  <si>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</si>
  <si>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</si>
  <si>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</si>
  <si>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</si>
  <si>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</si>
  <si>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</si>
  <si>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</si>
  <si>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</si>
  <si>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</si>
  <si>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</si>
  <si>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</si>
  <si>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</si>
  <si>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</si>
  <si>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</si>
  <si>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</si>
  <si>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</si>
  <si>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</si>
  <si>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</si>
  <si>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</si>
  <si>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</si>
  <si>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</si>
  <si>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</si>
  <si>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</si>
  <si>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</si>
  <si>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</si>
  <si>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</si>
  <si>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</si>
  <si>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</si>
  <si>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</si>
  <si>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</si>
  <si>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</si>
  <si>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</si>
  <si>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</si>
  <si>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</si>
  <si>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</si>
  <si>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</si>
  <si>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</si>
  <si>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</si>
  <si>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</si>
  <si>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</si>
  <si>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</si>
  <si>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</si>
  <si>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</si>
  <si>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</si>
  <si>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</si>
  <si>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</si>
  <si>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</si>
  <si>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</si>
  <si>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</si>
  <si>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</si>
  <si>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</si>
  <si>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</si>
  <si>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</si>
  <si>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</si>
  <si>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</si>
  <si>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</si>
  <si>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</si>
  <si>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</si>
  <si>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</si>
  <si>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</si>
  <si>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</si>
  <si>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</si>
  <si>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</si>
  <si>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</si>
  <si>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</si>
  <si>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</si>
  <si>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</si>
  <si>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</si>
  <si>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</si>
  <si>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</si>
  <si>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</si>
  <si>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</si>
  <si>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</si>
  <si>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</si>
  <si>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</si>
  <si>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</si>
  <si>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</si>
  <si>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</si>
  <si>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</si>
  <si>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</si>
  <si>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</si>
  <si>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</si>
  <si>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</si>
  <si>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</si>
  <si>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</si>
  <si>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</si>
  <si>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</si>
  <si>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</si>
  <si>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</si>
  <si>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</si>
  <si>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</si>
  <si>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</si>
  <si>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</si>
  <si>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</si>
  <si>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</si>
  <si>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</si>
  <si>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</si>
  <si>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</si>
  <si>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</si>
  <si>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</si>
  <si>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</si>
  <si>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</si>
  <si>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</si>
  <si>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</si>
  <si>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</si>
  <si>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</si>
  <si>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</si>
  <si>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</si>
  <si>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</si>
  <si>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</si>
  <si>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</si>
  <si>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</si>
  <si>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</si>
  <si>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</si>
  <si>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</si>
  <si>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</si>
  <si>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</si>
  <si>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</si>
  <si>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</si>
  <si>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</si>
  <si>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</si>
  <si>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</si>
  <si>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</si>
  <si>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</si>
  <si>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</si>
  <si>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</si>
  <si>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</si>
  <si>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</si>
  <si>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</si>
  <si>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</si>
  <si>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</si>
  <si>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</si>
  <si>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</si>
  <si>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</si>
  <si>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</si>
  <si>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</si>
  <si>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</si>
  <si>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</si>
  <si>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</si>
  <si>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</si>
  <si>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</si>
  <si>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</si>
  <si>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</si>
  <si>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</si>
  <si>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</si>
  <si>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</si>
  <si>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</si>
  <si>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</si>
  <si>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</si>
  <si>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</si>
  <si>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</si>
  <si>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</si>
  <si>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</si>
  <si>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</si>
  <si>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</si>
  <si>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</si>
  <si>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</si>
  <si>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</si>
  <si>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</si>
  <si>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</si>
  <si>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</si>
  <si>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</si>
  <si>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</si>
  <si>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</si>
  <si>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</si>
  <si>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</si>
  <si>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</si>
  <si>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</si>
  <si>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</si>
  <si>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</si>
  <si>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</si>
  <si>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</si>
  <si>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</si>
  <si>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</si>
  <si>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</si>
  <si>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</si>
  <si>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</si>
  <si>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</si>
  <si>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</si>
  <si>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</si>
  <si>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</si>
  <si>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</si>
  <si>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</si>
  <si>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</si>
  <si>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</si>
  <si>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</si>
  <si>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</si>
  <si>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</si>
  <si>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</si>
  <si>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</si>
  <si>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</si>
  <si>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</si>
  <si>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</si>
  <si>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</si>
  <si>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</si>
  <si>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</si>
  <si>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</si>
  <si>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</si>
  <si>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</si>
  <si>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</si>
  <si>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</si>
  <si>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</si>
  <si>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</si>
  <si>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</si>
  <si>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</si>
  <si>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</si>
  <si>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</si>
  <si>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</si>
  <si>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</si>
  <si>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</si>
  <si>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</si>
  <si>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</si>
  <si>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</si>
  <si>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</si>
  <si>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</si>
  <si>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</si>
  <si>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</si>
  <si>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</si>
  <si>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</si>
  <si>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</si>
  <si>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</si>
  <si>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</si>
  <si>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</si>
  <si>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</si>
  <si>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</si>
  <si>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</si>
  <si>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</si>
  <si>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</si>
  <si>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</si>
  <si>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</si>
  <si>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</si>
  <si>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</si>
  <si>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</si>
  <si>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</si>
  <si>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</si>
  <si>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</si>
  <si>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</si>
  <si>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</si>
  <si>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</si>
  <si>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</si>
  <si>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</si>
  <si>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</si>
  <si>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</si>
  <si>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</si>
  <si>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</si>
  <si>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</si>
  <si>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</si>
  <si>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</si>
  <si>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</si>
  <si>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</si>
  <si>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</si>
  <si>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</si>
  <si>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</si>
  <si>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</si>
  <si>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</si>
  <si>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</si>
  <si>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</si>
  <si>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</si>
  <si>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</si>
  <si>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</si>
  <si>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</si>
  <si>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</si>
  <si>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</si>
  <si>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</si>
  <si>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</si>
  <si>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</si>
  <si>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</si>
  <si>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</si>
  <si>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</si>
  <si>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</si>
  <si>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</si>
  <si>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</si>
  <si>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</si>
  <si>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</si>
  <si>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</si>
  <si>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</si>
  <si>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</si>
  <si>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</si>
  <si>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</si>
  <si>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</si>
  <si>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</si>
  <si>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</si>
  <si>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</si>
  <si>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</si>
  <si>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</si>
  <si>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</si>
  <si>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</si>
  <si>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</si>
  <si>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</si>
  <si>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</si>
  <si>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</si>
  <si>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</si>
  <si>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</si>
  <si>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</si>
  <si>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</si>
  <si>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</si>
  <si>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</si>
  <si>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</si>
  <si>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</si>
  <si>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</si>
  <si>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</si>
  <si>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</si>
  <si>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</si>
  <si>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</si>
  <si>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</si>
  <si>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</si>
  <si>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</si>
  <si>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</si>
  <si>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</si>
  <si>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</si>
  <si>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</si>
  <si>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</si>
  <si>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</si>
  <si>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</si>
  <si>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</si>
  <si>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</si>
  <si>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</si>
  <si>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</si>
  <si>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</si>
  <si>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</si>
  <si>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</si>
  <si>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</si>
  <si>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</si>
  <si>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</si>
  <si>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</si>
  <si>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</si>
  <si>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</si>
  <si>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</si>
  <si>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</si>
  <si>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</si>
  <si>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</si>
  <si>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</si>
  <si>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</si>
  <si>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</si>
  <si>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</si>
  <si>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</si>
  <si>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</si>
  <si>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</si>
  <si>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</si>
  <si>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</si>
  <si>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</si>
  <si>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</si>
  <si>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</si>
  <si>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</si>
  <si>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</si>
  <si>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</si>
  <si>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</si>
  <si>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</si>
  <si>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</si>
  <si>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</si>
  <si>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</si>
  <si>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</si>
  <si>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</si>
  <si>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</si>
  <si>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</si>
  <si>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</si>
  <si>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</si>
  <si>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</si>
  <si>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</si>
  <si>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</si>
  <si>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</si>
  <si>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</si>
  <si>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</si>
  <si>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</si>
  <si>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</si>
  <si>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</si>
  <si>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</si>
  <si>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</si>
  <si>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</si>
  <si>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</si>
  <si>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</si>
  <si>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</si>
  <si>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</si>
  <si>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</si>
  <si>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</si>
  <si>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</si>
  <si>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</si>
  <si>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</si>
  <si>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</si>
  <si>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</si>
  <si>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</si>
  <si>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</si>
  <si>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</si>
  <si>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</si>
  <si>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</si>
  <si>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</si>
  <si>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</si>
  <si>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</si>
  <si>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</si>
  <si>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</si>
  <si>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</si>
  <si>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</si>
  <si>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</si>
  <si>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</si>
  <si>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</si>
  <si>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</si>
  <si>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</si>
  <si>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</si>
  <si>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</si>
  <si>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</si>
  <si>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</si>
  <si>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</si>
  <si>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</si>
  <si>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</si>
  <si>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</si>
  <si>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</si>
  <si>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</si>
  <si>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</si>
  <si>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</si>
  <si>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</si>
  <si>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</si>
  <si>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</si>
  <si>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</si>
  <si>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</si>
  <si>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</si>
  <si>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</si>
  <si>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</si>
  <si>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</si>
  <si>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</si>
  <si>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</si>
  <si>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</si>
  <si>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</si>
  <si>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</si>
  <si>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</si>
  <si>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</si>
  <si>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</si>
  <si>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</si>
  <si>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</si>
  <si>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</si>
  <si>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</si>
  <si>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</si>
  <si>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</si>
  <si>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</si>
  <si>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</si>
  <si>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</si>
  <si>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</si>
  <si>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</si>
  <si>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</si>
  <si>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</si>
  <si>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</si>
  <si>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</si>
  <si>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</si>
  <si>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</si>
  <si>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</si>
  <si>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</si>
  <si>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</si>
  <si>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</si>
  <si>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</si>
  <si>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</si>
  <si>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</si>
  <si>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</si>
  <si>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</si>
  <si>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</si>
  <si>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</si>
  <si>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</si>
  <si>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</si>
  <si>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</si>
  <si>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</si>
  <si>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</si>
  <si>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</si>
  <si>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</si>
  <si>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</si>
  <si>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</si>
  <si>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</si>
  <si>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</si>
  <si>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</si>
  <si>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</si>
  <si>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</si>
  <si>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</si>
  <si>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</si>
  <si>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</si>
  <si>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</si>
  <si>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</si>
  <si>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</si>
  <si>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</si>
  <si>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</si>
  <si>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</si>
  <si>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</si>
  <si>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</si>
  <si>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</si>
  <si>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</si>
  <si>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</si>
  <si>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</si>
  <si>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</si>
  <si>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</si>
  <si>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</si>
  <si>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</si>
  <si>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</si>
  <si>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</si>
  <si>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</si>
  <si>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</si>
  <si>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</si>
  <si>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</si>
  <si>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</si>
  <si>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</si>
  <si>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</si>
  <si>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</si>
  <si>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</si>
  <si>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</si>
  <si>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</si>
  <si>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</si>
  <si>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</si>
  <si>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</si>
  <si>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</si>
  <si>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</si>
  <si>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</si>
  <si>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</si>
  <si>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</si>
  <si>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</si>
  <si>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</si>
  <si>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</si>
  <si>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</si>
  <si>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</si>
  <si>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</si>
  <si>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</si>
  <si>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</si>
  <si>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</si>
  <si>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</si>
  <si>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</si>
  <si>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</si>
  <si>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</si>
  <si>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</si>
  <si>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</si>
  <si>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</si>
  <si>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</si>
  <si>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</si>
  <si>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</si>
  <si>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</si>
  <si>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</si>
  <si>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</si>
  <si>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</si>
  <si>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</si>
  <si>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</si>
  <si>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</si>
  <si>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</si>
  <si>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</si>
  <si>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</si>
  <si>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</si>
  <si>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</si>
  <si>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</si>
  <si>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</si>
  <si>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</si>
  <si>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</si>
  <si>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</si>
  <si>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</si>
  <si>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</si>
  <si>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</si>
  <si>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</si>
  <si>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</si>
  <si>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</si>
  <si>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</si>
  <si>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</si>
  <si>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</si>
  <si>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</si>
  <si>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</si>
  <si>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</si>
  <si>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</si>
  <si>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</si>
  <si>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</si>
  <si>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</si>
  <si>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</si>
  <si>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</si>
  <si>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</si>
  <si>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</si>
  <si>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</si>
  <si>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</si>
  <si>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</si>
  <si>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</si>
  <si>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</si>
  <si>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</si>
  <si>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</si>
  <si>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</si>
  <si>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</si>
  <si>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</si>
  <si>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</si>
  <si>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</si>
  <si>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</si>
  <si>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</si>
  <si>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</si>
  <si>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</si>
  <si>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</si>
  <si>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</si>
  <si>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</si>
  <si>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</si>
  <si>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</si>
  <si>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</si>
  <si>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</si>
  <si>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</si>
  <si>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</si>
  <si>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</si>
  <si>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</si>
  <si>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</si>
  <si>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</si>
  <si>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</si>
  <si>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</si>
  <si>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</si>
  <si>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</si>
  <si>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</si>
  <si>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</si>
  <si>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</si>
  <si>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</si>
  <si>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</si>
  <si>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</si>
  <si>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</si>
  <si>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</si>
  <si>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</si>
  <si>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</si>
  <si>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</si>
  <si>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</si>
  <si>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</si>
  <si>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</si>
  <si>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</si>
  <si>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</si>
  <si>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</si>
  <si>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</si>
  <si>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</si>
  <si>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</si>
  <si>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</si>
  <si>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</si>
  <si>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</si>
  <si>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</si>
  <si>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</si>
  <si>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</si>
  <si>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</si>
  <si>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</si>
  <si>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</si>
  <si>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</si>
  <si>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</si>
  <si>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</si>
  <si>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</si>
  <si>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</si>
  <si>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</si>
  <si>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</si>
  <si>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</si>
  <si>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</si>
  <si>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</si>
  <si>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</si>
  <si>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</si>
  <si>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</si>
  <si>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</si>
  <si>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</si>
  <si>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</si>
  <si>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</si>
  <si>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</si>
  <si>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</si>
  <si>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</si>
  <si>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</si>
  <si>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</si>
  <si>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</si>
  <si>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</si>
  <si>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</si>
  <si>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</si>
  <si>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</si>
  <si>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</si>
  <si>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</si>
  <si>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</si>
  <si>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</si>
  <si>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</si>
  <si>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</si>
  <si>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</si>
  <si>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</si>
  <si>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</si>
  <si>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</si>
  <si>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</si>
  <si>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</si>
  <si>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</si>
  <si>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</si>
  <si>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</si>
  <si>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</si>
  <si>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</si>
  <si>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</si>
  <si>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</si>
  <si>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</si>
  <si>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</si>
  <si>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</si>
  <si>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</si>
  <si>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</si>
  <si>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</si>
  <si>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</si>
  <si>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</si>
  <si>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</si>
  <si>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</si>
  <si>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</si>
  <si>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</si>
  <si>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</si>
  <si>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</si>
  <si>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</si>
  <si>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</si>
  <si>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</si>
  <si>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</si>
  <si>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</si>
  <si>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</si>
  <si>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</si>
  <si>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</si>
  <si>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</si>
  <si>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</si>
  <si>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</si>
  <si>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</si>
  <si>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</si>
  <si>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</si>
  <si>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</si>
  <si>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</si>
  <si>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</si>
  <si>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</si>
  <si>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</si>
  <si>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</si>
  <si>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</si>
  <si>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</si>
  <si>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</si>
  <si>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</si>
  <si>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</si>
  <si>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</si>
  <si>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</si>
  <si>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</si>
  <si>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</si>
  <si>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</si>
  <si>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</si>
  <si>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</si>
  <si>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</si>
  <si>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</si>
  <si>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</si>
  <si>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</si>
  <si>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</si>
  <si>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</si>
  <si>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</si>
  <si>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</si>
  <si>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</si>
  <si>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</si>
  <si>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</si>
  <si>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</si>
  <si>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</si>
  <si>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</si>
  <si>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</si>
  <si>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</si>
  <si>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</si>
  <si>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</si>
  <si>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</si>
  <si>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</si>
  <si>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</si>
  <si>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</si>
  <si>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</si>
  <si>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</si>
  <si>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</si>
  <si>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</si>
  <si>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</si>
  <si>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</si>
  <si>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</si>
  <si>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</si>
  <si>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</si>
  <si>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</si>
  <si>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</si>
  <si>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</si>
  <si>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</si>
  <si>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</si>
  <si>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</si>
  <si>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</si>
  <si>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</si>
  <si>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</si>
  <si>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</si>
  <si>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</si>
  <si>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</si>
  <si>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</si>
  <si>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</si>
  <si>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</si>
  <si>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</si>
  <si>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</si>
  <si>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</si>
  <si>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</si>
  <si>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</si>
  <si>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</si>
  <si>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</si>
  <si>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</si>
  <si>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</si>
  <si>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</si>
  <si>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</si>
  <si>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</si>
  <si>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</si>
  <si>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</si>
  <si>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</si>
  <si>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</si>
  <si>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</si>
  <si>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</si>
  <si>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</si>
  <si>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</si>
  <si>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</si>
  <si>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</si>
  <si>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</si>
  <si>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</si>
  <si>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</si>
  <si>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</si>
  <si>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</si>
  <si>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</si>
  <si>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</si>
  <si>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</si>
  <si>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</si>
  <si>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</si>
  <si>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</si>
  <si>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</si>
  <si>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</si>
  <si>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</si>
  <si>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</si>
  <si>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</si>
  <si>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</si>
  <si>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</si>
  <si>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</si>
  <si>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</si>
  <si>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</si>
  <si>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</si>
  <si>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</si>
  <si>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</si>
  <si>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</si>
  <si>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</si>
  <si>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</si>
  <si>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</si>
  <si>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</si>
  <si>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</si>
  <si>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</si>
  <si>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</si>
  <si>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</si>
  <si>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</si>
  <si>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</si>
  <si>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</si>
  <si>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</si>
  <si>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</si>
  <si>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</si>
  <si>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</si>
  <si>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</si>
  <si>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</si>
  <si>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</si>
  <si>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</si>
  <si>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</si>
  <si>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</si>
  <si>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</si>
  <si>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</si>
  <si>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</si>
  <si>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</si>
  <si>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</si>
  <si>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</si>
  <si>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</si>
  <si>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</si>
  <si>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</si>
  <si>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</si>
  <si>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</si>
  <si>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</si>
  <si>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</si>
  <si>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</si>
  <si>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</si>
  <si>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</si>
  <si>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</si>
  <si>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</si>
  <si>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</si>
  <si>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</si>
  <si>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</si>
  <si>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</si>
  <si>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</si>
  <si>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</si>
  <si>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</si>
  <si>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</si>
  <si>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</si>
  <si>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</si>
  <si>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</si>
  <si>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</si>
  <si>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</si>
  <si>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</si>
  <si>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</si>
  <si>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</si>
  <si>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</si>
  <si>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</si>
  <si>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</si>
  <si>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</si>
  <si>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</si>
  <si>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</si>
  <si>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</si>
  <si>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</si>
  <si>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</si>
  <si>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</si>
  <si>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</si>
  <si>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</si>
  <si>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</si>
  <si>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</si>
  <si>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</si>
  <si>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</si>
  <si>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</si>
  <si>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</si>
  <si>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</si>
  <si>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</si>
  <si>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</si>
  <si>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</si>
  <si>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</si>
  <si>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</si>
  <si>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</si>
  <si>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</si>
  <si>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</si>
  <si>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</si>
  <si>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</si>
  <si>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</si>
  <si>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</si>
  <si>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</si>
  <si>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</si>
  <si>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</si>
  <si>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</si>
  <si>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</si>
  <si>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</si>
  <si>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</si>
  <si>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</si>
  <si>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</si>
  <si>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</si>
  <si>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</si>
  <si>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</si>
  <si>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</si>
  <si>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</si>
  <si>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</si>
  <si>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</si>
  <si>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</si>
  <si>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</si>
  <si>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</si>
  <si>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</si>
  <si>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</si>
  <si>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</si>
  <si>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</si>
  <si>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</si>
  <si>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</si>
  <si>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</si>
  <si>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</si>
  <si>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</si>
  <si>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</si>
  <si>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</si>
  <si>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</si>
  <si>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</si>
  <si>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</si>
  <si>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</si>
  <si>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</si>
  <si>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</si>
  <si>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</si>
  <si>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</si>
  <si>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</si>
  <si>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</si>
  <si>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</si>
  <si>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</si>
  <si>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</si>
  <si>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</si>
  <si>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</si>
  <si>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</si>
  <si>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</si>
  <si>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</si>
  <si>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</si>
  <si>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</si>
  <si>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</si>
  <si>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</si>
  <si>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</si>
  <si>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</si>
  <si>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</si>
  <si>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</si>
  <si>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</si>
  <si>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</si>
  <si>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</si>
  <si>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</si>
  <si>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</si>
  <si>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</si>
  <si>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</si>
  <si>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</si>
  <si>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</si>
  <si>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</si>
  <si>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</si>
  <si>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</si>
  <si>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</si>
  <si>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</si>
  <si>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</si>
  <si>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</si>
  <si>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</si>
  <si>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</si>
  <si>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</si>
  <si>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</si>
  <si>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</si>
  <si>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</si>
  <si>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</si>
  <si>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</si>
  <si>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</si>
  <si>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</si>
  <si>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</si>
  <si>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</si>
  <si>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</si>
  <si>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</si>
  <si>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</si>
  <si>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</si>
  <si>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</si>
  <si>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</si>
  <si>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</si>
  <si>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</si>
  <si>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</si>
  <si>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</si>
  <si>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</si>
  <si>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</si>
  <si>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</si>
  <si>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</si>
  <si>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</si>
  <si>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</si>
  <si>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</si>
  <si>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</si>
  <si>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</si>
  <si>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</si>
  <si>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</si>
  <si>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</si>
  <si>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</si>
  <si>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</si>
  <si>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</si>
  <si>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</si>
  <si>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</si>
  <si>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</si>
  <si>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</si>
  <si>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</si>
  <si>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</si>
  <si>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</si>
  <si>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</si>
  <si>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</si>
  <si>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</si>
  <si>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</si>
  <si>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</si>
  <si>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</si>
  <si>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</si>
  <si>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</si>
  <si>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</si>
  <si>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</si>
  <si>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</si>
  <si>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</si>
  <si>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</si>
  <si>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</si>
  <si>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</si>
  <si>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</si>
  <si>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</si>
  <si>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</si>
  <si>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</si>
  <si>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</si>
  <si>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</si>
  <si>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</si>
  <si>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</si>
  <si>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</si>
  <si>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</si>
  <si>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</si>
  <si>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</si>
  <si>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</si>
  <si>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</si>
  <si>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</si>
  <si>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</si>
  <si>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</si>
  <si>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</si>
  <si>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</si>
  <si>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</si>
  <si>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</si>
  <si>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</si>
  <si>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</si>
  <si>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</si>
  <si>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</si>
  <si>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</si>
  <si>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</si>
  <si>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</si>
  <si>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</si>
  <si>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</si>
  <si>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</si>
  <si>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</si>
  <si>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</si>
  <si>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</si>
  <si>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</si>
  <si>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</si>
  <si>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</si>
  <si>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</si>
  <si>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</si>
  <si>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</si>
  <si>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</si>
  <si>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</si>
  <si>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</si>
  <si>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</si>
  <si>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</si>
  <si>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</si>
  <si>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</si>
  <si>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</si>
  <si>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</si>
  <si>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</si>
  <si>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</si>
  <si>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</si>
  <si>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</si>
  <si>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</si>
  <si>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</si>
  <si>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</si>
  <si>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</si>
  <si>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</si>
  <si>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</si>
  <si>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</si>
  <si>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</si>
  <si>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</si>
  <si>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</si>
  <si>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</si>
  <si>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</si>
  <si>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</si>
  <si>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</si>
  <si>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</si>
  <si>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</si>
  <si>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</si>
  <si>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</si>
  <si>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</si>
  <si>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</si>
  <si>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</si>
  <si>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</si>
  <si>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</si>
  <si>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</si>
  <si>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</si>
  <si>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</si>
  <si>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</si>
  <si>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</si>
  <si>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</si>
  <si>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</si>
  <si>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</si>
  <si>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</si>
  <si>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</si>
  <si>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</si>
  <si>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</si>
  <si>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</si>
  <si>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</si>
  <si>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</si>
  <si>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</si>
  <si>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</si>
  <si>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</si>
  <si>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</si>
  <si>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</si>
  <si>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</si>
  <si>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</si>
  <si>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</si>
  <si>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</si>
  <si>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</si>
  <si>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</si>
  <si>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</si>
  <si>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</si>
  <si>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</si>
  <si>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</si>
  <si>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</si>
  <si>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</si>
  <si>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</si>
  <si>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</si>
  <si>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</si>
  <si>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</si>
  <si>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</si>
  <si>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</si>
  <si>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</si>
  <si>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</si>
  <si>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</si>
  <si>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</si>
  <si>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</si>
  <si>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</si>
  <si>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</si>
  <si>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</si>
  <si>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</si>
  <si>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</si>
  <si>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</si>
  <si>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</si>
  <si>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</si>
  <si>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</si>
  <si>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</si>
  <si>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</si>
  <si>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</si>
  <si>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</si>
  <si>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</si>
  <si>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</si>
  <si>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</si>
  <si>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</si>
  <si>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</si>
  <si>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</si>
  <si>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</si>
  <si>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</si>
  <si>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</si>
  <si>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</si>
  <si>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</si>
  <si>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</si>
  <si>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</si>
  <si>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</si>
  <si>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</si>
  <si>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</si>
  <si>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</si>
  <si>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</si>
  <si>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</si>
  <si>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</si>
  <si>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</si>
  <si>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</si>
  <si>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</si>
  <si>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</si>
  <si>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</si>
  <si>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</si>
  <si>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</si>
  <si>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</si>
  <si>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</si>
  <si>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</si>
  <si>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</si>
  <si>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</si>
  <si>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</si>
  <si>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</si>
  <si>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</si>
  <si>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</si>
  <si>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</si>
  <si>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</si>
  <si>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</si>
  <si>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</si>
  <si>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</si>
  <si>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</si>
  <si>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</si>
  <si>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</si>
  <si>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</si>
  <si>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</si>
  <si>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</si>
  <si>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</si>
  <si>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</si>
  <si>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</si>
  <si>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</si>
  <si>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</si>
  <si>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</si>
  <si>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</si>
  <si>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</si>
  <si>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</si>
  <si>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</si>
  <si>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</si>
  <si>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</si>
  <si>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</si>
  <si>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</si>
  <si>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</si>
  <si>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</si>
  <si>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</si>
  <si>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</si>
  <si>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</si>
  <si>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</si>
  <si>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</si>
  <si>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</si>
  <si>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</si>
  <si>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</si>
  <si>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</si>
  <si>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</si>
  <si>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</si>
  <si>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</si>
  <si>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</si>
  <si>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</si>
  <si>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</si>
  <si>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</si>
  <si>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</si>
  <si>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</si>
  <si>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</si>
  <si>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</si>
  <si>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</si>
  <si>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</si>
  <si>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</si>
  <si>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</si>
  <si>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</si>
  <si>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</si>
  <si>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</si>
  <si>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</si>
  <si>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</si>
  <si>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</si>
  <si>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</si>
  <si>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</si>
  <si>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</si>
  <si>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</si>
  <si>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</si>
  <si>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</si>
  <si>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</si>
  <si>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</si>
  <si>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</si>
  <si>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</si>
  <si>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</si>
  <si>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</si>
  <si>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</si>
  <si>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</si>
  <si>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</si>
  <si>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</si>
  <si>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</si>
  <si>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</si>
  <si>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</si>
  <si>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</si>
  <si>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</si>
  <si>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</si>
  <si>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</si>
  <si>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</si>
  <si>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</si>
  <si>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</si>
  <si>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</si>
  <si>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</si>
  <si>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</si>
  <si>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</si>
  <si>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</si>
  <si>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</si>
  <si>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</si>
  <si>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</si>
  <si>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</si>
  <si>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</si>
  <si>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</si>
  <si>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</si>
  <si>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</si>
  <si>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</si>
  <si>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</si>
  <si>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</si>
  <si>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</si>
  <si>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</si>
  <si>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</si>
  <si>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</si>
  <si>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</si>
  <si>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</si>
  <si>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</si>
  <si>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</si>
  <si>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</si>
  <si>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</si>
  <si>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</si>
  <si>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</si>
  <si>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</si>
  <si>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</si>
  <si>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</si>
  <si>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</si>
  <si>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</si>
  <si>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</si>
  <si>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</si>
  <si>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</si>
  <si>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</si>
  <si>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</si>
  <si>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</si>
  <si>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</si>
  <si>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</si>
  <si>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</si>
  <si>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</si>
  <si>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</si>
  <si>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</si>
  <si>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</si>
  <si>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</si>
  <si>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</si>
  <si>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</si>
  <si>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</si>
  <si>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</si>
  <si>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</si>
  <si>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</si>
  <si>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</si>
  <si>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</si>
  <si>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</si>
  <si>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</si>
  <si>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</si>
  <si>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</si>
  <si>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</si>
  <si>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</si>
  <si>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</si>
  <si>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</si>
  <si>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</si>
  <si>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</si>
  <si>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</si>
  <si>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</si>
  <si>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</si>
  <si>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</si>
  <si>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</si>
  <si>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</si>
  <si>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</si>
  <si>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</si>
  <si>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</si>
  <si>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</si>
  <si>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</si>
  <si>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</si>
  <si>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</si>
  <si>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</si>
  <si>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</si>
  <si>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</si>
  <si>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</si>
  <si>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</si>
  <si>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</si>
  <si>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</si>
  <si>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</si>
  <si>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</si>
  <si>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</si>
  <si>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</si>
  <si>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</si>
  <si>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</si>
  <si>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</si>
  <si>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</si>
  <si>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</si>
  <si>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</si>
  <si>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</si>
  <si>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</si>
  <si>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</si>
  <si>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</si>
  <si>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</si>
  <si>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</si>
  <si>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</si>
  <si>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</si>
  <si>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</si>
  <si>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</si>
  <si>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</si>
  <si>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</si>
  <si>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</si>
  <si>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</si>
  <si>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</si>
  <si>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</si>
  <si>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</si>
  <si>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</si>
  <si>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</si>
  <si>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</si>
  <si>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</si>
  <si>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</si>
  <si>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</si>
  <si>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</si>
  <si>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</si>
  <si>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</si>
  <si>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</si>
  <si>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</si>
  <si>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</si>
  <si>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</si>
  <si>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</si>
  <si>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</si>
  <si>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</si>
  <si>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</si>
  <si>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</si>
  <si>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</si>
  <si>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</si>
  <si>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</si>
  <si>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</si>
  <si>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</si>
  <si>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</si>
  <si>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</si>
  <si>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</si>
  <si>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</si>
  <si>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</si>
  <si>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</si>
  <si>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</si>
  <si>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</si>
  <si>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</si>
  <si>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</si>
  <si>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</si>
  <si>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</si>
  <si>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</si>
  <si>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</si>
  <si>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</si>
  <si>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</si>
  <si>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</si>
  <si>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</si>
  <si>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</si>
  <si>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</si>
  <si>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</si>
  <si>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</si>
  <si>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</si>
  <si>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</si>
  <si>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</si>
  <si>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</si>
  <si>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</si>
  <si>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</si>
  <si>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</si>
  <si>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</si>
  <si>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</si>
  <si>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</si>
  <si>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</si>
  <si>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</si>
  <si>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</si>
  <si>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</si>
  <si>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</si>
  <si>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</si>
  <si>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</si>
  <si>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</si>
  <si>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</si>
  <si>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</si>
  <si>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</si>
  <si>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</si>
  <si>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</si>
  <si>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</si>
  <si>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</si>
  <si>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</si>
  <si>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</si>
  <si>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</si>
  <si>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</si>
  <si>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</si>
  <si>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</si>
  <si>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</si>
  <si>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</si>
  <si>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</si>
  <si>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</si>
  <si>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</si>
  <si>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</si>
  <si>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</si>
  <si>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</si>
  <si>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</si>
  <si>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</si>
  <si>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</si>
  <si>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</si>
  <si>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</si>
  <si>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</si>
  <si>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</si>
  <si>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</si>
  <si>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</si>
  <si>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</si>
  <si>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</si>
  <si>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</si>
  <si>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</si>
  <si>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</si>
  <si>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</si>
  <si>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</si>
  <si>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</si>
  <si>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</si>
  <si>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</si>
  <si>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</si>
  <si>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</si>
  <si>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</si>
  <si>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</si>
  <si>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</si>
  <si>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</si>
  <si>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</si>
  <si>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</si>
  <si>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</si>
  <si>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</si>
  <si>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</si>
  <si>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</si>
  <si>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</si>
  <si>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</si>
  <si>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</si>
  <si>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</si>
  <si>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</si>
  <si>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</si>
  <si>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</si>
  <si>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</si>
  <si>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</si>
  <si>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</si>
  <si>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</si>
  <si>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</si>
  <si>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</si>
  <si>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</si>
  <si>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</si>
  <si>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</si>
  <si>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</si>
  <si>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</si>
  <si>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</si>
  <si>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</si>
  <si>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</si>
  <si>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</si>
  <si>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</si>
  <si>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</si>
  <si>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</si>
  <si>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</si>
  <si>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</si>
  <si>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</si>
  <si>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</si>
  <si>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</si>
  <si>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</si>
  <si>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</si>
  <si>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</si>
  <si>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</si>
  <si>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</si>
  <si>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</si>
  <si>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</si>
  <si>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</si>
  <si>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</si>
  <si>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</si>
  <si>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</si>
  <si>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</si>
  <si>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</si>
  <si>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</si>
  <si>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</si>
  <si>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</si>
  <si>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</si>
  <si>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</si>
  <si>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</si>
  <si>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</si>
  <si>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</si>
  <si>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</si>
  <si>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</si>
  <si>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</si>
  <si>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</si>
  <si>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</si>
  <si>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</si>
  <si>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</si>
  <si>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</si>
  <si>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</si>
  <si>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</si>
  <si>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</si>
  <si>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</si>
  <si>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</si>
  <si>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</si>
  <si>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</si>
  <si>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</si>
  <si>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</si>
  <si>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</si>
  <si>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</si>
  <si>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</si>
  <si>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</si>
  <si>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</si>
  <si>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</si>
  <si>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</si>
  <si>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</si>
  <si>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</si>
  <si>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</si>
  <si>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</si>
  <si>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</si>
  <si>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</si>
  <si>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</si>
  <si>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</si>
  <si>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</si>
  <si>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</si>
  <si>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</si>
  <si>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</si>
  <si>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</si>
  <si>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</si>
  <si>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</si>
  <si>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</si>
  <si>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</si>
  <si>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</si>
  <si>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</si>
  <si>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</si>
  <si>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</si>
  <si>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</si>
  <si>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</si>
  <si>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</si>
  <si>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</si>
  <si>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</si>
  <si>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</si>
  <si>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</si>
  <si>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</si>
  <si>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</si>
  <si>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</si>
  <si>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</si>
  <si>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</si>
  <si>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</si>
  <si>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</si>
  <si>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</si>
  <si>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</si>
  <si>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</si>
  <si>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</si>
  <si>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</si>
  <si>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</si>
  <si>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</si>
  <si>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</si>
  <si>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</si>
  <si>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</si>
  <si>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</si>
  <si>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</si>
  <si>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</si>
  <si>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</si>
  <si>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</si>
  <si>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</si>
  <si>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</si>
  <si>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</si>
  <si>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</si>
  <si>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</si>
  <si>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</si>
  <si>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</si>
  <si>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</si>
  <si>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</si>
  <si>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</si>
  <si>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</si>
  <si>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</si>
  <si>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</si>
  <si>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</si>
  <si>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</si>
  <si>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</si>
  <si>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</si>
  <si>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</si>
  <si>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</si>
  <si>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</si>
  <si>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</si>
  <si>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</si>
  <si>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</si>
  <si>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</si>
  <si>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</si>
  <si>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</si>
  <si>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</si>
  <si>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</si>
  <si>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</si>
  <si>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</si>
  <si>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</si>
  <si>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</si>
  <si>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</si>
  <si>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</si>
  <si>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</si>
  <si>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</si>
  <si>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</si>
  <si>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</si>
  <si>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</si>
  <si>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</si>
  <si>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</si>
  <si>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</si>
  <si>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</si>
  <si>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</si>
  <si>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地块名称</t>
  </si>
  <si>
    <t>城市</t>
  </si>
  <si>
    <t>用地性质</t>
  </si>
  <si>
    <t>建设用地面积(㎡)</t>
  </si>
  <si>
    <t>规划建筑面积(㎡)</t>
  </si>
  <si>
    <t>容积率</t>
  </si>
  <si>
    <t>成交日期</t>
  </si>
  <si>
    <t>受让单位</t>
  </si>
  <si>
    <t>成交价(万元)</t>
  </si>
  <si>
    <t>成交每亩价(万元/亩)</t>
  </si>
  <si>
    <t>成交楼面价(元/㎡)</t>
  </si>
  <si>
    <t>溢价率</t>
  </si>
  <si>
    <t>门头沟区永定镇MC00-0017-6021、6022地块(门头沟S1线区域组团03地块北部一期用地)</t>
  </si>
  <si>
    <t>北京市</t>
  </si>
  <si>
    <t>综合用地(含住宅)</t>
  </si>
  <si>
    <t>2015-09-29</t>
  </si>
  <si>
    <t>北京金地创世咨询有限公司和中国电建地产集团有限公司联合体</t>
  </si>
  <si>
    <t>门头沟区永定镇MC00-0020-0009、0012地块</t>
  </si>
  <si>
    <t>2015-11-18</t>
  </si>
  <si>
    <t>北京万科企业有限公司</t>
  </si>
  <si>
    <t>梁津</t>
  </si>
  <si>
    <t>欧红伟</t>
  </si>
  <si>
    <t>北京京投灜德置业有限公司</t>
  </si>
  <si>
    <t>中国工商银行股份有限公司北京珠市口支行</t>
    <phoneticPr fontId="3" type="noConversion"/>
  </si>
  <si>
    <t>抵押</t>
  </si>
  <si>
    <t>房地产抵押价值</t>
  </si>
  <si>
    <t>企业</t>
  </si>
  <si>
    <t>北京市门头沟区潭柘寺MC01-0003-6004地块C3</t>
    <phoneticPr fontId="3" type="noConversion"/>
  </si>
  <si>
    <t>住宅、仓储、地下车库</t>
    <phoneticPr fontId="3" type="noConversion"/>
  </si>
  <si>
    <t>住宅67.23年、仓储及地下车库47.23年</t>
    <phoneticPr fontId="3" type="noConversion"/>
  </si>
  <si>
    <t>综合项目（居住、综合）</t>
  </si>
  <si>
    <t>通路</t>
  </si>
  <si>
    <t>通电</t>
  </si>
  <si>
    <t>通上水</t>
  </si>
  <si>
    <t>通下水</t>
  </si>
  <si>
    <t>通讯</t>
  </si>
  <si>
    <t>燃气</t>
  </si>
  <si>
    <t>Ⅸ-门潭</t>
  </si>
  <si>
    <t>地上</t>
  </si>
  <si>
    <t>洋房</t>
  </si>
  <si>
    <t>联排</t>
  </si>
  <si>
    <t>地下</t>
  </si>
  <si>
    <t>仓储</t>
  </si>
  <si>
    <t>储藏间</t>
  </si>
  <si>
    <t>车库</t>
  </si>
  <si>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</si>
  <si>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</si>
  <si>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</si>
  <si>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</si>
  <si>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</si>
  <si>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洋房</t>
    <phoneticPr fontId="3" type="noConversion"/>
  </si>
  <si>
    <t>别墅</t>
    <phoneticPr fontId="3" type="noConversion"/>
  </si>
  <si>
    <t>公共服务设施</t>
    <phoneticPr fontId="3" type="noConversion"/>
  </si>
  <si>
    <t>设备用房</t>
    <phoneticPr fontId="3" type="noConversion"/>
  </si>
  <si>
    <t>储藏间</t>
    <phoneticPr fontId="3" type="noConversion"/>
  </si>
  <si>
    <t>地下商业</t>
    <phoneticPr fontId="3" type="noConversion"/>
  </si>
  <si>
    <t>非机动车库</t>
    <phoneticPr fontId="3" type="noConversion"/>
  </si>
  <si>
    <t>楼电梯间</t>
    <phoneticPr fontId="3" type="noConversion"/>
  </si>
  <si>
    <t>人防</t>
    <phoneticPr fontId="205" type="noConversion"/>
  </si>
  <si>
    <t>工程进度</t>
    <phoneticPr fontId="3" type="noConversion"/>
  </si>
  <si>
    <t>比例</t>
    <phoneticPr fontId="3" type="noConversion"/>
  </si>
  <si>
    <t>C3规证</t>
    <phoneticPr fontId="3" type="noConversion"/>
  </si>
  <si>
    <t>6004</t>
    <phoneticPr fontId="3" type="noConversion"/>
  </si>
  <si>
    <t>城镇住宅、综合、地下仓储、地下车库</t>
    <phoneticPr fontId="3" type="noConversion"/>
  </si>
  <si>
    <t>C3-01#住宅</t>
    <phoneticPr fontId="3" type="noConversion"/>
  </si>
  <si>
    <t>C3-02#住宅</t>
  </si>
  <si>
    <t>C3-03#住宅</t>
  </si>
  <si>
    <t>C3-04#住宅</t>
  </si>
  <si>
    <t>C3-05#住宅</t>
  </si>
  <si>
    <t>C3-06#住宅</t>
  </si>
  <si>
    <t>C3-07#住宅</t>
  </si>
  <si>
    <t>封顶</t>
    <phoneticPr fontId="205" type="noConversion"/>
  </si>
  <si>
    <t>C3-08#住宅</t>
  </si>
  <si>
    <t>C3-09#住宅</t>
  </si>
  <si>
    <t>C3-10#住宅</t>
  </si>
  <si>
    <t>C3-11#住宅</t>
  </si>
  <si>
    <t>C3-12#住宅</t>
  </si>
  <si>
    <t>C3-13#住宅</t>
  </si>
  <si>
    <t>小计</t>
    <phoneticPr fontId="205" type="noConversion"/>
  </si>
  <si>
    <t>C3-14#居住公共服务设施（物业服务用房）</t>
    <phoneticPr fontId="205" type="noConversion"/>
  </si>
  <si>
    <t>C3-15#配电室</t>
    <phoneticPr fontId="205" type="noConversion"/>
  </si>
  <si>
    <t>C3-A#车库</t>
    <phoneticPr fontId="205" type="noConversion"/>
  </si>
  <si>
    <t>C3-B#车库</t>
    <phoneticPr fontId="205" type="noConversion"/>
  </si>
  <si>
    <t>C3-C#车库</t>
    <phoneticPr fontId="205" type="noConversion"/>
  </si>
  <si>
    <t>小计</t>
    <phoneticPr fontId="262" type="noConversion"/>
  </si>
  <si>
    <t>合计</t>
    <phoneticPr fontId="262" type="noConversion"/>
  </si>
  <si>
    <t>土地</t>
    <phoneticPr fontId="3" type="noConversion"/>
  </si>
  <si>
    <t>地号</t>
    <phoneticPr fontId="3" type="noConversion"/>
  </si>
  <si>
    <t>证载用途</t>
    <phoneticPr fontId="3" type="noConversion"/>
  </si>
  <si>
    <t>证载土地面积</t>
    <phoneticPr fontId="3" type="noConversion"/>
  </si>
  <si>
    <t>楼号/用途</t>
    <phoneticPr fontId="3" type="noConversion"/>
  </si>
  <si>
    <t>建筑面积</t>
    <phoneticPr fontId="3" type="noConversion"/>
  </si>
  <si>
    <t>合计</t>
    <phoneticPr fontId="3" type="noConversion"/>
  </si>
  <si>
    <t>地上</t>
    <phoneticPr fontId="3" type="noConversion"/>
  </si>
  <si>
    <t>地下</t>
    <phoneticPr fontId="3" type="noConversion"/>
  </si>
  <si>
    <t>容积率</t>
    <phoneticPr fontId="3" type="noConversion"/>
  </si>
  <si>
    <t>小计</t>
    <phoneticPr fontId="3" type="noConversion"/>
  </si>
  <si>
    <t>洋房</t>
    <phoneticPr fontId="3" type="noConversion"/>
  </si>
  <si>
    <t>别墅</t>
    <phoneticPr fontId="3" type="noConversion"/>
  </si>
  <si>
    <t>商业</t>
    <phoneticPr fontId="3" type="noConversion"/>
  </si>
  <si>
    <t>物业管理用房</t>
    <phoneticPr fontId="3" type="noConversion"/>
  </si>
  <si>
    <t>公共服务设施</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</si>
  <si>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</si>
  <si>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</si>
  <si>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</si>
  <si>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</si>
  <si>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</si>
  <si>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</si>
  <si>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</si>
  <si>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</si>
  <si>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C5复函</t>
    <phoneticPr fontId="205" type="noConversion"/>
  </si>
  <si>
    <t>0058</t>
    <phoneticPr fontId="205" type="noConversion"/>
  </si>
  <si>
    <t>住宅混合公建用地</t>
    <phoneticPr fontId="205" type="noConversion"/>
  </si>
  <si>
    <t>C5-01#住宅</t>
    <phoneticPr fontId="3" type="noConversion"/>
  </si>
  <si>
    <t>C5-02#住宅</t>
  </si>
  <si>
    <t>C5-03#住宅</t>
  </si>
  <si>
    <t>C5-04#住宅</t>
  </si>
  <si>
    <t>C5-05#住宅</t>
  </si>
  <si>
    <t>C5-06#住宅</t>
  </si>
  <si>
    <t>C5-07#住宅</t>
  </si>
  <si>
    <t>C5-08#住宅</t>
  </si>
  <si>
    <t>C5-09#商业</t>
    <phoneticPr fontId="205" type="noConversion"/>
  </si>
  <si>
    <t>C5-10#商业</t>
  </si>
  <si>
    <t>C5-11#商业</t>
  </si>
  <si>
    <t>C5-12#商业</t>
  </si>
  <si>
    <t>C5-13#商业</t>
  </si>
  <si>
    <t>C5-14A#商业</t>
    <phoneticPr fontId="205" type="noConversion"/>
  </si>
  <si>
    <t>C5-14B#商业</t>
    <phoneticPr fontId="205" type="noConversion"/>
  </si>
  <si>
    <t>C5-15A#商业</t>
    <phoneticPr fontId="205" type="noConversion"/>
  </si>
  <si>
    <t>C5-15B#商业</t>
    <phoneticPr fontId="205" type="noConversion"/>
  </si>
  <si>
    <t>C5-16A#商业</t>
    <phoneticPr fontId="205" type="noConversion"/>
  </si>
  <si>
    <t>C5-16B#商业</t>
    <phoneticPr fontId="205" type="noConversion"/>
  </si>
  <si>
    <t>C5-17A#商业</t>
    <phoneticPr fontId="205" type="noConversion"/>
  </si>
  <si>
    <t>C5-17B#商业</t>
    <phoneticPr fontId="205" type="noConversion"/>
  </si>
  <si>
    <t>C5-18A#商业</t>
    <phoneticPr fontId="205" type="noConversion"/>
  </si>
  <si>
    <t>C5-18B#商业</t>
    <phoneticPr fontId="205" type="noConversion"/>
  </si>
  <si>
    <t>C5-19#商业</t>
    <phoneticPr fontId="205" type="noConversion"/>
  </si>
  <si>
    <t>C5-20#配电室</t>
    <phoneticPr fontId="205" type="noConversion"/>
  </si>
  <si>
    <t>C5-A#车库</t>
    <phoneticPr fontId="205" type="noConversion"/>
  </si>
  <si>
    <t>在建</t>
    <phoneticPr fontId="3" type="noConversion"/>
  </si>
  <si>
    <t>商务办公</t>
    <phoneticPr fontId="3" type="noConversion"/>
  </si>
  <si>
    <t>人防</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</si>
  <si>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</si>
  <si>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</si>
  <si>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</si>
  <si>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</si>
  <si>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</si>
  <si>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C8-06#商务办公</t>
  </si>
  <si>
    <t>C8-07#商业</t>
    <phoneticPr fontId="205" type="noConversion"/>
  </si>
  <si>
    <t>C8-08#商业</t>
  </si>
  <si>
    <t>C8-09#商业</t>
  </si>
  <si>
    <t>C8-10A#商业</t>
    <phoneticPr fontId="205" type="noConversion"/>
  </si>
  <si>
    <t>C8-10B#商业</t>
    <phoneticPr fontId="205" type="noConversion"/>
  </si>
  <si>
    <t>C8-11A#商业</t>
    <phoneticPr fontId="205" type="noConversion"/>
  </si>
  <si>
    <t>C8-11B#商业</t>
    <phoneticPr fontId="205" type="noConversion"/>
  </si>
  <si>
    <t>C8-12A#商业</t>
    <phoneticPr fontId="205" type="noConversion"/>
  </si>
  <si>
    <t>C8-12B#商业</t>
    <phoneticPr fontId="205" type="noConversion"/>
  </si>
  <si>
    <t>C8-13A#商业</t>
    <phoneticPr fontId="205" type="noConversion"/>
  </si>
  <si>
    <t>C8-13B#商业</t>
    <phoneticPr fontId="205" type="noConversion"/>
  </si>
  <si>
    <t>C8-B#车库</t>
    <phoneticPr fontId="205" type="noConversion"/>
  </si>
  <si>
    <t>C8-01#商业</t>
    <phoneticPr fontId="205" type="noConversion"/>
  </si>
  <si>
    <t>C8-02#商业</t>
  </si>
  <si>
    <t>C8-03#商业</t>
    <phoneticPr fontId="205" type="noConversion"/>
  </si>
  <si>
    <t>C8-A#车库</t>
    <phoneticPr fontId="205" type="noConversion"/>
  </si>
  <si>
    <t>合计</t>
    <phoneticPr fontId="205" type="noConversion"/>
  </si>
  <si>
    <t>人防</t>
    <phoneticPr fontId="205" type="noConversion"/>
  </si>
  <si>
    <t>C11规证*2</t>
    <phoneticPr fontId="3" type="noConversion"/>
  </si>
  <si>
    <t>6007</t>
    <phoneticPr fontId="3" type="noConversion"/>
  </si>
  <si>
    <t>住宅混合公建用地</t>
    <phoneticPr fontId="3" type="noConversion"/>
  </si>
  <si>
    <t>C11-01#商业</t>
    <phoneticPr fontId="205" type="noConversion"/>
  </si>
  <si>
    <t>C11-02#商业</t>
  </si>
  <si>
    <t>C11-03#商业</t>
  </si>
  <si>
    <t>C11-08#商业</t>
    <phoneticPr fontId="205" type="noConversion"/>
  </si>
  <si>
    <t>C11-09#卫生站</t>
    <phoneticPr fontId="205" type="noConversion"/>
  </si>
  <si>
    <t>C11-10#邮电所</t>
    <phoneticPr fontId="205" type="noConversion"/>
  </si>
  <si>
    <t>C11-06#配电室</t>
    <phoneticPr fontId="205" type="noConversion"/>
  </si>
  <si>
    <t>C11-A#车库</t>
    <phoneticPr fontId="205" type="noConversion"/>
  </si>
  <si>
    <t>C11-04#住宅</t>
    <phoneticPr fontId="205" type="noConversion"/>
  </si>
  <si>
    <t>C11-05#住宅</t>
  </si>
  <si>
    <t>C11-07#住宅</t>
    <phoneticPr fontId="205" type="noConversion"/>
  </si>
  <si>
    <t>联排别墅</t>
    <phoneticPr fontId="3" type="noConversion"/>
  </si>
  <si>
    <t>仓储</t>
    <phoneticPr fontId="3" type="noConversion"/>
  </si>
  <si>
    <t>工程进度</t>
  </si>
  <si>
    <t>刚出地面</t>
    <phoneticPr fontId="205" type="noConversion"/>
  </si>
  <si>
    <t>地上1层</t>
    <phoneticPr fontId="205" type="noConversion"/>
  </si>
  <si>
    <t>封顶</t>
    <phoneticPr fontId="205" type="noConversion"/>
  </si>
  <si>
    <t>部分</t>
    <phoneticPr fontId="205" type="noConversion"/>
  </si>
  <si>
    <t>估价对象周边居住用地比例较低，周边3公里内有潭墅苑、鲁新家园的住宅项目，综合评价居住社区成熟度较差。</t>
    <phoneticPr fontId="3" type="noConversion"/>
  </si>
  <si>
    <t>周边3公里内商业项目以住宅底商为主，人流量一般，商服繁华度较差。</t>
    <phoneticPr fontId="3" type="noConversion"/>
  </si>
  <si>
    <t>估价对象，周边办公楼项目较少，入驻率一般，办公集聚程度较差</t>
    <phoneticPr fontId="3" type="noConversion"/>
  </si>
  <si>
    <t>估价对象周边有银行、购物场所、餐饮等配套设施，基础设施水平较高；综合评价公用设施及基础设施水平较差。</t>
    <phoneticPr fontId="3" type="noConversion"/>
  </si>
  <si>
    <t>零星有其他用地，基本不影响本宗地</t>
  </si>
  <si>
    <t>多面临街</t>
  </si>
  <si>
    <t>城镇住宅、综合</t>
    <phoneticPr fontId="3" type="noConversion"/>
  </si>
  <si>
    <t>城镇住宅</t>
    <phoneticPr fontId="3" type="noConversion"/>
  </si>
  <si>
    <t>城镇住宅、商业、综合</t>
  </si>
  <si>
    <t>城镇住宅、商业、综合</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</si>
  <si>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</si>
  <si>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</si>
  <si>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</si>
  <si>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</si>
  <si>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</si>
  <si>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</si>
  <si>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</si>
  <si>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</si>
  <si>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</si>
  <si>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</si>
  <si>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</si>
  <si>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</si>
  <si>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</si>
  <si>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</si>
  <si>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</si>
  <si>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</si>
  <si>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</si>
  <si>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</si>
  <si>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</si>
  <si>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</si>
  <si>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</si>
  <si>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</si>
  <si>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r>
      <rPr>
        <sz val="11"/>
        <color indexed="8"/>
        <rFont val="宋体"/>
        <family val="3"/>
        <charset val="134"/>
      </rPr>
      <t>住宅</t>
    </r>
    <r>
      <rPr>
        <sz val="11"/>
        <color indexed="8"/>
        <rFont val="Arial"/>
        <family val="2"/>
      </rPr>
      <t>67.23</t>
    </r>
    <r>
      <rPr>
        <sz val="11"/>
        <color indexed="8"/>
        <rFont val="宋体"/>
        <family val="3"/>
        <charset val="134"/>
      </rPr>
      <t>年、仓储及地下车库</t>
    </r>
    <r>
      <rPr>
        <sz val="11"/>
        <color indexed="8"/>
        <rFont val="Arial"/>
        <family val="2"/>
      </rPr>
      <t>47.23</t>
    </r>
    <r>
      <rPr>
        <sz val="11"/>
        <color indexed="8"/>
        <rFont val="宋体"/>
        <family val="3"/>
        <charset val="134"/>
      </rPr>
      <t>年</t>
    </r>
    <phoneticPr fontId="45" type="noConversion"/>
  </si>
  <si>
    <t>住宅70年；综合50年；商业40年</t>
    <phoneticPr fontId="3" type="noConversion"/>
  </si>
  <si>
    <t>一般</t>
  </si>
  <si>
    <t>较好</t>
  </si>
  <si>
    <t>周边有银行、购物场所、餐饮等配套设施，公共服务设施齐备程度一般。</t>
    <phoneticPr fontId="3" type="noConversion"/>
  </si>
  <si>
    <t>支路</t>
  </si>
  <si>
    <t>较规则</t>
  </si>
  <si>
    <t>比例适宜</t>
  </si>
  <si>
    <t>三通</t>
  </si>
  <si>
    <t>周边1公里内已建成项目有惠润嘉园、正在建设项目有远洋新天地, 居住社区成熟度一般。</t>
  </si>
  <si>
    <t>周边有941、981路等公交线路经过，交通便捷度一般。</t>
  </si>
  <si>
    <t>周边有石门营公园、绿海森林公园，自然及人文环境一般。</t>
  </si>
  <si>
    <t>周边有银行、购物场所、餐饮等配套设施，公共服务设施齐备程度一般。</t>
  </si>
  <si>
    <t>六通</t>
  </si>
  <si>
    <t>临近潭柘寺景区、戒台寺景区，绿化率高，综合评价环境状况较好</t>
    <phoneticPr fontId="3" type="noConversion"/>
  </si>
  <si>
    <t>七通</t>
  </si>
  <si>
    <t>七通</t>
    <phoneticPr fontId="3" type="noConversion"/>
  </si>
  <si>
    <t>七通</t>
    <phoneticPr fontId="45" type="noConversion"/>
  </si>
  <si>
    <t>双面临街</t>
  </si>
  <si>
    <t>较差</t>
  </si>
  <si>
    <t>单面临街</t>
  </si>
  <si>
    <t>城市主干道——京昆路</t>
    <phoneticPr fontId="3" type="noConversion"/>
  </si>
  <si>
    <t>城市支路——泰安路</t>
    <phoneticPr fontId="3" type="noConversion"/>
  </si>
  <si>
    <r>
      <rPr>
        <sz val="11"/>
        <rFont val="宋体"/>
        <family val="3"/>
        <charset val="134"/>
      </rPr>
      <t>城市主干道</t>
    </r>
    <r>
      <rPr>
        <sz val="11"/>
        <rFont val="Arial"/>
        <family val="2"/>
      </rPr>
      <t>——</t>
    </r>
    <r>
      <rPr>
        <sz val="11"/>
        <rFont val="宋体"/>
        <family val="3"/>
        <charset val="134"/>
      </rPr>
      <t>京昆路</t>
    </r>
    <phoneticPr fontId="3" type="noConversion"/>
  </si>
  <si>
    <t>主干道</t>
  </si>
  <si>
    <t>城市次干道——石龙西路</t>
    <phoneticPr fontId="3" type="noConversion"/>
  </si>
  <si>
    <t>次干道</t>
  </si>
  <si>
    <t>不规则</t>
  </si>
  <si>
    <t>成交楼面价(除保障房)(元/㎡)</t>
  </si>
  <si>
    <t>门头沟区龙泉镇MC00-0003-0026等地块B1商业用地、F1住宅混合公建用地及A33基础教育用地(原门头沟区城子大街国有资源整合改造升级地块)</t>
  </si>
  <si>
    <t>2016-02-26</t>
  </si>
  <si>
    <t>北京泰达和信投资管理有限公司</t>
  </si>
  <si>
    <t>周边1公里内有蓝龙家园、绿岛家园等多个住宅项目, 居住社区成熟度较好。</t>
  </si>
  <si>
    <t>周边有滨河世纪广场公园、黑山公园、北京市门头沟区职业技术学校，自然及人文环境一般。</t>
  </si>
  <si>
    <t>城市支路——城子大街</t>
    <phoneticPr fontId="3" type="noConversion"/>
  </si>
  <si>
    <t>未包含在土地购买价格中</t>
  </si>
  <si>
    <t>已包含在土地取得成本中</t>
  </si>
  <si>
    <t>60-70（含）</t>
  </si>
  <si>
    <t>主</t>
    <phoneticPr fontId="3" type="noConversion"/>
  </si>
  <si>
    <t>次</t>
    <phoneticPr fontId="3" type="noConversion"/>
  </si>
  <si>
    <t>多层</t>
  </si>
  <si>
    <t>高层</t>
  </si>
  <si>
    <t>钢混</t>
  </si>
  <si>
    <t>精装修</t>
  </si>
  <si>
    <t>专业</t>
  </si>
  <si>
    <t>毛坯</t>
  </si>
  <si>
    <t>联排别墅</t>
  </si>
  <si>
    <t>周边1公里内有梧桐苑等住宅项目，居住社区成熟度一般。　　</t>
    <phoneticPr fontId="3" type="noConversion"/>
  </si>
  <si>
    <t>周边有890、941路等多条公交线路经过，交通便捷度较好。</t>
    <phoneticPr fontId="3" type="noConversion"/>
  </si>
  <si>
    <t>高速</t>
    <phoneticPr fontId="3" type="noConversion"/>
  </si>
  <si>
    <t>快速</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</si>
  <si>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</si>
  <si>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</si>
  <si>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</si>
  <si>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</si>
  <si>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</si>
  <si>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</si>
  <si>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</si>
  <si>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</si>
  <si>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</si>
  <si>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</si>
  <si>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</si>
  <si>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多层</t>
    <phoneticPr fontId="3" type="noConversion"/>
  </si>
  <si>
    <t>高层</t>
    <phoneticPr fontId="3" type="noConversion"/>
  </si>
  <si>
    <t>别墅</t>
  </si>
  <si>
    <t>住宅</t>
    <phoneticPr fontId="34" type="noConversion"/>
  </si>
  <si>
    <t>永定镇石龙西路与三石路交叉口向西200米南侧</t>
    <phoneticPr fontId="3" type="noConversion"/>
  </si>
  <si>
    <t>丽景长安</t>
    <phoneticPr fontId="3" type="noConversion"/>
  </si>
  <si>
    <t>周边1公里内有冯村嘉园、冯村新园等住宅项目，居住社区成熟度一般。</t>
  </si>
  <si>
    <t>周边有890、931路等多条公交线路经过，交通便捷度较好。</t>
  </si>
  <si>
    <t>周边分布多家银行、购物场所、餐饮等配套设施，公共服务设施齐备程度较好。</t>
  </si>
  <si>
    <t>　周边有绿海森林公园，自然及人文环境一般。</t>
  </si>
  <si>
    <t>七通</t>
    <phoneticPr fontId="34" type="noConversion"/>
  </si>
  <si>
    <t>道路级别</t>
    <phoneticPr fontId="34" type="noConversion"/>
  </si>
  <si>
    <t>别墅</t>
    <phoneticPr fontId="34" type="noConversion"/>
  </si>
  <si>
    <t>洋房</t>
    <phoneticPr fontId="34" type="noConversion"/>
  </si>
  <si>
    <t>华润西山墅</t>
    <phoneticPr fontId="3" type="noConversion"/>
  </si>
  <si>
    <t>长安街西沿线，距莲石路1.5公里，距阜石路1.8公里</t>
    <phoneticPr fontId="3" type="noConversion"/>
  </si>
  <si>
    <t>周边1公里内有信园、冯村新园等多个住宅项目，居住社区成熟度较好。</t>
    <phoneticPr fontId="34" type="noConversion"/>
  </si>
  <si>
    <t>西山燕庐</t>
    <phoneticPr fontId="3" type="noConversion"/>
  </si>
  <si>
    <t>永定镇长安街西延线南约500米</t>
    <phoneticPr fontId="3" type="noConversion"/>
  </si>
  <si>
    <t>支路</t>
    <phoneticPr fontId="34" type="noConversion"/>
  </si>
  <si>
    <r>
      <rPr>
        <sz val="11"/>
        <rFont val="宋体"/>
        <family val="3"/>
        <charset val="134"/>
      </rPr>
      <t>周边有</t>
    </r>
    <r>
      <rPr>
        <sz val="11"/>
        <rFont val="Arial"/>
        <family val="2"/>
      </rPr>
      <t>336</t>
    </r>
    <r>
      <rPr>
        <sz val="11"/>
        <rFont val="宋体"/>
        <family val="3"/>
        <charset val="134"/>
      </rPr>
      <t>、</t>
    </r>
    <r>
      <rPr>
        <sz val="11"/>
        <rFont val="Arial"/>
        <family val="2"/>
      </rPr>
      <t>890</t>
    </r>
    <r>
      <rPr>
        <sz val="11"/>
        <rFont val="宋体"/>
        <family val="3"/>
        <charset val="134"/>
      </rPr>
      <t>、</t>
    </r>
    <r>
      <rPr>
        <sz val="11"/>
        <rFont val="Arial"/>
        <family val="2"/>
      </rPr>
      <t>941</t>
    </r>
    <r>
      <rPr>
        <sz val="11"/>
        <rFont val="宋体"/>
        <family val="3"/>
        <charset val="134"/>
      </rPr>
      <t>路等多条公交线路经过，交通便捷度一般。</t>
    </r>
    <phoneticPr fontId="45" type="noConversion"/>
  </si>
  <si>
    <t>估价对象周边道路密集度一般、周边有931、948路等公交线路经过，停车便捷程度较好，综合评价交通便捷度较差。</t>
    <phoneticPr fontId="3" type="noConversion"/>
  </si>
  <si>
    <t>翡翠长安</t>
    <phoneticPr fontId="3" type="noConversion"/>
  </si>
  <si>
    <t>西长安新城长安街西延线南侧</t>
    <phoneticPr fontId="3" type="noConversion"/>
  </si>
  <si>
    <t>泷悦长安</t>
    <phoneticPr fontId="3" type="noConversion"/>
  </si>
  <si>
    <t>永定镇长安街西延线南约400米</t>
    <phoneticPr fontId="3" type="noConversion"/>
  </si>
  <si>
    <t>次</t>
    <phoneticPr fontId="3" type="noConversion"/>
  </si>
  <si>
    <t>收益法车</t>
  </si>
  <si>
    <t>收益法车</t>
    <phoneticPr fontId="17" type="noConversion"/>
  </si>
  <si>
    <t>收益法仓</t>
  </si>
  <si>
    <t>收益法仓</t>
    <phoneticPr fontId="17" type="noConversion"/>
  </si>
  <si>
    <t>成本法</t>
  </si>
  <si>
    <t>假设开发法</t>
  </si>
  <si>
    <t>成本比率</t>
  </si>
  <si>
    <t>北京市北京市门头沟区潭柘寺MC01-0003-6004地块C3出让国有建设用地使用权及在建建筑物房地产</t>
  </si>
  <si>
    <t>北京市北京市门头沟区潭柘寺MC01-0003-6004地块C5出让国有建设用地使用权及在建建筑物房地产</t>
    <phoneticPr fontId="205" type="noConversion"/>
  </si>
  <si>
    <t>北京市门头沟区潭柘寺MC01-0003-6004地块C8出让国有建设用地使用权及在建建筑物房地产</t>
  </si>
  <si>
    <t>北京市门头沟区潭柘寺MC01-0003-6004地块C11出让国有建设用地使用权及在建建筑物房地产</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</si>
</sst>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130" fillId="0" borderId="0" applyFont="0" applyFill="0" applyBorder="0" applyAlignment="0" applyProtection="0">
      <alignment vertical="center"/>
    </xf>
  </cellStyleXfs>
  <cellXfs count="384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5" borderId="0" xfId="0" applyFill="1" applyAlignment="1"/>
    <xf numFmtId="0" fontId="27" fillId="7" borderId="151" xfId="0" applyFont="1" applyFill="1" applyBorder="1" applyAlignment="1" applyProtection="1">
      <alignment horizontal="left" vertical="center"/>
      <protection locked="0"/>
    </xf>
    <xf numFmtId="176" fontId="11" fillId="8" borderId="1" xfId="0" applyNumberFormat="1" applyFont="1" applyFill="1" applyBorder="1" applyAlignment="1" applyProtection="1">
      <alignment vertical="center" wrapText="1"/>
      <protection locked="0"/>
    </xf>
    <xf numFmtId="0" fontId="153" fillId="0" borderId="0" xfId="1" applyFont="1" applyAlignment="1">
      <alignment horizontal="center" vertical="center"/>
    </xf>
    <xf numFmtId="179" fontId="151" fillId="0" borderId="13" xfId="1" applyNumberFormat="1" applyFont="1" applyBorder="1" applyAlignment="1">
      <alignment horizontal="center" vertical="center"/>
    </xf>
    <xf numFmtId="0" fontId="153" fillId="0" borderId="13" xfId="1" applyFont="1" applyBorder="1" applyAlignment="1">
      <alignment horizontal="center" vertical="center"/>
    </xf>
    <xf numFmtId="0" fontId="153" fillId="0" borderId="13" xfId="1" applyNumberFormat="1" applyFont="1" applyBorder="1" applyAlignment="1">
      <alignment horizontal="center" vertical="center" wrapText="1"/>
    </xf>
    <xf numFmtId="179" fontId="153" fillId="0" borderId="13" xfId="1" applyNumberFormat="1" applyFont="1" applyBorder="1" applyAlignment="1">
      <alignment horizontal="center" vertical="center"/>
    </xf>
    <xf numFmtId="179" fontId="140" fillId="0" borderId="13" xfId="1" applyNumberFormat="1" applyFont="1" applyBorder="1" applyAlignment="1">
      <alignment horizontal="center" vertical="center" wrapText="1"/>
    </xf>
    <xf numFmtId="0" fontId="153" fillId="0" borderId="1" xfId="1" applyFont="1" applyBorder="1" applyAlignment="1">
      <alignment horizontal="center" vertical="center"/>
    </xf>
    <xf numFmtId="0" fontId="151" fillId="16" borderId="1" xfId="1" applyFont="1" applyFill="1" applyBorder="1" applyAlignment="1">
      <alignment horizontal="center" vertical="center"/>
    </xf>
    <xf numFmtId="179" fontId="151" fillId="16" borderId="1" xfId="1" applyNumberFormat="1" applyFont="1" applyFill="1" applyBorder="1" applyAlignment="1">
      <alignment horizontal="center" vertical="center"/>
    </xf>
    <xf numFmtId="0" fontId="153" fillId="16" borderId="1" xfId="1" applyFont="1" applyFill="1" applyBorder="1" applyAlignment="1">
      <alignment horizontal="center" vertical="center"/>
    </xf>
    <xf numFmtId="0" fontId="140" fillId="16" borderId="1" xfId="1" applyFont="1" applyFill="1" applyBorder="1" applyAlignment="1">
      <alignment horizontal="center" vertical="center"/>
    </xf>
    <xf numFmtId="9" fontId="153" fillId="16" borderId="1" xfId="13" applyFont="1" applyFill="1" applyBorder="1" applyAlignment="1">
      <alignment horizontal="center" vertical="center"/>
    </xf>
    <xf numFmtId="0" fontId="153" fillId="16" borderId="0" xfId="1" applyFont="1" applyFill="1" applyAlignment="1">
      <alignment horizontal="center" vertical="center"/>
    </xf>
    <xf numFmtId="181" fontId="153" fillId="16" borderId="0" xfId="13" applyNumberFormat="1" applyFont="1" applyFill="1" applyAlignment="1">
      <alignment horizontal="center" vertical="center"/>
    </xf>
    <xf numFmtId="9" fontId="153" fillId="16" borderId="0" xfId="13" applyFont="1" applyFill="1" applyAlignment="1">
      <alignment horizontal="center" vertical="center"/>
    </xf>
    <xf numFmtId="0" fontId="211" fillId="16" borderId="1" xfId="1" applyFont="1" applyFill="1" applyBorder="1" applyAlignment="1">
      <alignment horizontal="center" vertical="center"/>
    </xf>
    <xf numFmtId="179" fontId="211" fillId="16" borderId="1" xfId="1" applyNumberFormat="1" applyFont="1" applyFill="1" applyBorder="1" applyAlignment="1">
      <alignment horizontal="center" vertical="center"/>
    </xf>
    <xf numFmtId="0" fontId="151" fillId="16" borderId="1" xfId="1" applyFont="1" applyFill="1" applyBorder="1" applyAlignment="1">
      <alignment horizontal="center" vertical="center" wrapText="1"/>
    </xf>
    <xf numFmtId="0" fontId="153" fillId="0" borderId="1" xfId="1" applyFont="1" applyFill="1" applyBorder="1" applyAlignment="1">
      <alignment horizontal="center" vertical="center"/>
    </xf>
    <xf numFmtId="0" fontId="130" fillId="0" borderId="0" xfId="10">
      <alignment vertical="center"/>
    </xf>
    <xf numFmtId="179" fontId="130" fillId="0" borderId="0" xfId="10" applyNumberFormat="1">
      <alignment vertical="center"/>
    </xf>
    <xf numFmtId="179" fontId="153" fillId="0" borderId="13" xfId="1" applyNumberFormat="1" applyFont="1" applyBorder="1" applyAlignment="1">
      <alignment horizontal="center" vertical="center" wrapText="1"/>
    </xf>
    <xf numFmtId="0" fontId="151" fillId="10" borderId="1" xfId="1" applyFont="1" applyFill="1" applyBorder="1" applyAlignment="1">
      <alignment horizontal="center" vertical="center"/>
    </xf>
    <xf numFmtId="179" fontId="151" fillId="10" borderId="1" xfId="1" applyNumberFormat="1" applyFont="1" applyFill="1" applyBorder="1" applyAlignment="1">
      <alignment horizontal="center" vertical="center"/>
    </xf>
    <xf numFmtId="0" fontId="153" fillId="10" borderId="1" xfId="1" applyFont="1" applyFill="1" applyBorder="1" applyAlignment="1">
      <alignment horizontal="center" vertical="center"/>
    </xf>
    <xf numFmtId="0" fontId="153" fillId="10" borderId="0" xfId="1" applyFont="1" applyFill="1" applyAlignment="1">
      <alignment horizontal="center" vertical="center"/>
    </xf>
    <xf numFmtId="0" fontId="140" fillId="10" borderId="1" xfId="1" applyFont="1" applyFill="1" applyBorder="1" applyAlignment="1">
      <alignment horizontal="center" vertical="center"/>
    </xf>
    <xf numFmtId="0" fontId="211" fillId="10" borderId="1" xfId="1" applyFont="1" applyFill="1" applyBorder="1" applyAlignment="1">
      <alignment horizontal="center" vertical="center"/>
    </xf>
    <xf numFmtId="0" fontId="140" fillId="0" borderId="13" xfId="1" applyNumberFormat="1" applyFont="1" applyBorder="1" applyAlignment="1">
      <alignment horizontal="center" vertical="center" wrapText="1"/>
    </xf>
    <xf numFmtId="0" fontId="151" fillId="17" borderId="1" xfId="1" applyFont="1" applyFill="1" applyBorder="1" applyAlignment="1">
      <alignment horizontal="center" vertical="center"/>
    </xf>
    <xf numFmtId="179" fontId="151" fillId="17" borderId="1" xfId="1" applyNumberFormat="1" applyFont="1" applyFill="1" applyBorder="1" applyAlignment="1">
      <alignment horizontal="center" vertical="center"/>
    </xf>
    <xf numFmtId="0" fontId="153" fillId="17" borderId="1" xfId="1" applyFont="1" applyFill="1" applyBorder="1" applyAlignment="1">
      <alignment horizontal="center" vertical="center"/>
    </xf>
    <xf numFmtId="0" fontId="140" fillId="17" borderId="1" xfId="1" applyFont="1" applyFill="1" applyBorder="1" applyAlignment="1">
      <alignment horizontal="center" vertical="center"/>
    </xf>
    <xf numFmtId="0" fontId="153" fillId="17" borderId="0" xfId="1" applyFont="1" applyFill="1" applyAlignment="1">
      <alignment horizontal="center" vertical="center"/>
    </xf>
    <xf numFmtId="0" fontId="211" fillId="17" borderId="1" xfId="1" applyFont="1" applyFill="1" applyBorder="1" applyAlignment="1">
      <alignment horizontal="center" vertical="center"/>
    </xf>
    <xf numFmtId="179" fontId="211" fillId="17" borderId="1" xfId="1" applyNumberFormat="1" applyFont="1" applyFill="1" applyBorder="1" applyAlignment="1">
      <alignment horizontal="center" vertical="center"/>
    </xf>
    <xf numFmtId="0" fontId="151" fillId="18" borderId="1" xfId="1" applyFont="1" applyFill="1" applyBorder="1" applyAlignment="1">
      <alignment horizontal="center" vertical="center"/>
    </xf>
    <xf numFmtId="179" fontId="151" fillId="18" borderId="1" xfId="1" applyNumberFormat="1" applyFont="1" applyFill="1" applyBorder="1" applyAlignment="1">
      <alignment horizontal="center" vertical="center"/>
    </xf>
    <xf numFmtId="0" fontId="153" fillId="18" borderId="1" xfId="1" applyFont="1" applyFill="1" applyBorder="1" applyAlignment="1">
      <alignment horizontal="center" vertical="center"/>
    </xf>
    <xf numFmtId="0" fontId="140" fillId="18" borderId="1" xfId="1" applyFont="1" applyFill="1" applyBorder="1" applyAlignment="1">
      <alignment horizontal="center" vertical="center"/>
    </xf>
    <xf numFmtId="0" fontId="153" fillId="18" borderId="0" xfId="1" applyFont="1" applyFill="1" applyAlignment="1">
      <alignment horizontal="center" vertical="center"/>
    </xf>
    <xf numFmtId="0" fontId="153" fillId="5" borderId="1" xfId="1" applyFont="1" applyFill="1" applyBorder="1" applyAlignment="1">
      <alignment horizontal="center" vertical="center"/>
    </xf>
    <xf numFmtId="179" fontId="211" fillId="18" borderId="1" xfId="1" applyNumberFormat="1" applyFont="1" applyFill="1" applyBorder="1" applyAlignment="1">
      <alignment horizontal="center" vertical="center"/>
    </xf>
    <xf numFmtId="0" fontId="211" fillId="18" borderId="1" xfId="1" applyFont="1" applyFill="1" applyBorder="1" applyAlignment="1">
      <alignment horizontal="center" vertical="center"/>
    </xf>
    <xf numFmtId="179" fontId="71" fillId="0" borderId="23" xfId="0" applyNumberFormat="1" applyFont="1" applyBorder="1" applyAlignment="1" applyProtection="1">
      <alignment horizontal="center" vertical="center"/>
      <protection locked="0"/>
    </xf>
    <xf numFmtId="10" fontId="71" fillId="0" borderId="61" xfId="0" applyNumberFormat="1" applyFont="1" applyFill="1" applyBorder="1" applyAlignment="1" applyProtection="1">
      <alignment horizontal="center" vertical="center"/>
      <protection locked="0"/>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25" fillId="0" borderId="13" xfId="0" applyNumberFormat="1" applyFont="1" applyFill="1" applyBorder="1" applyAlignment="1" applyProtection="1">
      <alignment horizontal="center" vertical="center" wrapText="1"/>
      <protection locked="0"/>
    </xf>
    <xf numFmtId="0" fontId="30" fillId="0" borderId="78" xfId="0" applyNumberFormat="1" applyFont="1" applyFill="1" applyBorder="1" applyAlignment="1" applyProtection="1">
      <alignment horizontal="center" vertical="center" wrapText="1"/>
      <protection locked="0"/>
    </xf>
    <xf numFmtId="0" fontId="25"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68" fillId="6" borderId="1" xfId="0" applyFont="1" applyFill="1" applyBorder="1" applyAlignment="1" applyProtection="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51" fillId="0" borderId="13" xfId="1" applyFont="1" applyBorder="1" applyAlignment="1">
      <alignment horizontal="center" vertical="center" wrapText="1"/>
    </xf>
    <xf numFmtId="0" fontId="151" fillId="0" borderId="15" xfId="1" applyFont="1" applyBorder="1" applyAlignment="1">
      <alignment horizontal="center" vertical="center" wrapText="1"/>
    </xf>
    <xf numFmtId="0" fontId="151" fillId="0" borderId="5" xfId="1" applyFont="1" applyBorder="1" applyAlignment="1">
      <alignment horizontal="center" vertical="center"/>
    </xf>
    <xf numFmtId="0" fontId="151" fillId="0" borderId="54" xfId="1" applyFont="1" applyBorder="1" applyAlignment="1">
      <alignment horizontal="center" vertical="center"/>
    </xf>
    <xf numFmtId="0" fontId="151" fillId="0" borderId="13" xfId="1" applyFont="1" applyBorder="1" applyAlignment="1">
      <alignment horizontal="center" vertical="center"/>
    </xf>
    <xf numFmtId="0" fontId="151" fillId="0" borderId="15" xfId="1" applyFont="1" applyBorder="1" applyAlignment="1">
      <alignment horizontal="center" vertical="center"/>
    </xf>
    <xf numFmtId="179" fontId="151" fillId="0" borderId="5" xfId="1" applyNumberFormat="1" applyFont="1" applyBorder="1" applyAlignment="1">
      <alignment horizontal="center" vertical="center"/>
    </xf>
    <xf numFmtId="179" fontId="151" fillId="0" borderId="54" xfId="1" applyNumberFormat="1" applyFont="1" applyBorder="1" applyAlignment="1">
      <alignment horizontal="center" vertical="center"/>
    </xf>
    <xf numFmtId="0" fontId="151" fillId="0" borderId="1" xfId="1" applyFont="1" applyBorder="1" applyAlignment="1">
      <alignment horizontal="center" vertical="center"/>
    </xf>
    <xf numFmtId="49" fontId="153" fillId="18" borderId="13" xfId="1" applyNumberFormat="1" applyFont="1" applyFill="1" applyBorder="1" applyAlignment="1">
      <alignment horizontal="center" vertical="center" wrapText="1"/>
    </xf>
    <xf numFmtId="49" fontId="153" fillId="18" borderId="15" xfId="1" applyNumberFormat="1" applyFont="1" applyFill="1" applyBorder="1" applyAlignment="1">
      <alignment horizontal="center" vertical="center" wrapText="1"/>
    </xf>
    <xf numFmtId="49" fontId="153" fillId="18" borderId="2" xfId="1" applyNumberFormat="1" applyFont="1" applyFill="1" applyBorder="1" applyAlignment="1">
      <alignment horizontal="center" vertical="center" wrapText="1"/>
    </xf>
    <xf numFmtId="49" fontId="153" fillId="18" borderId="1" xfId="1" applyNumberFormat="1" applyFont="1" applyFill="1" applyBorder="1" applyAlignment="1">
      <alignment horizontal="center" vertical="center"/>
    </xf>
    <xf numFmtId="49" fontId="153" fillId="18" borderId="1" xfId="1" applyNumberFormat="1" applyFont="1" applyFill="1" applyBorder="1" applyAlignment="1">
      <alignment horizontal="center" vertical="center" wrapText="1"/>
    </xf>
    <xf numFmtId="2" fontId="153" fillId="8" borderId="1" xfId="1" applyNumberFormat="1" applyFont="1" applyFill="1" applyBorder="1" applyAlignment="1">
      <alignment horizontal="center" vertical="center"/>
    </xf>
    <xf numFmtId="0" fontId="153" fillId="8" borderId="1" xfId="1" applyNumberFormat="1" applyFont="1" applyFill="1" applyBorder="1" applyAlignment="1">
      <alignment horizontal="center" vertical="center"/>
    </xf>
    <xf numFmtId="49" fontId="153" fillId="17" borderId="13" xfId="1" applyNumberFormat="1" applyFont="1" applyFill="1" applyBorder="1" applyAlignment="1">
      <alignment horizontal="center" vertical="center" wrapText="1"/>
    </xf>
    <xf numFmtId="49" fontId="153" fillId="17" borderId="15" xfId="1" applyNumberFormat="1" applyFont="1" applyFill="1" applyBorder="1" applyAlignment="1">
      <alignment horizontal="center" vertical="center" wrapText="1"/>
    </xf>
    <xf numFmtId="49" fontId="153" fillId="17" borderId="2" xfId="1" applyNumberFormat="1" applyFont="1" applyFill="1" applyBorder="1" applyAlignment="1">
      <alignment horizontal="center" vertical="center" wrapText="1"/>
    </xf>
    <xf numFmtId="49" fontId="153" fillId="17" borderId="1" xfId="1" applyNumberFormat="1" applyFont="1" applyFill="1" applyBorder="1" applyAlignment="1">
      <alignment horizontal="center" vertical="center"/>
    </xf>
    <xf numFmtId="49" fontId="153" fillId="17" borderId="1" xfId="1" applyNumberFormat="1" applyFont="1" applyFill="1" applyBorder="1" applyAlignment="1">
      <alignment horizontal="center" vertical="center" wrapText="1"/>
    </xf>
    <xf numFmtId="2" fontId="153" fillId="17" borderId="1" xfId="1" applyNumberFormat="1" applyFont="1" applyFill="1" applyBorder="1" applyAlignment="1">
      <alignment horizontal="center" vertical="center"/>
    </xf>
    <xf numFmtId="0" fontId="153" fillId="17" borderId="1" xfId="1" applyNumberFormat="1" applyFont="1" applyFill="1" applyBorder="1" applyAlignment="1">
      <alignment horizontal="center" vertical="center"/>
    </xf>
    <xf numFmtId="0" fontId="151" fillId="0" borderId="1" xfId="1" applyFont="1" applyBorder="1" applyAlignment="1">
      <alignment horizontal="center" vertical="center" wrapText="1"/>
    </xf>
    <xf numFmtId="0" fontId="151" fillId="0" borderId="2" xfId="1" applyFont="1" applyBorder="1" applyAlignment="1">
      <alignment horizontal="center" vertical="center" wrapText="1"/>
    </xf>
    <xf numFmtId="0" fontId="134" fillId="10" borderId="13" xfId="10" applyFont="1" applyFill="1" applyBorder="1" applyAlignment="1">
      <alignment horizontal="center" vertical="center"/>
    </xf>
    <xf numFmtId="0" fontId="134" fillId="10" borderId="15" xfId="10" applyFont="1" applyFill="1" applyBorder="1" applyAlignment="1">
      <alignment horizontal="center" vertical="center"/>
    </xf>
    <xf numFmtId="0" fontId="134" fillId="10" borderId="2" xfId="10" applyFont="1" applyFill="1" applyBorder="1" applyAlignment="1">
      <alignment horizontal="center" vertical="center"/>
    </xf>
    <xf numFmtId="49" fontId="153" fillId="10" borderId="13" xfId="10" applyNumberFormat="1" applyFont="1" applyFill="1" applyBorder="1" applyAlignment="1">
      <alignment horizontal="center" vertical="center"/>
    </xf>
    <xf numFmtId="49" fontId="153" fillId="10" borderId="15" xfId="10" applyNumberFormat="1" applyFont="1" applyFill="1" applyBorder="1" applyAlignment="1">
      <alignment horizontal="center" vertical="center"/>
    </xf>
    <xf numFmtId="49" fontId="153" fillId="10" borderId="2" xfId="10" applyNumberFormat="1" applyFont="1" applyFill="1" applyBorder="1" applyAlignment="1">
      <alignment horizontal="center" vertical="center"/>
    </xf>
    <xf numFmtId="0" fontId="153" fillId="10" borderId="13" xfId="10" applyFont="1" applyFill="1" applyBorder="1" applyAlignment="1">
      <alignment horizontal="center" vertical="center" wrapText="1"/>
    </xf>
    <xf numFmtId="0" fontId="153" fillId="10" borderId="15" xfId="10" applyFont="1" applyFill="1" applyBorder="1" applyAlignment="1">
      <alignment horizontal="center" vertical="center" wrapText="1"/>
    </xf>
    <xf numFmtId="0" fontId="153" fillId="10" borderId="2" xfId="10" applyFont="1" applyFill="1" applyBorder="1" applyAlignment="1">
      <alignment horizontal="center" vertical="center" wrapText="1"/>
    </xf>
    <xf numFmtId="0" fontId="153" fillId="10" borderId="13" xfId="10" applyFont="1" applyFill="1" applyBorder="1" applyAlignment="1">
      <alignment horizontal="center" vertical="center"/>
    </xf>
    <xf numFmtId="0" fontId="153" fillId="10" borderId="15" xfId="10" applyFont="1" applyFill="1" applyBorder="1" applyAlignment="1">
      <alignment horizontal="center" vertical="center"/>
    </xf>
    <xf numFmtId="0" fontId="153" fillId="10" borderId="2" xfId="10" applyFont="1" applyFill="1" applyBorder="1" applyAlignment="1">
      <alignment horizontal="center" vertical="center"/>
    </xf>
    <xf numFmtId="49" fontId="153" fillId="16" borderId="1" xfId="1" applyNumberFormat="1" applyFont="1" applyFill="1" applyBorder="1" applyAlignment="1">
      <alignment horizontal="center" vertical="center"/>
    </xf>
    <xf numFmtId="49" fontId="153" fillId="16" borderId="1" xfId="1" applyNumberFormat="1" applyFont="1" applyFill="1" applyBorder="1" applyAlignment="1">
      <alignment horizontal="center" vertical="center" wrapText="1"/>
    </xf>
    <xf numFmtId="2" fontId="153" fillId="16" borderId="1" xfId="1" applyNumberFormat="1" applyFont="1" applyFill="1" applyBorder="1" applyAlignment="1">
      <alignment horizontal="center" vertical="center"/>
    </xf>
    <xf numFmtId="0" fontId="153" fillId="16" borderId="1" xfId="1" applyNumberFormat="1" applyFont="1" applyFill="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2"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376;&#22836;&#27807;&#28525;&#26584;&#23546;2016/&#23545;&#20844;&#20107;&#19994;&#37096;&#8212;&#30005;&#31639;&#34920;-&#25151;&#22320;&#20135;-&#28525;&#26584;&#23546;C3&#22320;&#22359;1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8525;&#26584;&#23546;C5&#22320;&#22359;8.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8525;&#26584;&#23546;C8&#22320;&#22359;8.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8525;&#26584;&#23546;C11&#22320;&#22359;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row r="4">
          <cell r="E4" t="str">
            <v>C3-01#住宅</v>
          </cell>
        </row>
        <row r="5">
          <cell r="E5" t="str">
            <v>C3-02#住宅</v>
          </cell>
        </row>
        <row r="6">
          <cell r="E6" t="str">
            <v>C3-03#住宅</v>
          </cell>
        </row>
        <row r="7">
          <cell r="E7" t="str">
            <v>C3-04#住宅</v>
          </cell>
        </row>
        <row r="8">
          <cell r="E8" t="str">
            <v>C3-05#住宅</v>
          </cell>
        </row>
        <row r="9">
          <cell r="E9" t="str">
            <v>C3-06#住宅</v>
          </cell>
        </row>
        <row r="10">
          <cell r="E10" t="str">
            <v>C3-07#住宅</v>
          </cell>
        </row>
        <row r="11">
          <cell r="E11" t="str">
            <v>C3-08#住宅</v>
          </cell>
        </row>
        <row r="12">
          <cell r="E12" t="str">
            <v>C3-09#住宅</v>
          </cell>
        </row>
        <row r="13">
          <cell r="E13" t="str">
            <v>C3-10#住宅</v>
          </cell>
        </row>
        <row r="14">
          <cell r="E14" t="str">
            <v>C3-11#住宅</v>
          </cell>
        </row>
        <row r="15">
          <cell r="E15" t="str">
            <v>C3-12#住宅</v>
          </cell>
        </row>
        <row r="16">
          <cell r="E16" t="str">
            <v>C3-13#住宅</v>
          </cell>
        </row>
        <row r="18">
          <cell r="E18" t="str">
            <v>C3-14#居住公共服务设施（物业服务用房）</v>
          </cell>
        </row>
        <row r="19">
          <cell r="E19" t="str">
            <v>C3-15#配电室</v>
          </cell>
        </row>
        <row r="20">
          <cell r="E20" t="str">
            <v>C3-A#车库</v>
          </cell>
        </row>
        <row r="21">
          <cell r="E21" t="str">
            <v>C3-B#车库</v>
          </cell>
        </row>
        <row r="22">
          <cell r="E22" t="str">
            <v>C3-C#车库</v>
          </cell>
        </row>
      </sheetData>
      <sheetData sheetId="14">
        <row r="5">
          <cell r="I5">
            <v>33969.820000000007</v>
          </cell>
          <cell r="K5">
            <v>8554.24</v>
          </cell>
          <cell r="M5">
            <v>2611.2199999999998</v>
          </cell>
          <cell r="O5">
            <v>5952.24</v>
          </cell>
        </row>
      </sheetData>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6">
          <cell r="A6" t="str">
            <v>洋房</v>
          </cell>
        </row>
        <row r="7">
          <cell r="A7" t="str">
            <v>联排别墅</v>
          </cell>
        </row>
        <row r="8">
          <cell r="A8" t="str">
            <v>地下车库</v>
          </cell>
        </row>
        <row r="9">
          <cell r="A9" t="str">
            <v>仓储</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面积表"/>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34476.800000000003</v>
          </cell>
          <cell r="E3">
            <v>70889.859999999986</v>
          </cell>
        </row>
      </sheetData>
      <sheetData sheetId="14"/>
      <sheetData sheetId="15"/>
      <sheetData sheetId="16"/>
      <sheetData sheetId="17">
        <row r="19">
          <cell r="G19">
            <v>125556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面积表"/>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比较法-别墅"/>
      <sheetName val="收益法办"/>
      <sheetName val="收益法商"/>
      <sheetName val="收益法下商"/>
      <sheetName val="收益法车"/>
      <sheetName val="收益法仓"/>
      <sheetName val="地价"/>
      <sheetName val="典型户型修正"/>
      <sheetName val="成本法（废）"/>
      <sheetName val="区片价"/>
      <sheetName val="因素修正幅度"/>
      <sheetName val="存贷款利率"/>
      <sheetName val="区片价（范围）"/>
      <sheetName val="土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E3">
            <v>28315.590000000004</v>
          </cell>
        </row>
      </sheetData>
      <sheetData sheetId="15"/>
      <sheetData sheetId="16"/>
      <sheetData sheetId="17"/>
      <sheetData sheetId="18">
        <row r="118">
          <cell r="H118">
            <v>42513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面积表"/>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11231.34</v>
          </cell>
          <cell r="E3">
            <v>25011.999999999996</v>
          </cell>
        </row>
      </sheetData>
      <sheetData sheetId="14"/>
      <sheetData sheetId="15"/>
      <sheetData sheetId="16"/>
      <sheetData sheetId="17">
        <row r="19">
          <cell r="G19">
            <v>45154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2795</v>
      </c>
      <c r="B1" s="3051" t="s">
        <v>2884</v>
      </c>
    </row>
    <row r="2" spans="1:2" s="3056" customFormat="1" ht="15" thickTop="1">
      <c r="A2" s="3054" t="s">
        <v>2796</v>
      </c>
      <c r="B2" s="3055" t="str">
        <f>'预评函-封皮'!B37:I37</f>
        <v>北京市北京市门头沟区潭柘寺MC01-0003-6004地块C3出让国有建设用地使用权及在建建筑物房地产抵押价值预评估</v>
      </c>
    </row>
    <row r="3" spans="1:2" s="3059" customFormat="1">
      <c r="A3" s="3057" t="s">
        <v>2797</v>
      </c>
      <c r="B3" s="3058" t="str">
        <f>'预评函-封皮'!B40</f>
        <v>北京京投灜德置业有限公司</v>
      </c>
    </row>
    <row r="4" spans="1:2" s="3059" customFormat="1">
      <c r="A4" s="3057" t="s">
        <v>2798</v>
      </c>
      <c r="B4" s="3058" t="str">
        <f ca="1">'预评函-封皮'!B46</f>
        <v>梁津（注册号：1119970066)、欧红伟（注册号：1120000080)</v>
      </c>
    </row>
    <row r="5" spans="1:2" s="3053" customFormat="1" ht="15" thickBot="1">
      <c r="A5" s="3060" t="s">
        <v>2799</v>
      </c>
      <c r="B5" s="3061" t="str">
        <f>'预评函-封皮'!B49</f>
        <v>康正预评字号</v>
      </c>
    </row>
    <row r="6" spans="1:2" s="3056" customFormat="1" ht="15" thickTop="1">
      <c r="A6" s="3054" t="s">
        <v>2800</v>
      </c>
      <c r="B6" s="3055" t="str">
        <f>'预评函-1'!A4</f>
        <v>受贵公司委托，我公司对北京市北京市门头沟区潭柘寺MC01-0003-6004地块C3出让国有建设用地使用权及在建建筑物房地产抵押价值进行了预评估。</v>
      </c>
    </row>
    <row r="7" spans="1:2" s="3059" customFormat="1">
      <c r="A7" s="3057" t="s">
        <v>2840</v>
      </c>
      <c r="B7" s="3058" t="str">
        <f>'预评函-1'!A7</f>
        <v>估价对象为北京市北京市门头沟区潭柘寺MC01-0003-6004地块C3出让国有建设用地使用权及在建建筑物房地产，为所有。根据《国有土地使用证》[]，估价对象（分摊）出让国有建设用地使用权面积为27526.28平方米，建筑面积为54996.8平方米。</v>
      </c>
    </row>
    <row r="8" spans="1:2" s="3059" customFormat="1">
      <c r="A8" s="3057" t="s">
        <v>2841</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2842</v>
      </c>
      <c r="B9" s="3058" t="str">
        <f>'预评函-1'!A10</f>
        <v>估价对象为北京市北京市门头沟区潭柘寺MC01-0003-6004地块C3出让国有建设用地使用权及在建建筑物房地产,属开发建设的综合项目（居住、综合），该项目尚在开发建设中。根据《国有土地使用证》[]，估价对象（分摊）出让国有建设用地使用权面积为27526.28平方米，规划建筑面积为54996.8平方米。</v>
      </c>
    </row>
    <row r="10" spans="1:2" s="3059" customFormat="1">
      <c r="A10" s="3057" t="s">
        <v>2843</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2801</v>
      </c>
      <c r="B11" s="3058" t="str">
        <f>'预评函-1'!A13</f>
        <v>为估价委托人在向中国工商银行股份有限公司北京珠市口支行办理贷款手续过程中，确定房地产抵押贷款额度提供参考依据而评估房地产抵押价值。</v>
      </c>
    </row>
    <row r="12" spans="1:2" s="3059" customFormat="1">
      <c r="A12" s="3057" t="s">
        <v>2802</v>
      </c>
      <c r="B12" s="3058" t="str">
        <f>'预评函-1'!A15</f>
        <v>2017年8月28日（评估专业人员实地查勘之日）</v>
      </c>
    </row>
    <row r="13" spans="1:2" s="3059" customFormat="1">
      <c r="A13" s="3057" t="s">
        <v>2803</v>
      </c>
      <c r="B13" s="3058" t="str">
        <f>'预评函-1'!A18</f>
        <v>本次估价的“房地产价值”是指在正常市场情况下，在价值时点2017年8月28日，估价对象规划用途为住宅、仓储、地下车库，土地取得方式为出让，出让国有建设用地使用权剩余土地使用年限为住宅67.23年、仓储及地下车库47.23年，假定未设立法定优先受偿款下的房地产市场价值。</v>
      </c>
    </row>
    <row r="14" spans="1:2" s="3059" customFormat="1">
      <c r="A14" s="3057" t="s">
        <v>2804</v>
      </c>
      <c r="B14" s="3058" t="str">
        <f>'预评函-1'!A19</f>
        <v>其中，“出让国有建设用地使用权价值”是指估价对象用途为住宅、仓储、地下车库，实际开发程度为宗地红线外“七通”（即通路、通电、通上水、通下水、通讯、燃气、）、红线内场地平整条件下，剩余土地使用年限为住宅67.23年、仓储及地下车库47.23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2805</v>
      </c>
      <c r="B15" s="3058" t="str">
        <f>'预评函-1'!A20</f>
        <v>本次估价的“房地产抵押价值”是指估价对象在价值时点的“房地产价值”扣减估价师于价值时点所知悉的法定优先受偿款后的余额。</v>
      </c>
    </row>
    <row r="16" spans="1:2" s="3059" customFormat="1">
      <c r="A16" s="3057" t="s">
        <v>2806</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2807</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2808</v>
      </c>
      <c r="B18" s="3061" t="str">
        <f>'预评函-1'!A24</f>
        <v>本次评估采用的主估价方法为成本法和假设开发法。</v>
      </c>
    </row>
    <row r="19" spans="1:2" s="3056" customFormat="1" ht="15" thickTop="1">
      <c r="A19" s="3054" t="s">
        <v>2809</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2810</v>
      </c>
      <c r="B20" s="3058">
        <f ca="1">'预评函-2'!D5</f>
        <v>167919</v>
      </c>
    </row>
    <row r="21" spans="1:2" s="3059" customFormat="1">
      <c r="A21" s="3057" t="s">
        <v>2811</v>
      </c>
      <c r="B21" s="3058">
        <f ca="1">'预评函-2'!D7</f>
        <v>30533</v>
      </c>
    </row>
    <row r="22" spans="1:2" s="3059" customFormat="1">
      <c r="A22" s="3057" t="s">
        <v>2812</v>
      </c>
      <c r="B22" s="3058" t="str">
        <f ca="1">'预评函-2'!D6</f>
        <v>壹拾陆亿柒仟玖佰壹拾玖万元整</v>
      </c>
    </row>
    <row r="23" spans="1:2" s="3059" customFormat="1">
      <c r="A23" s="3057" t="s">
        <v>2872</v>
      </c>
      <c r="B23" s="3058" t="str">
        <f>'预评函-2'!B8</f>
        <v>2.估价师知悉的法定优先受偿款</v>
      </c>
    </row>
    <row r="24" spans="1:2" s="3059" customFormat="1">
      <c r="A24" s="3057" t="s">
        <v>2878</v>
      </c>
      <c r="B24" s="3058">
        <f>'预评函-2'!D8</f>
        <v>0</v>
      </c>
    </row>
    <row r="25" spans="1:2" s="3059" customFormat="1">
      <c r="A25" s="3057" t="s">
        <v>2813</v>
      </c>
      <c r="B25" s="3058" t="str">
        <f>'预评函-2'!D9</f>
        <v>零元整</v>
      </c>
    </row>
    <row r="26" spans="1:2" s="3059" customFormat="1">
      <c r="A26" s="3057" t="s">
        <v>2814</v>
      </c>
      <c r="B26" s="3058">
        <f>'预评函-2'!D10</f>
        <v>0</v>
      </c>
    </row>
    <row r="27" spans="1:2" s="3059" customFormat="1">
      <c r="A27" s="3057" t="s">
        <v>2815</v>
      </c>
      <c r="B27" s="3058">
        <f>'预评函-2'!D11</f>
        <v>0</v>
      </c>
    </row>
    <row r="28" spans="1:2" s="3059" customFormat="1">
      <c r="A28" s="3057" t="s">
        <v>2816</v>
      </c>
      <c r="B28" s="3058">
        <f>'预评函-2'!D12</f>
        <v>0</v>
      </c>
    </row>
    <row r="29" spans="1:2" s="3059" customFormat="1">
      <c r="A29" s="3057" t="s">
        <v>2876</v>
      </c>
      <c r="B29" s="3058" t="str">
        <f>'预评函-2'!B13</f>
        <v>3.房地产抵押价值</v>
      </c>
    </row>
    <row r="30" spans="1:2" s="3059" customFormat="1">
      <c r="A30" s="3057" t="s">
        <v>2877</v>
      </c>
      <c r="B30" s="3058">
        <f ca="1">'预评函-2'!D13</f>
        <v>167919</v>
      </c>
    </row>
    <row r="31" spans="1:2" s="3059" customFormat="1">
      <c r="A31" s="3057" t="s">
        <v>2851</v>
      </c>
      <c r="B31" s="3058">
        <f ca="1">'预评函-2'!D15</f>
        <v>30533</v>
      </c>
    </row>
    <row r="32" spans="1:2" s="3059" customFormat="1">
      <c r="A32" s="3057" t="s">
        <v>2817</v>
      </c>
      <c r="B32" s="3058" t="str">
        <f ca="1">'预评函-2'!D14</f>
        <v>壹拾陆亿柒仟玖佰壹拾玖万元整</v>
      </c>
    </row>
    <row r="33" spans="1:2" s="3059" customFormat="1">
      <c r="A33" s="3057" t="s">
        <v>2853</v>
      </c>
      <c r="B33" s="3058" t="str">
        <f>'预评函-2'!B16</f>
        <v>——</v>
      </c>
    </row>
    <row r="34" spans="1:2" s="3059" customFormat="1">
      <c r="A34" s="3057" t="s">
        <v>2879</v>
      </c>
      <c r="B34" s="3058" t="str">
        <f>'预评函-2'!D16</f>
        <v>——</v>
      </c>
    </row>
    <row r="35" spans="1:2" s="3059" customFormat="1">
      <c r="A35" s="3057" t="s">
        <v>2852</v>
      </c>
      <c r="B35" s="3058" t="str">
        <f>'预评函-2'!D18</f>
        <v>——</v>
      </c>
    </row>
    <row r="36" spans="1:2" s="3059" customFormat="1">
      <c r="A36" s="3057" t="s">
        <v>2818</v>
      </c>
      <c r="B36" s="3058" t="e">
        <f>'预评函-2'!D17</f>
        <v>#VALUE!</v>
      </c>
    </row>
    <row r="37" spans="1:2" s="3059" customFormat="1">
      <c r="A37" s="3057" t="s">
        <v>2854</v>
      </c>
      <c r="B37" s="3058" t="str">
        <f>'预评函-2'!B19</f>
        <v>——</v>
      </c>
    </row>
    <row r="38" spans="1:2" s="3059" customFormat="1">
      <c r="A38" s="3057" t="s">
        <v>2880</v>
      </c>
      <c r="B38" s="3058" t="str">
        <f>'预评函-2'!D19</f>
        <v>——</v>
      </c>
    </row>
    <row r="39" spans="1:2" s="3059" customFormat="1">
      <c r="A39" s="3057" t="s">
        <v>2819</v>
      </c>
      <c r="B39" s="3058" t="str">
        <f>'预评函-2'!D21</f>
        <v>——</v>
      </c>
    </row>
    <row r="40" spans="1:2" s="3059" customFormat="1">
      <c r="A40" s="3057" t="s">
        <v>2820</v>
      </c>
      <c r="B40" s="3058" t="e">
        <f>'预评函-2'!D20</f>
        <v>#VALUE!</v>
      </c>
    </row>
    <row r="41" spans="1:2" s="3059" customFormat="1">
      <c r="A41" s="3057" t="s">
        <v>2875</v>
      </c>
      <c r="B41" s="3058" t="str">
        <f>'预评函-3'!A4</f>
        <v>北京市北京市门头沟区潭柘寺MC01-0003-6004地块C3出让国有建设用地使用权及在建建筑物房地产</v>
      </c>
    </row>
    <row r="42" spans="1:2" s="3059" customFormat="1">
      <c r="A42" s="3057" t="s">
        <v>2873</v>
      </c>
      <c r="B42" s="3058" t="str">
        <f>'预评函-3'!B2</f>
        <v>建筑面积</v>
      </c>
    </row>
    <row r="43" spans="1:2" s="3059" customFormat="1">
      <c r="A43" s="3057" t="s">
        <v>2874</v>
      </c>
      <c r="B43" s="3058">
        <f>'预评函-3'!B4</f>
        <v>54996.800000000003</v>
      </c>
    </row>
    <row r="44" spans="1:2" s="3059" customFormat="1">
      <c r="A44" s="3057" t="s">
        <v>2850</v>
      </c>
      <c r="B44" s="3058" t="str">
        <f>'预评函-3'!C2</f>
        <v>(分摊)土地面积</v>
      </c>
    </row>
    <row r="45" spans="1:2" s="3059" customFormat="1">
      <c r="A45" s="3057" t="s">
        <v>2821</v>
      </c>
      <c r="B45" s="3058">
        <f>'预评函-3'!C4</f>
        <v>27526.28</v>
      </c>
    </row>
    <row r="46" spans="1:2" s="3059" customFormat="1">
      <c r="A46" s="3057" t="s">
        <v>2848</v>
      </c>
      <c r="B46" s="3058" t="str">
        <f>'预评函-3'!D2</f>
        <v>出让国有建设用地使用权价值</v>
      </c>
    </row>
    <row r="47" spans="1:2" s="3059" customFormat="1">
      <c r="A47" s="3057" t="s">
        <v>2822</v>
      </c>
      <c r="B47" s="3058">
        <f ca="1">'预评函-3'!D4</f>
        <v>152638</v>
      </c>
    </row>
    <row r="48" spans="1:2" s="3059" customFormat="1">
      <c r="A48" s="3057" t="s">
        <v>2823</v>
      </c>
      <c r="B48" s="3058">
        <f ca="1">'预评函-3'!E4</f>
        <v>27754</v>
      </c>
    </row>
    <row r="49" spans="1:2" s="3059" customFormat="1">
      <c r="A49" s="3057" t="s">
        <v>2824</v>
      </c>
      <c r="B49" s="3058" t="str">
        <f ca="1">'预评函-3'!D5</f>
        <v>壹拾伍亿贰仟陆佰叁拾捌万元整</v>
      </c>
    </row>
    <row r="50" spans="1:2" s="3059" customFormat="1">
      <c r="A50" s="3057" t="s">
        <v>2849</v>
      </c>
      <c r="B50" s="3058" t="str">
        <f>'预评函-3'!F2</f>
        <v>在建建筑物价值</v>
      </c>
    </row>
    <row r="51" spans="1:2" s="3059" customFormat="1">
      <c r="A51" s="3057" t="s">
        <v>2825</v>
      </c>
      <c r="B51" s="3058">
        <f ca="1">'预评函-3'!F4</f>
        <v>15281</v>
      </c>
    </row>
    <row r="52" spans="1:2" s="3059" customFormat="1">
      <c r="A52" s="3057" t="s">
        <v>2826</v>
      </c>
      <c r="B52" s="3058">
        <f ca="1">'预评函-3'!G4</f>
        <v>2779</v>
      </c>
    </row>
    <row r="53" spans="1:2" s="3059" customFormat="1">
      <c r="A53" s="3057" t="s">
        <v>2855</v>
      </c>
      <c r="B53" s="3058" t="str">
        <f ca="1">'预评函-3'!F5</f>
        <v>壹亿伍仟贰佰捌拾壹万元整</v>
      </c>
    </row>
    <row r="54" spans="1:2" s="3059" customFormat="1">
      <c r="A54" s="3057" t="s">
        <v>2882</v>
      </c>
      <c r="B54" s="3058" t="str">
        <f>'预评函-3'!A8</f>
        <v>房地产抵押价值</v>
      </c>
    </row>
    <row r="55" spans="1:2" s="3059" customFormat="1">
      <c r="A55" s="3057" t="s">
        <v>2856</v>
      </c>
      <c r="B55" s="3058" t="str">
        <f>'预评函-3'!A10</f>
        <v/>
      </c>
    </row>
    <row r="56" spans="1:2" s="3059" customFormat="1">
      <c r="A56" s="3057" t="s">
        <v>2857</v>
      </c>
      <c r="B56" s="3058" t="str">
        <f>'预评函-3'!A12</f>
        <v/>
      </c>
    </row>
    <row r="57" spans="1:2" s="3053" customFormat="1" ht="15" thickBot="1">
      <c r="A57" s="3060" t="s">
        <v>2883</v>
      </c>
      <c r="B57" s="3061" t="str">
        <f>'预评函-3'!A6</f>
        <v>估价师知悉的法定优先受偿款</v>
      </c>
    </row>
    <row r="58" spans="1:2" s="3056" customFormat="1" ht="15" thickTop="1">
      <c r="A58" s="3054" t="s">
        <v>2827</v>
      </c>
      <c r="B58" s="3055" t="str">
        <f>'预评函-4'!A12</f>
        <v>2.本《评估意见函》仅供金融机构进行内部审核使用，不做其他目的之用。</v>
      </c>
    </row>
    <row r="59" spans="1:2" s="3059" customFormat="1">
      <c r="A59" s="3057" t="s">
        <v>2828</v>
      </c>
      <c r="B59" s="3058" t="str">
        <f>'预评函-4'!A13</f>
        <v>3.抵押双方在办理抵押登记手续时，应使用本公司出具的正式《房地产评估报告》，特提醒报告使用者注意。</v>
      </c>
    </row>
    <row r="60" spans="1:2" s="3059" customFormat="1">
      <c r="A60" s="3057" t="s">
        <v>2829</v>
      </c>
      <c r="B60" s="3058" t="str">
        <f>'预评函-4'!A14</f>
        <v>4.本次评估估价师所知悉的法定优先受偿款情况说明如下：</v>
      </c>
    </row>
    <row r="61" spans="1:2" s="3059" customFormat="1">
      <c r="A61" s="3057" t="s">
        <v>2830</v>
      </c>
      <c r="B61" s="3058" t="str">
        <f>'预评函-4'!A15</f>
        <v>（1）根据估价对象《房屋所有权证》——、《国有土地使用权》原件，截至价值时点，估价对象抵押权未见登记。</v>
      </c>
    </row>
    <row r="62" spans="1:2" s="3059" customFormat="1">
      <c r="A62" s="3057" t="s">
        <v>2831</v>
      </c>
      <c r="B62" s="3058" t="str">
        <f>'预评函-4'!A16</f>
        <v>（2）根据《工程款支付情况说明》，截至价值时点，估价对象不存在应付未付工程款项。（只要没有施工方盖章的，均“设定”进行表述）</v>
      </c>
    </row>
    <row r="63" spans="1:2" s="3059" customFormat="1">
      <c r="A63" s="3057" t="s">
        <v>2832</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2844</v>
      </c>
      <c r="B64" s="3058" t="str">
        <f>'预评函-4'!A18</f>
        <v>故，本次评估不存在估价师知悉的法定优先受偿款</v>
      </c>
    </row>
    <row r="65" spans="1:2" s="3059" customFormat="1">
      <c r="A65" s="3057" t="s">
        <v>2833</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2834</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2845</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2846</v>
      </c>
      <c r="B68" s="3058" t="str">
        <f>'预评函-4'!A22</f>
        <v>8.其他需特殊说明事项：无（注意调整序号）</v>
      </c>
    </row>
    <row r="69" spans="1:2" s="3053" customFormat="1" ht="15" thickBot="1">
      <c r="A69" s="3060" t="s">
        <v>2835</v>
      </c>
      <c r="B69" s="3062">
        <f>'预评函-4'!C31</f>
        <v>42551</v>
      </c>
    </row>
    <row r="70" spans="1:2" ht="15" thickTop="1">
      <c r="A70" s="3063" t="s">
        <v>2836</v>
      </c>
      <c r="B70" s="3064" t="str">
        <f>'预评函-4'!A4</f>
        <v>梁津</v>
      </c>
    </row>
    <row r="71" spans="1:2">
      <c r="A71" s="3057" t="s">
        <v>2837</v>
      </c>
      <c r="B71" s="3058">
        <f ca="1">'预评函-4'!B4</f>
        <v>1119970066</v>
      </c>
    </row>
    <row r="72" spans="1:2">
      <c r="A72" s="3057" t="s">
        <v>2838</v>
      </c>
      <c r="B72" s="3066" t="str">
        <f>'预评函-4'!A5</f>
        <v>欧红伟</v>
      </c>
    </row>
    <row r="73" spans="1:2" s="3053" customFormat="1" ht="15" thickBot="1">
      <c r="A73" s="3060" t="s">
        <v>2839</v>
      </c>
      <c r="B73" s="3061">
        <f ca="1">'预评函-4'!B5</f>
        <v>1120000080</v>
      </c>
    </row>
    <row r="74" spans="1:2" ht="15" thickTop="1">
      <c r="A74" s="3050" t="s">
        <v>2900</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
  <sheetViews>
    <sheetView workbookViewId="0">
      <pane xSplit="5" ySplit="3" topLeftCell="M4" activePane="bottomRight" state="frozen"/>
      <selection pane="topRight" activeCell="F1" sqref="F1"/>
      <selection pane="bottomLeft" activeCell="A4" sqref="A4"/>
      <selection pane="bottomRight" activeCell="M19" sqref="M19"/>
    </sheetView>
  </sheetViews>
  <sheetFormatPr defaultRowHeight="13.5"/>
  <cols>
    <col min="1" max="2" width="7" style="3385" customWidth="1"/>
    <col min="3" max="3" width="9" style="3385"/>
    <col min="4" max="4" width="8.125" style="3385" customWidth="1"/>
    <col min="5" max="5" width="14.625" style="3385" customWidth="1"/>
    <col min="6" max="6" width="10.875" style="3385" customWidth="1"/>
    <col min="7" max="7" width="11.25" style="3385" customWidth="1"/>
    <col min="8" max="8" width="10.625" style="3385" customWidth="1"/>
    <col min="9" max="9" width="10.5" style="3385" customWidth="1"/>
    <col min="10" max="10" width="10.875" style="3385" customWidth="1"/>
    <col min="11" max="13" width="9" style="3385"/>
    <col min="14" max="14" width="10" style="3385" customWidth="1"/>
    <col min="15" max="20" width="9" style="3385"/>
    <col min="21" max="21" width="9.5" style="3385" bestFit="1" customWidth="1"/>
    <col min="22" max="22" width="11.25" style="3385" customWidth="1"/>
    <col min="23" max="16384" width="9" style="3385"/>
  </cols>
  <sheetData>
    <row r="1" spans="1:25" s="3366" customFormat="1" ht="12" customHeight="1">
      <c r="A1" s="3488" t="s">
        <v>3109</v>
      </c>
      <c r="B1" s="3488" t="s">
        <v>3110</v>
      </c>
      <c r="C1" s="3465" t="s">
        <v>3111</v>
      </c>
      <c r="D1" s="3488" t="s">
        <v>3112</v>
      </c>
      <c r="E1" s="3465" t="s">
        <v>3113</v>
      </c>
      <c r="F1" s="3467" t="s">
        <v>613</v>
      </c>
      <c r="G1" s="3468"/>
      <c r="H1" s="3468"/>
      <c r="I1" s="3468"/>
      <c r="J1" s="3468"/>
      <c r="K1" s="3468"/>
      <c r="L1" s="3468"/>
      <c r="M1" s="3468"/>
      <c r="N1" s="3468"/>
      <c r="O1" s="3468"/>
      <c r="P1" s="3468"/>
      <c r="Q1" s="3468"/>
      <c r="R1" s="3468"/>
      <c r="S1" s="3468"/>
      <c r="T1" s="3468"/>
      <c r="U1" s="3468"/>
    </row>
    <row r="2" spans="1:25" s="3366" customFormat="1" ht="11.25" customHeight="1">
      <c r="A2" s="3488"/>
      <c r="B2" s="3488"/>
      <c r="C2" s="3466"/>
      <c r="D2" s="3488"/>
      <c r="E2" s="3466"/>
      <c r="F2" s="3469" t="s">
        <v>26</v>
      </c>
      <c r="G2" s="3471" t="s">
        <v>30</v>
      </c>
      <c r="H2" s="3472"/>
      <c r="I2" s="3472"/>
      <c r="J2" s="3472"/>
      <c r="K2" s="3472"/>
      <c r="L2" s="3472"/>
      <c r="M2" s="3472"/>
      <c r="N2" s="3473" t="s">
        <v>28</v>
      </c>
      <c r="O2" s="3473"/>
      <c r="P2" s="3473"/>
      <c r="Q2" s="3473"/>
      <c r="R2" s="3473"/>
      <c r="S2" s="3473"/>
      <c r="T2" s="3473"/>
      <c r="U2" s="3473"/>
      <c r="X2" s="3366" t="s">
        <v>93</v>
      </c>
    </row>
    <row r="3" spans="1:25" s="3366" customFormat="1" ht="20.25" customHeight="1">
      <c r="A3" s="3465"/>
      <c r="B3" s="3465"/>
      <c r="C3" s="3466"/>
      <c r="D3" s="3465"/>
      <c r="E3" s="3466"/>
      <c r="F3" s="3470"/>
      <c r="G3" s="3367" t="s">
        <v>27</v>
      </c>
      <c r="H3" s="3368" t="s">
        <v>3114</v>
      </c>
      <c r="I3" s="3368" t="s">
        <v>3115</v>
      </c>
      <c r="J3" s="3369" t="s">
        <v>1</v>
      </c>
      <c r="K3" s="3369" t="s">
        <v>32</v>
      </c>
      <c r="L3" s="3369" t="s">
        <v>3116</v>
      </c>
      <c r="M3" s="3368" t="s">
        <v>3117</v>
      </c>
      <c r="N3" s="3367" t="s">
        <v>27</v>
      </c>
      <c r="O3" s="3370" t="s">
        <v>3118</v>
      </c>
      <c r="P3" s="3370" t="s">
        <v>3119</v>
      </c>
      <c r="Q3" s="3369" t="s">
        <v>1163</v>
      </c>
      <c r="R3" s="3369" t="s">
        <v>3120</v>
      </c>
      <c r="S3" s="3369" t="s">
        <v>3117</v>
      </c>
      <c r="T3" s="3369" t="s">
        <v>3121</v>
      </c>
      <c r="U3" s="3371" t="s">
        <v>3122</v>
      </c>
      <c r="V3" s="3372" t="s">
        <v>3123</v>
      </c>
      <c r="W3" s="3372" t="s">
        <v>3124</v>
      </c>
    </row>
    <row r="4" spans="1:25" s="3378" customFormat="1" ht="15" customHeight="1">
      <c r="A4" s="3502" t="s">
        <v>3125</v>
      </c>
      <c r="B4" s="3502" t="s">
        <v>3126</v>
      </c>
      <c r="C4" s="3503" t="s">
        <v>3127</v>
      </c>
      <c r="D4" s="3504">
        <v>30690.62</v>
      </c>
      <c r="E4" s="3373" t="s">
        <v>3128</v>
      </c>
      <c r="F4" s="3374">
        <f>G4+N4</f>
        <v>3979.8</v>
      </c>
      <c r="G4" s="3374">
        <f t="shared" ref="G4:G22" si="0">SUM(H4:M4)</f>
        <v>3517.5</v>
      </c>
      <c r="H4" s="3375">
        <v>3517.5</v>
      </c>
      <c r="I4" s="3375"/>
      <c r="J4" s="3375"/>
      <c r="K4" s="3375"/>
      <c r="L4" s="3375"/>
      <c r="M4" s="3375"/>
      <c r="N4" s="3373">
        <f>SUM(O4:U4)</f>
        <v>462.29999999999995</v>
      </c>
      <c r="O4" s="3375"/>
      <c r="P4" s="3375"/>
      <c r="Q4" s="3375"/>
      <c r="R4" s="3375">
        <v>252.72</v>
      </c>
      <c r="S4" s="3375">
        <v>175.67</v>
      </c>
      <c r="T4" s="3375">
        <v>33.909999999999997</v>
      </c>
      <c r="U4" s="3376"/>
      <c r="V4" s="3375" t="s">
        <v>3249</v>
      </c>
      <c r="W4" s="3377">
        <v>0.65</v>
      </c>
    </row>
    <row r="5" spans="1:25" s="3378" customFormat="1" ht="15" customHeight="1">
      <c r="A5" s="3502"/>
      <c r="B5" s="3502"/>
      <c r="C5" s="3503"/>
      <c r="D5" s="3505"/>
      <c r="E5" s="3373" t="s">
        <v>3129</v>
      </c>
      <c r="F5" s="3374">
        <f t="shared" ref="F5:F12" si="1">G5+N5</f>
        <v>3979.8</v>
      </c>
      <c r="G5" s="3374">
        <f t="shared" si="0"/>
        <v>3517.5</v>
      </c>
      <c r="H5" s="3375">
        <v>3517.5</v>
      </c>
      <c r="I5" s="3375"/>
      <c r="J5" s="3375"/>
      <c r="K5" s="3375"/>
      <c r="L5" s="3375"/>
      <c r="M5" s="3375"/>
      <c r="N5" s="3373">
        <f t="shared" ref="N5:N16" si="2">SUM(O5:U5)</f>
        <v>462.29999999999995</v>
      </c>
      <c r="O5" s="3375"/>
      <c r="P5" s="3375"/>
      <c r="Q5" s="3375"/>
      <c r="R5" s="3375">
        <v>252.72</v>
      </c>
      <c r="S5" s="3375">
        <v>175.67</v>
      </c>
      <c r="T5" s="3375">
        <v>33.909999999999997</v>
      </c>
      <c r="U5" s="3376"/>
      <c r="V5" s="3375" t="s">
        <v>3135</v>
      </c>
      <c r="W5" s="3377">
        <v>0.65</v>
      </c>
    </row>
    <row r="6" spans="1:25" s="3378" customFormat="1" ht="15" customHeight="1">
      <c r="A6" s="3502"/>
      <c r="B6" s="3502"/>
      <c r="C6" s="3503"/>
      <c r="D6" s="3505"/>
      <c r="E6" s="3373" t="s">
        <v>3130</v>
      </c>
      <c r="F6" s="3374">
        <f t="shared" si="1"/>
        <v>3979.8</v>
      </c>
      <c r="G6" s="3374">
        <f t="shared" si="0"/>
        <v>3517.5</v>
      </c>
      <c r="H6" s="3375">
        <v>3517.5</v>
      </c>
      <c r="I6" s="3375"/>
      <c r="J6" s="3375"/>
      <c r="K6" s="3375"/>
      <c r="L6" s="3375"/>
      <c r="M6" s="3375"/>
      <c r="N6" s="3373">
        <f t="shared" si="2"/>
        <v>462.29999999999995</v>
      </c>
      <c r="O6" s="3375"/>
      <c r="P6" s="3375"/>
      <c r="Q6" s="3375"/>
      <c r="R6" s="3375">
        <v>252.72</v>
      </c>
      <c r="S6" s="3375">
        <v>175.67</v>
      </c>
      <c r="T6" s="3375">
        <v>33.909999999999997</v>
      </c>
      <c r="U6" s="3376"/>
      <c r="V6" s="3375" t="s">
        <v>3135</v>
      </c>
      <c r="W6" s="3377">
        <v>0.65</v>
      </c>
    </row>
    <row r="7" spans="1:25" s="3378" customFormat="1" ht="15" customHeight="1">
      <c r="A7" s="3502"/>
      <c r="B7" s="3502"/>
      <c r="C7" s="3503"/>
      <c r="D7" s="3505"/>
      <c r="E7" s="3373" t="s">
        <v>3131</v>
      </c>
      <c r="F7" s="3374">
        <f t="shared" si="1"/>
        <v>7222.16</v>
      </c>
      <c r="G7" s="3374">
        <f t="shared" si="0"/>
        <v>6354.08</v>
      </c>
      <c r="H7" s="3375">
        <v>6354.08</v>
      </c>
      <c r="I7" s="3375"/>
      <c r="J7" s="3375"/>
      <c r="K7" s="3375"/>
      <c r="L7" s="3375"/>
      <c r="M7" s="3375"/>
      <c r="N7" s="3373">
        <f t="shared" si="2"/>
        <v>868.08</v>
      </c>
      <c r="O7" s="3375"/>
      <c r="P7" s="3375"/>
      <c r="Q7" s="3375"/>
      <c r="R7" s="3375">
        <v>471.41</v>
      </c>
      <c r="S7" s="3375">
        <v>327.67</v>
      </c>
      <c r="T7" s="3375">
        <v>69</v>
      </c>
      <c r="U7" s="3376"/>
      <c r="V7" s="3375" t="s">
        <v>3135</v>
      </c>
      <c r="W7" s="3377">
        <v>0.65</v>
      </c>
    </row>
    <row r="8" spans="1:25" s="3378" customFormat="1" ht="15" customHeight="1">
      <c r="A8" s="3502"/>
      <c r="B8" s="3502"/>
      <c r="C8" s="3503"/>
      <c r="D8" s="3505"/>
      <c r="E8" s="3373" t="s">
        <v>3132</v>
      </c>
      <c r="F8" s="3374">
        <f t="shared" si="1"/>
        <v>7225.45</v>
      </c>
      <c r="G8" s="3374">
        <f t="shared" si="0"/>
        <v>6354.08</v>
      </c>
      <c r="H8" s="3375">
        <v>6354.08</v>
      </c>
      <c r="I8" s="3375"/>
      <c r="J8" s="3375"/>
      <c r="K8" s="3375"/>
      <c r="L8" s="3375"/>
      <c r="M8" s="3375"/>
      <c r="N8" s="3373">
        <f t="shared" si="2"/>
        <v>871.37</v>
      </c>
      <c r="O8" s="3375"/>
      <c r="P8" s="3375"/>
      <c r="Q8" s="3375"/>
      <c r="R8" s="3375">
        <v>474.7</v>
      </c>
      <c r="S8" s="3375">
        <v>327.67</v>
      </c>
      <c r="T8" s="3375">
        <v>69</v>
      </c>
      <c r="U8" s="3376"/>
      <c r="V8" s="3375" t="s">
        <v>3135</v>
      </c>
      <c r="W8" s="3377">
        <v>0.65</v>
      </c>
    </row>
    <row r="9" spans="1:25" s="3378" customFormat="1" ht="15" customHeight="1">
      <c r="A9" s="3502"/>
      <c r="B9" s="3502"/>
      <c r="C9" s="3503"/>
      <c r="D9" s="3505"/>
      <c r="E9" s="3373" t="s">
        <v>3133</v>
      </c>
      <c r="F9" s="3374">
        <f t="shared" si="1"/>
        <v>3985.8</v>
      </c>
      <c r="G9" s="3374">
        <f t="shared" si="0"/>
        <v>3517.5</v>
      </c>
      <c r="H9" s="3375">
        <v>3517.5</v>
      </c>
      <c r="I9" s="3375"/>
      <c r="J9" s="3375"/>
      <c r="K9" s="3375"/>
      <c r="L9" s="3375"/>
      <c r="M9" s="3375"/>
      <c r="N9" s="3373">
        <f t="shared" si="2"/>
        <v>468.29999999999995</v>
      </c>
      <c r="O9" s="3375"/>
      <c r="P9" s="3375"/>
      <c r="Q9" s="3375"/>
      <c r="R9" s="3375">
        <v>266.72000000000003</v>
      </c>
      <c r="S9" s="3375">
        <v>167.67</v>
      </c>
      <c r="T9" s="3375">
        <v>33.909999999999997</v>
      </c>
      <c r="U9" s="3376"/>
      <c r="V9" s="3375" t="s">
        <v>3135</v>
      </c>
      <c r="W9" s="3377">
        <v>0.65</v>
      </c>
      <c r="X9" s="3378" t="str">
        <f>'[1]数据-取费表'!A6</f>
        <v>洋房</v>
      </c>
      <c r="Y9" s="3379">
        <f>ROUND((W5*H5+H6*W6+W7*H7+H4*W4+H8*W8+W9*H9+H10*W10+W11*H11+H12*W12)/H17,2)</f>
        <v>0.65</v>
      </c>
    </row>
    <row r="10" spans="1:25" s="3378" customFormat="1" ht="12.75" customHeight="1">
      <c r="A10" s="3502"/>
      <c r="B10" s="3502"/>
      <c r="C10" s="3503"/>
      <c r="D10" s="3505"/>
      <c r="E10" s="3373" t="s">
        <v>3134</v>
      </c>
      <c r="F10" s="3374">
        <f t="shared" si="1"/>
        <v>2771.06</v>
      </c>
      <c r="G10" s="3374">
        <f t="shared" si="0"/>
        <v>2397.2199999999998</v>
      </c>
      <c r="H10" s="3375">
        <v>2397.2199999999998</v>
      </c>
      <c r="I10" s="3375"/>
      <c r="J10" s="3375"/>
      <c r="K10" s="3375"/>
      <c r="L10" s="3375"/>
      <c r="M10" s="3375"/>
      <c r="N10" s="3373">
        <f t="shared" si="2"/>
        <v>373.84</v>
      </c>
      <c r="O10" s="3375">
        <v>373.84</v>
      </c>
      <c r="P10" s="3375"/>
      <c r="Q10" s="3375"/>
      <c r="R10" s="3375"/>
      <c r="S10" s="3375"/>
      <c r="T10" s="3375"/>
      <c r="U10" s="3376"/>
      <c r="V10" s="3375" t="s">
        <v>3135</v>
      </c>
      <c r="W10" s="3377">
        <v>0.65</v>
      </c>
      <c r="X10" s="3378" t="str">
        <f>'[1]数据-取费表'!A7</f>
        <v>联排别墅</v>
      </c>
      <c r="Y10" s="3379">
        <f>ROUND((I13*W13+W14*I14+I15*W15+W16*I16)/I17,2)</f>
        <v>0.4</v>
      </c>
    </row>
    <row r="11" spans="1:25" s="3378" customFormat="1" ht="15" customHeight="1">
      <c r="A11" s="3502"/>
      <c r="B11" s="3502"/>
      <c r="C11" s="3503"/>
      <c r="D11" s="3505"/>
      <c r="E11" s="3373" t="s">
        <v>3136</v>
      </c>
      <c r="F11" s="3374">
        <f t="shared" si="1"/>
        <v>2771.06</v>
      </c>
      <c r="G11" s="3374">
        <f t="shared" si="0"/>
        <v>2397.2199999999998</v>
      </c>
      <c r="H11" s="3375">
        <v>2397.2199999999998</v>
      </c>
      <c r="I11" s="3375"/>
      <c r="J11" s="3375"/>
      <c r="K11" s="3375"/>
      <c r="L11" s="3375"/>
      <c r="M11" s="3375"/>
      <c r="N11" s="3373">
        <f t="shared" si="2"/>
        <v>373.84</v>
      </c>
      <c r="O11" s="3375">
        <v>373.84</v>
      </c>
      <c r="P11" s="3375"/>
      <c r="Q11" s="3375"/>
      <c r="R11" s="3375"/>
      <c r="S11" s="3375"/>
      <c r="T11" s="3375"/>
      <c r="U11" s="3376"/>
      <c r="V11" s="3375" t="s">
        <v>3135</v>
      </c>
      <c r="W11" s="3377">
        <v>0.65</v>
      </c>
      <c r="X11" s="3378" t="str">
        <f>'[1]数据-取费表'!A8</f>
        <v>地下车库</v>
      </c>
      <c r="Y11" s="3380">
        <v>0.6</v>
      </c>
    </row>
    <row r="12" spans="1:25" s="3378" customFormat="1" ht="15" customHeight="1">
      <c r="A12" s="3502"/>
      <c r="B12" s="3502"/>
      <c r="C12" s="3503"/>
      <c r="D12" s="3505"/>
      <c r="E12" s="3373" t="s">
        <v>3137</v>
      </c>
      <c r="F12" s="3374">
        <f t="shared" si="1"/>
        <v>2771.06</v>
      </c>
      <c r="G12" s="3374">
        <f t="shared" si="0"/>
        <v>2397.2199999999998</v>
      </c>
      <c r="H12" s="3375">
        <v>2397.2199999999998</v>
      </c>
      <c r="I12" s="3375"/>
      <c r="J12" s="3375"/>
      <c r="K12" s="3375"/>
      <c r="L12" s="3375"/>
      <c r="M12" s="3375"/>
      <c r="N12" s="3373">
        <f t="shared" si="2"/>
        <v>373.84</v>
      </c>
      <c r="O12" s="3375">
        <v>373.84</v>
      </c>
      <c r="P12" s="3375"/>
      <c r="Q12" s="3375"/>
      <c r="R12" s="3375"/>
      <c r="S12" s="3375"/>
      <c r="T12" s="3375"/>
      <c r="U12" s="3376"/>
      <c r="V12" s="3375" t="s">
        <v>3135</v>
      </c>
      <c r="W12" s="3377">
        <v>0.65</v>
      </c>
      <c r="X12" s="3378" t="str">
        <f>'[1]数据-取费表'!A9</f>
        <v>仓储</v>
      </c>
      <c r="Y12" s="3380">
        <v>0.6</v>
      </c>
    </row>
    <row r="13" spans="1:25" s="3378" customFormat="1" ht="15" customHeight="1">
      <c r="A13" s="3502"/>
      <c r="B13" s="3502"/>
      <c r="C13" s="3503"/>
      <c r="D13" s="3505"/>
      <c r="E13" s="3373" t="s">
        <v>3138</v>
      </c>
      <c r="F13" s="3374">
        <f>G13+N13</f>
        <v>2446.04</v>
      </c>
      <c r="G13" s="3374">
        <f t="shared" si="0"/>
        <v>2138.56</v>
      </c>
      <c r="H13" s="3375"/>
      <c r="I13" s="3375">
        <v>2138.56</v>
      </c>
      <c r="J13" s="3375"/>
      <c r="K13" s="3375"/>
      <c r="L13" s="3375"/>
      <c r="M13" s="3375"/>
      <c r="N13" s="3373">
        <f t="shared" si="2"/>
        <v>307.48</v>
      </c>
      <c r="O13" s="3375">
        <v>307.48</v>
      </c>
      <c r="P13" s="3375"/>
      <c r="Q13" s="3375"/>
      <c r="R13" s="3375"/>
      <c r="S13" s="3375"/>
      <c r="T13" s="3375"/>
      <c r="U13" s="3376"/>
      <c r="V13" s="3375" t="s">
        <v>3247</v>
      </c>
      <c r="W13" s="3377">
        <v>0.25</v>
      </c>
    </row>
    <row r="14" spans="1:25" s="3378" customFormat="1" ht="15" customHeight="1">
      <c r="A14" s="3502"/>
      <c r="B14" s="3502"/>
      <c r="C14" s="3503"/>
      <c r="D14" s="3505"/>
      <c r="E14" s="3373" t="s">
        <v>3139</v>
      </c>
      <c r="F14" s="3374">
        <f>G14+N14</f>
        <v>2575.9299999999998</v>
      </c>
      <c r="G14" s="3374">
        <f t="shared" si="0"/>
        <v>2138.56</v>
      </c>
      <c r="H14" s="3375"/>
      <c r="I14" s="3375">
        <v>2138.56</v>
      </c>
      <c r="J14" s="3375"/>
      <c r="K14" s="3375"/>
      <c r="L14" s="3375"/>
      <c r="M14" s="3375"/>
      <c r="N14" s="3373">
        <f t="shared" si="2"/>
        <v>437.37</v>
      </c>
      <c r="O14" s="3375">
        <v>437.37</v>
      </c>
      <c r="P14" s="3375"/>
      <c r="Q14" s="3375"/>
      <c r="R14" s="3375"/>
      <c r="S14" s="3375"/>
      <c r="T14" s="3375"/>
      <c r="U14" s="3376"/>
      <c r="V14" s="3375" t="s">
        <v>3248</v>
      </c>
      <c r="W14" s="3377">
        <v>0.45</v>
      </c>
    </row>
    <row r="15" spans="1:25" s="3378" customFormat="1" ht="15" customHeight="1">
      <c r="A15" s="3502"/>
      <c r="B15" s="3502"/>
      <c r="C15" s="3503"/>
      <c r="D15" s="3505"/>
      <c r="E15" s="3373" t="s">
        <v>3140</v>
      </c>
      <c r="F15" s="3374">
        <f>G15+N15</f>
        <v>2446.04</v>
      </c>
      <c r="G15" s="3374">
        <f t="shared" si="0"/>
        <v>2138.56</v>
      </c>
      <c r="H15" s="3375"/>
      <c r="I15" s="3375">
        <v>2138.56</v>
      </c>
      <c r="J15" s="3375"/>
      <c r="K15" s="3375"/>
      <c r="L15" s="3375"/>
      <c r="M15" s="3375"/>
      <c r="N15" s="3373">
        <f t="shared" si="2"/>
        <v>307.48</v>
      </c>
      <c r="O15" s="3375">
        <v>307.48</v>
      </c>
      <c r="P15" s="3375"/>
      <c r="Q15" s="3375"/>
      <c r="R15" s="3375"/>
      <c r="S15" s="3375"/>
      <c r="T15" s="3375"/>
      <c r="U15" s="3376"/>
      <c r="V15" s="3375" t="s">
        <v>3248</v>
      </c>
      <c r="W15" s="3377">
        <v>0.45</v>
      </c>
    </row>
    <row r="16" spans="1:25" s="3378" customFormat="1" ht="15" customHeight="1">
      <c r="A16" s="3502"/>
      <c r="B16" s="3502"/>
      <c r="C16" s="3503"/>
      <c r="D16" s="3505"/>
      <c r="E16" s="3373" t="s">
        <v>3141</v>
      </c>
      <c r="F16" s="3374">
        <f>G16+N16</f>
        <v>2575.9299999999998</v>
      </c>
      <c r="G16" s="3374">
        <f t="shared" si="0"/>
        <v>2138.56</v>
      </c>
      <c r="H16" s="3375"/>
      <c r="I16" s="3375">
        <v>2138.56</v>
      </c>
      <c r="J16" s="3375"/>
      <c r="K16" s="3375"/>
      <c r="L16" s="3381"/>
      <c r="M16" s="3375"/>
      <c r="N16" s="3373">
        <f t="shared" si="2"/>
        <v>437.37</v>
      </c>
      <c r="O16" s="3375">
        <v>437.37</v>
      </c>
      <c r="P16" s="3375"/>
      <c r="Q16" s="3375"/>
      <c r="R16" s="3375"/>
      <c r="S16" s="3375"/>
      <c r="T16" s="3375"/>
      <c r="U16" s="3376"/>
      <c r="V16" s="3375" t="s">
        <v>3248</v>
      </c>
      <c r="W16" s="3377">
        <v>0.45</v>
      </c>
    </row>
    <row r="17" spans="1:24" s="3378" customFormat="1" ht="15" customHeight="1">
      <c r="A17" s="3502"/>
      <c r="B17" s="3502"/>
      <c r="C17" s="3503"/>
      <c r="D17" s="3505"/>
      <c r="E17" s="3373" t="s">
        <v>3142</v>
      </c>
      <c r="F17" s="3374">
        <f>SUM(F4:F16)</f>
        <v>48729.93</v>
      </c>
      <c r="G17" s="3374">
        <f>SUM(G4:G16)</f>
        <v>42524.06</v>
      </c>
      <c r="H17" s="3374">
        <f t="shared" ref="H17:U17" si="3">SUM(H4:H16)</f>
        <v>33969.820000000007</v>
      </c>
      <c r="I17" s="3374">
        <f t="shared" si="3"/>
        <v>8554.24</v>
      </c>
      <c r="J17" s="3374">
        <f t="shared" si="3"/>
        <v>0</v>
      </c>
      <c r="K17" s="3374">
        <f t="shared" si="3"/>
        <v>0</v>
      </c>
      <c r="L17" s="3374">
        <f t="shared" si="3"/>
        <v>0</v>
      </c>
      <c r="M17" s="3374">
        <f t="shared" si="3"/>
        <v>0</v>
      </c>
      <c r="N17" s="3374">
        <f t="shared" si="3"/>
        <v>6205.87</v>
      </c>
      <c r="O17" s="3374">
        <f t="shared" si="3"/>
        <v>2611.2199999999998</v>
      </c>
      <c r="P17" s="3374">
        <f t="shared" si="3"/>
        <v>0</v>
      </c>
      <c r="Q17" s="3374">
        <f t="shared" si="3"/>
        <v>0</v>
      </c>
      <c r="R17" s="3374">
        <f t="shared" si="3"/>
        <v>1970.99</v>
      </c>
      <c r="S17" s="3374">
        <f t="shared" si="3"/>
        <v>1350.0200000000002</v>
      </c>
      <c r="T17" s="3374">
        <f t="shared" si="3"/>
        <v>273.64</v>
      </c>
      <c r="U17" s="3382">
        <f t="shared" si="3"/>
        <v>0</v>
      </c>
      <c r="V17" s="3375"/>
      <c r="W17" s="3377"/>
    </row>
    <row r="18" spans="1:24" s="3378" customFormat="1" ht="49.5" customHeight="1">
      <c r="A18" s="3502"/>
      <c r="B18" s="3502"/>
      <c r="C18" s="3503"/>
      <c r="D18" s="3505"/>
      <c r="E18" s="3383" t="s">
        <v>3143</v>
      </c>
      <c r="F18" s="3374">
        <f>G18+N18</f>
        <v>150</v>
      </c>
      <c r="G18" s="3374">
        <f t="shared" si="0"/>
        <v>150</v>
      </c>
      <c r="H18" s="3375"/>
      <c r="I18" s="3375"/>
      <c r="J18" s="3375"/>
      <c r="K18" s="3375">
        <v>150</v>
      </c>
      <c r="L18" s="3375"/>
      <c r="M18" s="3375"/>
      <c r="N18" s="3373">
        <f t="shared" ref="N18" si="4">SUM(O18:U18)</f>
        <v>0</v>
      </c>
      <c r="O18" s="3375"/>
      <c r="P18" s="3375"/>
      <c r="Q18" s="3375"/>
      <c r="R18" s="3375"/>
      <c r="S18" s="3375"/>
      <c r="T18" s="3375"/>
      <c r="U18" s="3376"/>
      <c r="V18" s="3375" t="s">
        <v>3250</v>
      </c>
      <c r="W18" s="3377">
        <v>0.4</v>
      </c>
    </row>
    <row r="19" spans="1:24" s="3378" customFormat="1" ht="15" customHeight="1">
      <c r="A19" s="3502"/>
      <c r="B19" s="3502"/>
      <c r="C19" s="3503"/>
      <c r="D19" s="3505"/>
      <c r="E19" s="3373" t="s">
        <v>3144</v>
      </c>
      <c r="F19" s="3374">
        <f t="shared" ref="F19:F22" si="5">G19+N19</f>
        <v>225</v>
      </c>
      <c r="G19" s="3374">
        <f t="shared" si="0"/>
        <v>150</v>
      </c>
      <c r="H19" s="3375"/>
      <c r="I19" s="3375"/>
      <c r="J19" s="3375"/>
      <c r="K19" s="3375"/>
      <c r="L19" s="3381"/>
      <c r="M19" s="3375">
        <v>150</v>
      </c>
      <c r="N19" s="3373">
        <f>SUM(O19:U19)</f>
        <v>75</v>
      </c>
      <c r="O19" s="3375"/>
      <c r="P19" s="3375"/>
      <c r="Q19" s="3375"/>
      <c r="R19" s="3375"/>
      <c r="S19" s="3375">
        <v>75</v>
      </c>
      <c r="T19" s="3375"/>
      <c r="U19" s="3376"/>
      <c r="V19" s="3375" t="s">
        <v>3250</v>
      </c>
      <c r="W19" s="3377">
        <f>W18</f>
        <v>0.4</v>
      </c>
    </row>
    <row r="20" spans="1:24" s="3378" customFormat="1" ht="15" customHeight="1">
      <c r="A20" s="3502"/>
      <c r="B20" s="3502"/>
      <c r="C20" s="3503"/>
      <c r="D20" s="3505"/>
      <c r="E20" s="3373" t="s">
        <v>3145</v>
      </c>
      <c r="F20" s="3374">
        <f>G20+N20</f>
        <v>9795.27</v>
      </c>
      <c r="G20" s="3374">
        <f t="shared" si="0"/>
        <v>77.63</v>
      </c>
      <c r="H20" s="3375"/>
      <c r="I20" s="3375"/>
      <c r="J20" s="3375"/>
      <c r="K20" s="3375"/>
      <c r="L20" s="3381"/>
      <c r="M20" s="3375">
        <v>77.63</v>
      </c>
      <c r="N20" s="3373">
        <f>SUM(O20:U20)</f>
        <v>9717.6400000000012</v>
      </c>
      <c r="O20" s="3375"/>
      <c r="P20" s="3375"/>
      <c r="Q20" s="3375">
        <v>3533.36</v>
      </c>
      <c r="R20" s="3375"/>
      <c r="S20" s="3375">
        <v>12</v>
      </c>
      <c r="T20" s="3375">
        <v>0</v>
      </c>
      <c r="U20" s="3376">
        <f>35.94+29.37+6106.97</f>
        <v>6172.2800000000007</v>
      </c>
      <c r="V20" s="3375"/>
      <c r="W20" s="3377">
        <v>0.6</v>
      </c>
    </row>
    <row r="21" spans="1:24" s="3378" customFormat="1" ht="15" customHeight="1">
      <c r="A21" s="3502"/>
      <c r="B21" s="3502"/>
      <c r="C21" s="3503"/>
      <c r="D21" s="3505"/>
      <c r="E21" s="3373" t="s">
        <v>3146</v>
      </c>
      <c r="F21" s="3374">
        <f t="shared" si="5"/>
        <v>1209.44</v>
      </c>
      <c r="G21" s="3374">
        <f t="shared" si="0"/>
        <v>0</v>
      </c>
      <c r="H21" s="3375"/>
      <c r="I21" s="3375"/>
      <c r="J21" s="3375"/>
      <c r="K21" s="3375"/>
      <c r="L21" s="3381"/>
      <c r="M21" s="3375"/>
      <c r="N21" s="3373">
        <f t="shared" ref="N21" si="6">SUM(O21:U21)</f>
        <v>1209.44</v>
      </c>
      <c r="O21" s="3375"/>
      <c r="P21" s="3375"/>
      <c r="Q21" s="3375">
        <v>1209.44</v>
      </c>
      <c r="R21" s="3375"/>
      <c r="S21" s="3375"/>
      <c r="T21" s="3375"/>
      <c r="U21" s="3376"/>
      <c r="V21" s="3375"/>
      <c r="W21" s="3377">
        <v>0.6</v>
      </c>
    </row>
    <row r="22" spans="1:24" s="3378" customFormat="1" ht="15" customHeight="1">
      <c r="A22" s="3502"/>
      <c r="B22" s="3502"/>
      <c r="C22" s="3503"/>
      <c r="D22" s="3505"/>
      <c r="E22" s="3373" t="s">
        <v>3147</v>
      </c>
      <c r="F22" s="3374">
        <f t="shared" si="5"/>
        <v>1209.44</v>
      </c>
      <c r="G22" s="3374">
        <f t="shared" si="0"/>
        <v>0</v>
      </c>
      <c r="H22" s="3375"/>
      <c r="I22" s="3375"/>
      <c r="J22" s="3375"/>
      <c r="K22" s="3375"/>
      <c r="L22" s="3381"/>
      <c r="M22" s="3375"/>
      <c r="N22" s="3373">
        <f>SUM(O22:U22)</f>
        <v>1209.44</v>
      </c>
      <c r="O22" s="3375"/>
      <c r="P22" s="3375"/>
      <c r="Q22" s="3375">
        <v>1209.44</v>
      </c>
      <c r="R22" s="3375"/>
      <c r="S22" s="3375"/>
      <c r="T22" s="3375"/>
      <c r="U22" s="3376"/>
      <c r="V22" s="3375"/>
      <c r="W22" s="3377">
        <v>0.6</v>
      </c>
    </row>
    <row r="23" spans="1:24" s="3378" customFormat="1" ht="15" customHeight="1">
      <c r="A23" s="3502"/>
      <c r="B23" s="3502"/>
      <c r="C23" s="3503"/>
      <c r="D23" s="3505"/>
      <c r="E23" s="3373" t="s">
        <v>3148</v>
      </c>
      <c r="F23" s="3374">
        <f>SUM(F18:F22)</f>
        <v>12589.150000000001</v>
      </c>
      <c r="G23" s="3374">
        <f t="shared" ref="G23:U23" si="7">SUM(G18:G22)</f>
        <v>377.63</v>
      </c>
      <c r="H23" s="3374">
        <f t="shared" si="7"/>
        <v>0</v>
      </c>
      <c r="I23" s="3374">
        <f t="shared" si="7"/>
        <v>0</v>
      </c>
      <c r="J23" s="3374">
        <f t="shared" si="7"/>
        <v>0</v>
      </c>
      <c r="K23" s="3374">
        <f t="shared" si="7"/>
        <v>150</v>
      </c>
      <c r="L23" s="3374">
        <f t="shared" si="7"/>
        <v>0</v>
      </c>
      <c r="M23" s="3374">
        <f t="shared" si="7"/>
        <v>227.63</v>
      </c>
      <c r="N23" s="3374">
        <f t="shared" si="7"/>
        <v>12211.520000000002</v>
      </c>
      <c r="O23" s="3374">
        <f t="shared" si="7"/>
        <v>0</v>
      </c>
      <c r="P23" s="3374">
        <f t="shared" si="7"/>
        <v>0</v>
      </c>
      <c r="Q23" s="3374">
        <f t="shared" si="7"/>
        <v>5952.24</v>
      </c>
      <c r="R23" s="3374">
        <f t="shared" si="7"/>
        <v>0</v>
      </c>
      <c r="S23" s="3374">
        <f t="shared" si="7"/>
        <v>87</v>
      </c>
      <c r="T23" s="3374">
        <f t="shared" si="7"/>
        <v>0</v>
      </c>
      <c r="U23" s="3382">
        <f t="shared" si="7"/>
        <v>6172.2800000000007</v>
      </c>
      <c r="V23" s="3375"/>
      <c r="W23" s="3377"/>
    </row>
    <row r="24" spans="1:24" s="3378" customFormat="1" ht="15" customHeight="1">
      <c r="A24" s="3502"/>
      <c r="B24" s="3502"/>
      <c r="C24" s="3503"/>
      <c r="D24" s="3505"/>
      <c r="E24" s="3373" t="s">
        <v>3149</v>
      </c>
      <c r="F24" s="3374">
        <f>SUM(F23,F17)</f>
        <v>61319.08</v>
      </c>
      <c r="G24" s="3374">
        <f t="shared" ref="G24:U24" si="8">SUM(G23,G17)</f>
        <v>42901.689999999995</v>
      </c>
      <c r="H24" s="3374">
        <f t="shared" si="8"/>
        <v>33969.820000000007</v>
      </c>
      <c r="I24" s="3374">
        <f t="shared" si="8"/>
        <v>8554.24</v>
      </c>
      <c r="J24" s="3374">
        <f t="shared" si="8"/>
        <v>0</v>
      </c>
      <c r="K24" s="3374">
        <f t="shared" si="8"/>
        <v>150</v>
      </c>
      <c r="L24" s="3374">
        <f t="shared" si="8"/>
        <v>0</v>
      </c>
      <c r="M24" s="3374">
        <f t="shared" si="8"/>
        <v>227.63</v>
      </c>
      <c r="N24" s="3374">
        <f t="shared" si="8"/>
        <v>18417.390000000003</v>
      </c>
      <c r="O24" s="3374">
        <f t="shared" si="8"/>
        <v>2611.2199999999998</v>
      </c>
      <c r="P24" s="3374">
        <f t="shared" si="8"/>
        <v>0</v>
      </c>
      <c r="Q24" s="3374">
        <f t="shared" si="8"/>
        <v>5952.24</v>
      </c>
      <c r="R24" s="3374">
        <f t="shared" si="8"/>
        <v>1970.99</v>
      </c>
      <c r="S24" s="3374">
        <f t="shared" si="8"/>
        <v>1437.0200000000002</v>
      </c>
      <c r="T24" s="3374">
        <f t="shared" si="8"/>
        <v>273.64</v>
      </c>
      <c r="U24" s="3382">
        <f t="shared" si="8"/>
        <v>6172.2800000000007</v>
      </c>
      <c r="V24" s="3375"/>
      <c r="W24" s="3377"/>
    </row>
    <row r="25" spans="1:24">
      <c r="G25" s="3386"/>
    </row>
    <row r="26" spans="1:24" s="3366" customFormat="1" ht="14.25" customHeight="1">
      <c r="A26" s="3488" t="s">
        <v>3150</v>
      </c>
      <c r="B26" s="3488" t="s">
        <v>3151</v>
      </c>
      <c r="C26" s="3465" t="s">
        <v>3152</v>
      </c>
      <c r="D26" s="3488" t="s">
        <v>3153</v>
      </c>
      <c r="E26" s="3465" t="s">
        <v>3154</v>
      </c>
      <c r="F26" s="3467" t="s">
        <v>3155</v>
      </c>
      <c r="G26" s="3468"/>
      <c r="H26" s="3468"/>
      <c r="I26" s="3468"/>
      <c r="J26" s="3468"/>
      <c r="K26" s="3468"/>
      <c r="L26" s="3468"/>
      <c r="M26" s="3468"/>
      <c r="N26" s="3468"/>
      <c r="O26" s="3468"/>
      <c r="P26" s="3468"/>
      <c r="Q26" s="3468"/>
      <c r="R26" s="3468"/>
      <c r="S26" s="3468"/>
      <c r="T26" s="3468"/>
      <c r="U26" s="3468"/>
    </row>
    <row r="27" spans="1:24" s="3366" customFormat="1" ht="11.25" customHeight="1">
      <c r="A27" s="3488"/>
      <c r="B27" s="3488"/>
      <c r="C27" s="3466"/>
      <c r="D27" s="3488"/>
      <c r="E27" s="3466"/>
      <c r="F27" s="3469" t="s">
        <v>3156</v>
      </c>
      <c r="G27" s="3471" t="s">
        <v>3157</v>
      </c>
      <c r="H27" s="3472"/>
      <c r="I27" s="3472"/>
      <c r="J27" s="3472"/>
      <c r="K27" s="3472"/>
      <c r="L27" s="3472"/>
      <c r="M27" s="3472"/>
      <c r="N27" s="3473" t="s">
        <v>3158</v>
      </c>
      <c r="O27" s="3473"/>
      <c r="P27" s="3473"/>
      <c r="Q27" s="3473"/>
      <c r="R27" s="3473"/>
      <c r="S27" s="3473"/>
      <c r="T27" s="3473"/>
      <c r="U27" s="3473"/>
      <c r="X27" s="3366" t="s">
        <v>3159</v>
      </c>
    </row>
    <row r="28" spans="1:24" s="3366" customFormat="1" ht="21" customHeight="1">
      <c r="A28" s="3465"/>
      <c r="B28" s="3465"/>
      <c r="C28" s="3466"/>
      <c r="D28" s="3465"/>
      <c r="E28" s="3466"/>
      <c r="F28" s="3470"/>
      <c r="G28" s="3367" t="s">
        <v>3160</v>
      </c>
      <c r="H28" s="3368" t="s">
        <v>3161</v>
      </c>
      <c r="I28" s="3368" t="s">
        <v>3162</v>
      </c>
      <c r="J28" s="3369" t="s">
        <v>3163</v>
      </c>
      <c r="K28" s="3369" t="s">
        <v>3164</v>
      </c>
      <c r="L28" s="3369" t="s">
        <v>3165</v>
      </c>
      <c r="M28" s="3368" t="s">
        <v>3166</v>
      </c>
      <c r="N28" s="3367" t="s">
        <v>3160</v>
      </c>
      <c r="O28" s="3370" t="s">
        <v>3167</v>
      </c>
      <c r="P28" s="3370" t="s">
        <v>3168</v>
      </c>
      <c r="Q28" s="3369" t="s">
        <v>3169</v>
      </c>
      <c r="R28" s="3369" t="s">
        <v>3170</v>
      </c>
      <c r="S28" s="3369" t="s">
        <v>3166</v>
      </c>
      <c r="T28" s="3369" t="s">
        <v>3171</v>
      </c>
      <c r="U28" s="3387" t="str">
        <f>L28</f>
        <v>公共服务设施</v>
      </c>
      <c r="V28" s="3366" t="s">
        <v>3172</v>
      </c>
      <c r="W28" s="3366" t="s">
        <v>3173</v>
      </c>
    </row>
    <row r="29" spans="1:24" s="3391" customFormat="1" ht="14.25" customHeight="1">
      <c r="A29" s="3490" t="s">
        <v>3174</v>
      </c>
      <c r="B29" s="3493" t="s">
        <v>3175</v>
      </c>
      <c r="C29" s="3496" t="s">
        <v>3176</v>
      </c>
      <c r="D29" s="3499">
        <v>34549.75</v>
      </c>
      <c r="E29" s="3388" t="s">
        <v>3177</v>
      </c>
      <c r="F29" s="3389">
        <f>G29+N29</f>
        <v>3707.06</v>
      </c>
      <c r="G29" s="3389">
        <f t="shared" ref="G29:G40" si="9">SUM(H29:M29)</f>
        <v>3271.64</v>
      </c>
      <c r="H29" s="3390">
        <v>3271.64</v>
      </c>
      <c r="I29" s="3390"/>
      <c r="J29" s="3390"/>
      <c r="K29" s="3390"/>
      <c r="L29" s="3390"/>
      <c r="M29" s="3390"/>
      <c r="N29" s="3388">
        <f>SUM(O29:U29)</f>
        <v>435.42</v>
      </c>
      <c r="O29" s="3390">
        <v>435.42</v>
      </c>
      <c r="P29" s="3390"/>
      <c r="Q29" s="3390"/>
      <c r="R29" s="3390"/>
      <c r="S29" s="3390"/>
      <c r="T29" s="3390"/>
      <c r="U29" s="3390"/>
      <c r="V29" s="3390"/>
      <c r="W29" s="3389"/>
    </row>
    <row r="30" spans="1:24" s="3391" customFormat="1" ht="14.25" customHeight="1">
      <c r="A30" s="3491"/>
      <c r="B30" s="3494"/>
      <c r="C30" s="3497"/>
      <c r="D30" s="3500"/>
      <c r="E30" s="3388" t="s">
        <v>3178</v>
      </c>
      <c r="F30" s="3389">
        <f t="shared" ref="F30:F54" si="10">G30+N30</f>
        <v>3707.06</v>
      </c>
      <c r="G30" s="3389">
        <f t="shared" ref="G30:G39" si="11">SUM(H30:M30)</f>
        <v>3271.64</v>
      </c>
      <c r="H30" s="3390">
        <v>3271.64</v>
      </c>
      <c r="I30" s="3390"/>
      <c r="J30" s="3390"/>
      <c r="K30" s="3390"/>
      <c r="L30" s="3390"/>
      <c r="M30" s="3390"/>
      <c r="N30" s="3388">
        <f t="shared" ref="N30:N54" si="12">SUM(O30:U30)</f>
        <v>435.42</v>
      </c>
      <c r="O30" s="3390">
        <v>435.42</v>
      </c>
      <c r="P30" s="3390"/>
      <c r="Q30" s="3390"/>
      <c r="R30" s="3390"/>
      <c r="S30" s="3390"/>
      <c r="T30" s="3390"/>
      <c r="U30" s="3390"/>
      <c r="V30" s="3390"/>
      <c r="W30" s="3389"/>
    </row>
    <row r="31" spans="1:24" s="3391" customFormat="1" ht="14.25" customHeight="1">
      <c r="A31" s="3491"/>
      <c r="B31" s="3494"/>
      <c r="C31" s="3497"/>
      <c r="D31" s="3500"/>
      <c r="E31" s="3388" t="s">
        <v>3179</v>
      </c>
      <c r="F31" s="3389">
        <f t="shared" si="10"/>
        <v>3707.06</v>
      </c>
      <c r="G31" s="3389">
        <f t="shared" si="11"/>
        <v>3271.64</v>
      </c>
      <c r="H31" s="3390">
        <v>3271.64</v>
      </c>
      <c r="I31" s="3390"/>
      <c r="J31" s="3390"/>
      <c r="K31" s="3390"/>
      <c r="L31" s="3390"/>
      <c r="M31" s="3390"/>
      <c r="N31" s="3388">
        <f t="shared" si="12"/>
        <v>435.42</v>
      </c>
      <c r="O31" s="3390">
        <v>435.42</v>
      </c>
      <c r="P31" s="3390"/>
      <c r="Q31" s="3390"/>
      <c r="R31" s="3390"/>
      <c r="S31" s="3390"/>
      <c r="T31" s="3390"/>
      <c r="U31" s="3390"/>
      <c r="V31" s="3390"/>
      <c r="W31" s="3389"/>
    </row>
    <row r="32" spans="1:24" s="3391" customFormat="1" ht="14.25" customHeight="1">
      <c r="A32" s="3491"/>
      <c r="B32" s="3494"/>
      <c r="C32" s="3497"/>
      <c r="D32" s="3500"/>
      <c r="E32" s="3388" t="s">
        <v>3180</v>
      </c>
      <c r="F32" s="3389">
        <f t="shared" si="10"/>
        <v>4431.75</v>
      </c>
      <c r="G32" s="3389">
        <f t="shared" si="11"/>
        <v>3951.07</v>
      </c>
      <c r="H32" s="3390">
        <v>3951.07</v>
      </c>
      <c r="I32" s="3390"/>
      <c r="J32" s="3390"/>
      <c r="K32" s="3390"/>
      <c r="L32" s="3390"/>
      <c r="M32" s="3390"/>
      <c r="N32" s="3388">
        <f t="shared" si="12"/>
        <v>480.68</v>
      </c>
      <c r="O32" s="3390"/>
      <c r="P32" s="3390"/>
      <c r="Q32" s="3390"/>
      <c r="R32" s="3390"/>
      <c r="S32" s="3390">
        <v>480.68</v>
      </c>
      <c r="T32" s="3390"/>
      <c r="U32" s="3390"/>
      <c r="V32" s="3390"/>
      <c r="W32" s="3389"/>
    </row>
    <row r="33" spans="1:23" s="3391" customFormat="1" ht="14.25" customHeight="1">
      <c r="A33" s="3491"/>
      <c r="B33" s="3494"/>
      <c r="C33" s="3497"/>
      <c r="D33" s="3500"/>
      <c r="E33" s="3388" t="s">
        <v>3181</v>
      </c>
      <c r="F33" s="3389">
        <f t="shared" si="10"/>
        <v>4431.75</v>
      </c>
      <c r="G33" s="3389">
        <f t="shared" si="11"/>
        <v>3951.07</v>
      </c>
      <c r="H33" s="3390">
        <v>3951.07</v>
      </c>
      <c r="I33" s="3390"/>
      <c r="J33" s="3390"/>
      <c r="K33" s="3390"/>
      <c r="L33" s="3390"/>
      <c r="M33" s="3390"/>
      <c r="N33" s="3388">
        <f t="shared" si="12"/>
        <v>480.68</v>
      </c>
      <c r="O33" s="3390"/>
      <c r="P33" s="3390"/>
      <c r="Q33" s="3390"/>
      <c r="R33" s="3390"/>
      <c r="S33" s="3390">
        <v>480.68</v>
      </c>
      <c r="T33" s="3390"/>
      <c r="U33" s="3390"/>
      <c r="V33" s="3390"/>
      <c r="W33" s="3389"/>
    </row>
    <row r="34" spans="1:23" s="3391" customFormat="1" ht="14.25" customHeight="1">
      <c r="A34" s="3491"/>
      <c r="B34" s="3494"/>
      <c r="C34" s="3497"/>
      <c r="D34" s="3500"/>
      <c r="E34" s="3388" t="s">
        <v>3182</v>
      </c>
      <c r="F34" s="3389">
        <f t="shared" si="10"/>
        <v>4431.75</v>
      </c>
      <c r="G34" s="3389">
        <f t="shared" si="11"/>
        <v>3951.07</v>
      </c>
      <c r="H34" s="3390">
        <v>3951.07</v>
      </c>
      <c r="I34" s="3390"/>
      <c r="J34" s="3390"/>
      <c r="K34" s="3390"/>
      <c r="L34" s="3390"/>
      <c r="M34" s="3390"/>
      <c r="N34" s="3388">
        <f t="shared" si="12"/>
        <v>480.68</v>
      </c>
      <c r="O34" s="3390"/>
      <c r="P34" s="3390"/>
      <c r="Q34" s="3390"/>
      <c r="R34" s="3390"/>
      <c r="S34" s="3390">
        <v>480.68</v>
      </c>
      <c r="T34" s="3390"/>
      <c r="U34" s="3390"/>
      <c r="V34" s="3390"/>
      <c r="W34" s="3389"/>
    </row>
    <row r="35" spans="1:23" s="3391" customFormat="1" ht="14.25" customHeight="1">
      <c r="A35" s="3491"/>
      <c r="B35" s="3494"/>
      <c r="C35" s="3497"/>
      <c r="D35" s="3500"/>
      <c r="E35" s="3388" t="s">
        <v>3183</v>
      </c>
      <c r="F35" s="3389">
        <f t="shared" si="10"/>
        <v>7029.34</v>
      </c>
      <c r="G35" s="3389">
        <f t="shared" si="11"/>
        <v>6231.62</v>
      </c>
      <c r="H35" s="3390">
        <v>6231.62</v>
      </c>
      <c r="I35" s="3390"/>
      <c r="J35" s="3390"/>
      <c r="K35" s="3390"/>
      <c r="L35" s="3390"/>
      <c r="M35" s="3390"/>
      <c r="N35" s="3388">
        <f t="shared" si="12"/>
        <v>797.72</v>
      </c>
      <c r="O35" s="3390"/>
      <c r="P35" s="3390"/>
      <c r="Q35" s="3390"/>
      <c r="R35" s="3390"/>
      <c r="S35" s="3390">
        <v>797.72</v>
      </c>
      <c r="T35" s="3390"/>
      <c r="U35" s="3390"/>
      <c r="V35" s="3390"/>
      <c r="W35" s="3389"/>
    </row>
    <row r="36" spans="1:23" s="3391" customFormat="1" ht="14.25" customHeight="1">
      <c r="A36" s="3491"/>
      <c r="B36" s="3494"/>
      <c r="C36" s="3497"/>
      <c r="D36" s="3500"/>
      <c r="E36" s="3388" t="s">
        <v>3184</v>
      </c>
      <c r="F36" s="3389">
        <f t="shared" si="10"/>
        <v>6018.57</v>
      </c>
      <c r="G36" s="3389">
        <f t="shared" si="11"/>
        <v>5350.37</v>
      </c>
      <c r="H36" s="3390">
        <v>5350.37</v>
      </c>
      <c r="I36" s="3390"/>
      <c r="J36" s="3390"/>
      <c r="K36" s="3390"/>
      <c r="L36" s="3390"/>
      <c r="M36" s="3390"/>
      <c r="N36" s="3388">
        <f t="shared" si="12"/>
        <v>668.2</v>
      </c>
      <c r="O36" s="3390"/>
      <c r="P36" s="3390"/>
      <c r="Q36" s="3390"/>
      <c r="R36" s="3390"/>
      <c r="S36" s="3390">
        <v>668.2</v>
      </c>
      <c r="T36" s="3390"/>
      <c r="U36" s="3390"/>
      <c r="V36" s="3390"/>
      <c r="W36" s="3389"/>
    </row>
    <row r="37" spans="1:23" s="3391" customFormat="1" ht="14.25" customHeight="1">
      <c r="A37" s="3491"/>
      <c r="B37" s="3494"/>
      <c r="C37" s="3497"/>
      <c r="D37" s="3500"/>
      <c r="E37" s="3388" t="s">
        <v>3185</v>
      </c>
      <c r="F37" s="3389">
        <f t="shared" si="10"/>
        <v>950.83</v>
      </c>
      <c r="G37" s="3389">
        <f t="shared" si="11"/>
        <v>834.83</v>
      </c>
      <c r="H37" s="3390"/>
      <c r="I37" s="3390"/>
      <c r="J37" s="3390">
        <v>834.83</v>
      </c>
      <c r="K37" s="3390"/>
      <c r="L37" s="3390"/>
      <c r="M37" s="3390"/>
      <c r="N37" s="3388">
        <f t="shared" si="12"/>
        <v>116</v>
      </c>
      <c r="O37" s="3390">
        <v>116</v>
      </c>
      <c r="P37" s="3390"/>
      <c r="Q37" s="3390"/>
      <c r="R37" s="3390"/>
      <c r="S37" s="3390"/>
      <c r="T37" s="3390"/>
      <c r="U37" s="3390"/>
      <c r="V37" s="3390"/>
      <c r="W37" s="3389"/>
    </row>
    <row r="38" spans="1:23" s="3391" customFormat="1" ht="14.25" customHeight="1">
      <c r="A38" s="3491"/>
      <c r="B38" s="3494"/>
      <c r="C38" s="3497"/>
      <c r="D38" s="3500"/>
      <c r="E38" s="3388" t="s">
        <v>3186</v>
      </c>
      <c r="F38" s="3389">
        <f t="shared" si="10"/>
        <v>1254.8499999999999</v>
      </c>
      <c r="G38" s="3389">
        <f t="shared" si="11"/>
        <v>1100.57</v>
      </c>
      <c r="H38" s="3390"/>
      <c r="I38" s="3390"/>
      <c r="J38" s="3390">
        <v>1100.57</v>
      </c>
      <c r="K38" s="3390"/>
      <c r="L38" s="3390"/>
      <c r="M38" s="3390"/>
      <c r="N38" s="3388">
        <f t="shared" si="12"/>
        <v>154.28</v>
      </c>
      <c r="O38" s="3390">
        <v>154.28</v>
      </c>
      <c r="P38" s="3390"/>
      <c r="Q38" s="3390"/>
      <c r="R38" s="3390"/>
      <c r="S38" s="3390"/>
      <c r="T38" s="3390"/>
      <c r="U38" s="3390"/>
      <c r="V38" s="3390"/>
      <c r="W38" s="3389"/>
    </row>
    <row r="39" spans="1:23" s="3391" customFormat="1" ht="14.25" customHeight="1">
      <c r="A39" s="3491"/>
      <c r="B39" s="3494"/>
      <c r="C39" s="3497"/>
      <c r="D39" s="3500"/>
      <c r="E39" s="3388" t="s">
        <v>3187</v>
      </c>
      <c r="F39" s="3389">
        <f t="shared" si="10"/>
        <v>1254.8499999999999</v>
      </c>
      <c r="G39" s="3389">
        <f t="shared" si="11"/>
        <v>1100.57</v>
      </c>
      <c r="H39" s="3390"/>
      <c r="I39" s="3390"/>
      <c r="J39" s="3390">
        <v>1100.57</v>
      </c>
      <c r="K39" s="3390"/>
      <c r="L39" s="3390"/>
      <c r="M39" s="3390"/>
      <c r="N39" s="3388">
        <f t="shared" si="12"/>
        <v>154.28</v>
      </c>
      <c r="O39" s="3390">
        <v>154.28</v>
      </c>
      <c r="P39" s="3390"/>
      <c r="Q39" s="3390"/>
      <c r="R39" s="3390"/>
      <c r="S39" s="3390"/>
      <c r="T39" s="3390"/>
      <c r="U39" s="3390"/>
      <c r="V39" s="3390"/>
      <c r="W39" s="3389"/>
    </row>
    <row r="40" spans="1:23" s="3391" customFormat="1" ht="14.25" customHeight="1">
      <c r="A40" s="3491"/>
      <c r="B40" s="3494"/>
      <c r="C40" s="3497"/>
      <c r="D40" s="3500"/>
      <c r="E40" s="3388" t="s">
        <v>3188</v>
      </c>
      <c r="F40" s="3389">
        <f t="shared" si="10"/>
        <v>1875.82</v>
      </c>
      <c r="G40" s="3389">
        <f t="shared" si="9"/>
        <v>1644.98</v>
      </c>
      <c r="H40" s="3390"/>
      <c r="I40" s="3390"/>
      <c r="J40" s="3390">
        <v>1644.98</v>
      </c>
      <c r="K40" s="3390"/>
      <c r="L40" s="3390"/>
      <c r="M40" s="3390"/>
      <c r="N40" s="3388">
        <f t="shared" si="12"/>
        <v>230.84</v>
      </c>
      <c r="O40" s="3390">
        <v>230.84</v>
      </c>
      <c r="P40" s="3390"/>
      <c r="Q40" s="3390"/>
      <c r="R40" s="3390"/>
      <c r="S40" s="3390"/>
      <c r="T40" s="3390"/>
      <c r="U40" s="3390"/>
      <c r="V40" s="3390"/>
      <c r="W40" s="3389"/>
    </row>
    <row r="41" spans="1:23" s="3391" customFormat="1" ht="14.25" customHeight="1">
      <c r="A41" s="3491"/>
      <c r="B41" s="3494"/>
      <c r="C41" s="3497"/>
      <c r="D41" s="3500"/>
      <c r="E41" s="3388" t="s">
        <v>3189</v>
      </c>
      <c r="F41" s="3389">
        <f t="shared" si="10"/>
        <v>2078.8000000000002</v>
      </c>
      <c r="G41" s="3389">
        <f t="shared" ref="G41:G54" si="13">SUM(H41:M41)</f>
        <v>1644.98</v>
      </c>
      <c r="H41" s="3390"/>
      <c r="I41" s="3390"/>
      <c r="J41" s="3390">
        <v>1644.98</v>
      </c>
      <c r="K41" s="3390"/>
      <c r="L41" s="3390"/>
      <c r="M41" s="3390"/>
      <c r="N41" s="3388">
        <f t="shared" si="12"/>
        <v>433.82</v>
      </c>
      <c r="O41" s="3390">
        <v>433.82</v>
      </c>
      <c r="P41" s="3390"/>
      <c r="Q41" s="3390"/>
      <c r="R41" s="3390"/>
      <c r="S41" s="3390"/>
      <c r="T41" s="3390"/>
      <c r="U41" s="3390"/>
      <c r="V41" s="3390"/>
      <c r="W41" s="3389"/>
    </row>
    <row r="42" spans="1:23" s="3391" customFormat="1" ht="14.25" customHeight="1">
      <c r="A42" s="3491"/>
      <c r="B42" s="3494"/>
      <c r="C42" s="3497"/>
      <c r="D42" s="3500"/>
      <c r="E42" s="3388" t="s">
        <v>3190</v>
      </c>
      <c r="F42" s="3389">
        <f t="shared" si="10"/>
        <v>481.68</v>
      </c>
      <c r="G42" s="3389">
        <f t="shared" si="13"/>
        <v>481.68</v>
      </c>
      <c r="H42" s="3390"/>
      <c r="I42" s="3390"/>
      <c r="J42" s="3390">
        <v>481.68</v>
      </c>
      <c r="K42" s="3390"/>
      <c r="L42" s="3390"/>
      <c r="M42" s="3390"/>
      <c r="N42" s="3388">
        <f t="shared" si="12"/>
        <v>0</v>
      </c>
      <c r="O42" s="3390"/>
      <c r="P42" s="3390"/>
      <c r="Q42" s="3390"/>
      <c r="R42" s="3390"/>
      <c r="S42" s="3390"/>
      <c r="T42" s="3390"/>
      <c r="U42" s="3390"/>
      <c r="V42" s="3390"/>
      <c r="W42" s="3389"/>
    </row>
    <row r="43" spans="1:23" s="3391" customFormat="1" ht="14.25" customHeight="1">
      <c r="A43" s="3491"/>
      <c r="B43" s="3494"/>
      <c r="C43" s="3497"/>
      <c r="D43" s="3500"/>
      <c r="E43" s="3388" t="s">
        <v>3191</v>
      </c>
      <c r="F43" s="3389">
        <f t="shared" si="10"/>
        <v>1259.49</v>
      </c>
      <c r="G43" s="3389">
        <f t="shared" si="13"/>
        <v>1105.79</v>
      </c>
      <c r="H43" s="3390"/>
      <c r="I43" s="3390"/>
      <c r="J43" s="3390">
        <v>1105.79</v>
      </c>
      <c r="K43" s="3390"/>
      <c r="L43" s="3390"/>
      <c r="M43" s="3390"/>
      <c r="N43" s="3388">
        <f t="shared" si="12"/>
        <v>153.69999999999999</v>
      </c>
      <c r="O43" s="3390">
        <v>153.69999999999999</v>
      </c>
      <c r="P43" s="3390"/>
      <c r="Q43" s="3390"/>
      <c r="R43" s="3390"/>
      <c r="S43" s="3390"/>
      <c r="T43" s="3390"/>
      <c r="U43" s="3390"/>
      <c r="V43" s="3390"/>
      <c r="W43" s="3389"/>
    </row>
    <row r="44" spans="1:23" s="3391" customFormat="1" ht="14.25" customHeight="1">
      <c r="A44" s="3491"/>
      <c r="B44" s="3494"/>
      <c r="C44" s="3497"/>
      <c r="D44" s="3500"/>
      <c r="E44" s="3388" t="s">
        <v>3192</v>
      </c>
      <c r="F44" s="3389">
        <f t="shared" si="10"/>
        <v>513.82000000000005</v>
      </c>
      <c r="G44" s="3389">
        <f t="shared" si="13"/>
        <v>513.82000000000005</v>
      </c>
      <c r="H44" s="3390"/>
      <c r="I44" s="3390"/>
      <c r="J44" s="3390">
        <v>513.82000000000005</v>
      </c>
      <c r="K44" s="3390"/>
      <c r="L44" s="3390"/>
      <c r="M44" s="3390"/>
      <c r="N44" s="3388">
        <f t="shared" si="12"/>
        <v>0</v>
      </c>
      <c r="O44" s="3390"/>
      <c r="P44" s="3390"/>
      <c r="Q44" s="3390"/>
      <c r="R44" s="3390"/>
      <c r="S44" s="3390"/>
      <c r="T44" s="3390"/>
      <c r="U44" s="3390"/>
      <c r="V44" s="3390"/>
      <c r="W44" s="3389"/>
    </row>
    <row r="45" spans="1:23" s="3391" customFormat="1" ht="14.25" customHeight="1">
      <c r="A45" s="3491"/>
      <c r="B45" s="3494"/>
      <c r="C45" s="3497"/>
      <c r="D45" s="3500"/>
      <c r="E45" s="3388" t="s">
        <v>3193</v>
      </c>
      <c r="F45" s="3389">
        <f t="shared" si="10"/>
        <v>1259.49</v>
      </c>
      <c r="G45" s="3389">
        <f t="shared" si="13"/>
        <v>1105.79</v>
      </c>
      <c r="H45" s="3390"/>
      <c r="I45" s="3390"/>
      <c r="J45" s="3390">
        <v>1105.79</v>
      </c>
      <c r="K45" s="3390"/>
      <c r="L45" s="3390"/>
      <c r="M45" s="3390"/>
      <c r="N45" s="3388">
        <f t="shared" si="12"/>
        <v>153.69999999999999</v>
      </c>
      <c r="O45" s="3390">
        <v>153.69999999999999</v>
      </c>
      <c r="P45" s="3390"/>
      <c r="Q45" s="3390"/>
      <c r="R45" s="3390"/>
      <c r="S45" s="3390"/>
      <c r="T45" s="3390"/>
      <c r="U45" s="3390"/>
      <c r="V45" s="3390"/>
      <c r="W45" s="3389"/>
    </row>
    <row r="46" spans="1:23" s="3391" customFormat="1" ht="14.25" customHeight="1">
      <c r="A46" s="3491"/>
      <c r="B46" s="3494"/>
      <c r="C46" s="3497"/>
      <c r="D46" s="3500"/>
      <c r="E46" s="3388" t="s">
        <v>3194</v>
      </c>
      <c r="F46" s="3389">
        <f t="shared" si="10"/>
        <v>407.24</v>
      </c>
      <c r="G46" s="3389">
        <f t="shared" si="13"/>
        <v>407.24</v>
      </c>
      <c r="H46" s="3390"/>
      <c r="I46" s="3390"/>
      <c r="J46" s="3390">
        <v>407.24</v>
      </c>
      <c r="K46" s="3390"/>
      <c r="L46" s="3390"/>
      <c r="M46" s="3390"/>
      <c r="N46" s="3388">
        <f t="shared" si="12"/>
        <v>0</v>
      </c>
      <c r="O46" s="3390"/>
      <c r="P46" s="3390"/>
      <c r="Q46" s="3390"/>
      <c r="R46" s="3390"/>
      <c r="S46" s="3390"/>
      <c r="T46" s="3390"/>
      <c r="U46" s="3390"/>
      <c r="V46" s="3390"/>
      <c r="W46" s="3389"/>
    </row>
    <row r="47" spans="1:23" s="3391" customFormat="1" ht="14.25" customHeight="1">
      <c r="A47" s="3491"/>
      <c r="B47" s="3494"/>
      <c r="C47" s="3497"/>
      <c r="D47" s="3500"/>
      <c r="E47" s="3388" t="s">
        <v>3195</v>
      </c>
      <c r="F47" s="3389">
        <f t="shared" si="10"/>
        <v>1259.49</v>
      </c>
      <c r="G47" s="3389">
        <f t="shared" si="13"/>
        <v>1105.79</v>
      </c>
      <c r="H47" s="3390"/>
      <c r="I47" s="3390"/>
      <c r="J47" s="3390">
        <v>1105.79</v>
      </c>
      <c r="K47" s="3390"/>
      <c r="L47" s="3390"/>
      <c r="M47" s="3390"/>
      <c r="N47" s="3388">
        <f t="shared" si="12"/>
        <v>153.69999999999999</v>
      </c>
      <c r="O47" s="3390">
        <v>153.69999999999999</v>
      </c>
      <c r="P47" s="3390"/>
      <c r="Q47" s="3390"/>
      <c r="R47" s="3390"/>
      <c r="S47" s="3390"/>
      <c r="T47" s="3390"/>
      <c r="U47" s="3390"/>
      <c r="V47" s="3390"/>
      <c r="W47" s="3389"/>
    </row>
    <row r="48" spans="1:23" s="3391" customFormat="1" ht="14.25" customHeight="1">
      <c r="A48" s="3491"/>
      <c r="B48" s="3494"/>
      <c r="C48" s="3497"/>
      <c r="D48" s="3500"/>
      <c r="E48" s="3388" t="s">
        <v>3196</v>
      </c>
      <c r="F48" s="3389">
        <f t="shared" si="10"/>
        <v>532.5</v>
      </c>
      <c r="G48" s="3389">
        <f t="shared" si="13"/>
        <v>532.5</v>
      </c>
      <c r="H48" s="3390"/>
      <c r="I48" s="3390"/>
      <c r="J48" s="3390">
        <v>532.5</v>
      </c>
      <c r="K48" s="3390"/>
      <c r="L48" s="3390"/>
      <c r="M48" s="3390"/>
      <c r="N48" s="3388">
        <f t="shared" si="12"/>
        <v>0</v>
      </c>
      <c r="O48" s="3390"/>
      <c r="P48" s="3390"/>
      <c r="Q48" s="3390"/>
      <c r="R48" s="3390"/>
      <c r="S48" s="3390"/>
      <c r="T48" s="3390"/>
      <c r="U48" s="3390"/>
      <c r="V48" s="3390"/>
      <c r="W48" s="3389"/>
    </row>
    <row r="49" spans="1:24" s="3391" customFormat="1" ht="14.25" customHeight="1">
      <c r="A49" s="3491"/>
      <c r="B49" s="3494"/>
      <c r="C49" s="3497"/>
      <c r="D49" s="3500"/>
      <c r="E49" s="3388" t="s">
        <v>3197</v>
      </c>
      <c r="F49" s="3389">
        <f t="shared" si="10"/>
        <v>1259.49</v>
      </c>
      <c r="G49" s="3389">
        <f t="shared" si="13"/>
        <v>1105.79</v>
      </c>
      <c r="H49" s="3390"/>
      <c r="I49" s="3390"/>
      <c r="J49" s="3390">
        <v>1105.79</v>
      </c>
      <c r="K49" s="3390"/>
      <c r="L49" s="3390"/>
      <c r="M49" s="3390"/>
      <c r="N49" s="3388">
        <f t="shared" si="12"/>
        <v>153.69999999999999</v>
      </c>
      <c r="O49" s="3390">
        <v>153.69999999999999</v>
      </c>
      <c r="P49" s="3390"/>
      <c r="Q49" s="3390"/>
      <c r="R49" s="3390"/>
      <c r="S49" s="3390"/>
      <c r="T49" s="3390"/>
      <c r="U49" s="3390"/>
      <c r="V49" s="3390"/>
      <c r="W49" s="3389"/>
    </row>
    <row r="50" spans="1:24" s="3391" customFormat="1" ht="14.25" customHeight="1">
      <c r="A50" s="3491"/>
      <c r="B50" s="3494"/>
      <c r="C50" s="3497"/>
      <c r="D50" s="3500"/>
      <c r="E50" s="3388" t="s">
        <v>3198</v>
      </c>
      <c r="F50" s="3389">
        <f t="shared" si="10"/>
        <v>408.86</v>
      </c>
      <c r="G50" s="3389">
        <f t="shared" si="13"/>
        <v>408.86</v>
      </c>
      <c r="H50" s="3390"/>
      <c r="I50" s="3390"/>
      <c r="J50" s="3390">
        <v>408.86</v>
      </c>
      <c r="K50" s="3390"/>
      <c r="L50" s="3390"/>
      <c r="M50" s="3390"/>
      <c r="N50" s="3388">
        <f t="shared" si="12"/>
        <v>0</v>
      </c>
      <c r="O50" s="3390"/>
      <c r="P50" s="3390"/>
      <c r="Q50" s="3390"/>
      <c r="R50" s="3390"/>
      <c r="S50" s="3390"/>
      <c r="T50" s="3390"/>
      <c r="U50" s="3390"/>
      <c r="V50" s="3390"/>
      <c r="W50" s="3389"/>
    </row>
    <row r="51" spans="1:24" s="3391" customFormat="1" ht="14.25" customHeight="1">
      <c r="A51" s="3491"/>
      <c r="B51" s="3494"/>
      <c r="C51" s="3497"/>
      <c r="D51" s="3500"/>
      <c r="E51" s="3388" t="s">
        <v>3199</v>
      </c>
      <c r="F51" s="3389">
        <f t="shared" si="10"/>
        <v>1259.49</v>
      </c>
      <c r="G51" s="3389">
        <f t="shared" si="13"/>
        <v>1105.79</v>
      </c>
      <c r="H51" s="3390"/>
      <c r="I51" s="3390"/>
      <c r="J51" s="3390">
        <v>1105.79</v>
      </c>
      <c r="K51" s="3390"/>
      <c r="L51" s="3390"/>
      <c r="M51" s="3390"/>
      <c r="N51" s="3388">
        <f t="shared" si="12"/>
        <v>153.69999999999999</v>
      </c>
      <c r="O51" s="3390">
        <v>153.69999999999999</v>
      </c>
      <c r="P51" s="3390"/>
      <c r="Q51" s="3390"/>
      <c r="R51" s="3390"/>
      <c r="S51" s="3390"/>
      <c r="T51" s="3390"/>
      <c r="U51" s="3390"/>
      <c r="V51" s="3390"/>
      <c r="W51" s="3389"/>
    </row>
    <row r="52" spans="1:24" s="3391" customFormat="1" ht="14.25" customHeight="1">
      <c r="A52" s="3491"/>
      <c r="B52" s="3494"/>
      <c r="C52" s="3497"/>
      <c r="D52" s="3500"/>
      <c r="E52" s="3388" t="s">
        <v>3200</v>
      </c>
      <c r="F52" s="3389">
        <f t="shared" si="10"/>
        <v>572.9</v>
      </c>
      <c r="G52" s="3389">
        <f t="shared" si="13"/>
        <v>572.9</v>
      </c>
      <c r="H52" s="3390"/>
      <c r="I52" s="3390"/>
      <c r="J52" s="3390"/>
      <c r="K52" s="3390"/>
      <c r="L52" s="3390">
        <v>572.9</v>
      </c>
      <c r="M52" s="3390"/>
      <c r="N52" s="3388">
        <f t="shared" si="12"/>
        <v>0</v>
      </c>
      <c r="O52" s="3390"/>
      <c r="P52" s="3390"/>
      <c r="Q52" s="3390"/>
      <c r="R52" s="3390"/>
      <c r="S52" s="3390"/>
      <c r="T52" s="3390"/>
      <c r="U52" s="3390"/>
      <c r="V52" s="3390"/>
      <c r="W52" s="3389"/>
    </row>
    <row r="53" spans="1:24" s="3391" customFormat="1" ht="14.25" customHeight="1">
      <c r="A53" s="3491"/>
      <c r="B53" s="3494"/>
      <c r="C53" s="3497"/>
      <c r="D53" s="3500"/>
      <c r="E53" s="3388" t="s">
        <v>3201</v>
      </c>
      <c r="F53" s="3389">
        <f t="shared" si="10"/>
        <v>225</v>
      </c>
      <c r="G53" s="3389">
        <f t="shared" si="13"/>
        <v>150</v>
      </c>
      <c r="H53" s="3390"/>
      <c r="I53" s="3390"/>
      <c r="J53" s="3390"/>
      <c r="K53" s="3390"/>
      <c r="L53" s="3390"/>
      <c r="M53" s="3390">
        <v>150</v>
      </c>
      <c r="N53" s="3388">
        <f t="shared" si="12"/>
        <v>75</v>
      </c>
      <c r="O53" s="3390"/>
      <c r="P53" s="3390"/>
      <c r="Q53" s="3390"/>
      <c r="R53" s="3390"/>
      <c r="S53" s="3390">
        <v>75</v>
      </c>
      <c r="T53" s="3390"/>
      <c r="U53" s="3390"/>
      <c r="V53" s="3390"/>
      <c r="W53" s="3389"/>
    </row>
    <row r="54" spans="1:24" s="3391" customFormat="1" ht="14.25" customHeight="1">
      <c r="A54" s="3491"/>
      <c r="B54" s="3494"/>
      <c r="C54" s="3497"/>
      <c r="D54" s="3500"/>
      <c r="E54" s="3388" t="s">
        <v>3202</v>
      </c>
      <c r="F54" s="3389">
        <f t="shared" si="10"/>
        <v>16720.919999999998</v>
      </c>
      <c r="G54" s="3389">
        <f t="shared" si="13"/>
        <v>198</v>
      </c>
      <c r="H54" s="3390"/>
      <c r="I54" s="3390"/>
      <c r="J54" s="3390"/>
      <c r="K54" s="3390"/>
      <c r="L54" s="3390"/>
      <c r="M54" s="3390">
        <v>198</v>
      </c>
      <c r="N54" s="3388">
        <f t="shared" si="12"/>
        <v>16522.919999999998</v>
      </c>
      <c r="O54" s="3390"/>
      <c r="P54" s="3390"/>
      <c r="Q54" s="3390">
        <v>15430.87</v>
      </c>
      <c r="R54" s="3390"/>
      <c r="S54" s="3392">
        <f>16522.94-Q54-0.02</f>
        <v>1092.0499999999979</v>
      </c>
      <c r="T54" s="3390"/>
      <c r="U54" s="3390"/>
      <c r="V54" s="3390"/>
      <c r="W54" s="3389"/>
    </row>
    <row r="55" spans="1:24" s="3391" customFormat="1" ht="14.25" customHeight="1">
      <c r="A55" s="3492"/>
      <c r="B55" s="3495"/>
      <c r="C55" s="3498"/>
      <c r="D55" s="3501"/>
      <c r="E55" s="3388" t="s">
        <v>3142</v>
      </c>
      <c r="F55" s="3389">
        <f>SUM(F29:F54)</f>
        <v>71039.859999999986</v>
      </c>
      <c r="G55" s="3389">
        <f>SUM(G29:G54)</f>
        <v>48370.000000000015</v>
      </c>
      <c r="H55" s="3390">
        <f>SUM(H29:H54)</f>
        <v>33250.120000000003</v>
      </c>
      <c r="I55" s="3390">
        <f t="shared" ref="I55:U55" si="14">SUM(I29:I54)</f>
        <v>0</v>
      </c>
      <c r="J55" s="3390">
        <f t="shared" si="14"/>
        <v>14198.980000000003</v>
      </c>
      <c r="K55" s="3390">
        <f t="shared" si="14"/>
        <v>0</v>
      </c>
      <c r="L55" s="3390">
        <f t="shared" si="14"/>
        <v>572.9</v>
      </c>
      <c r="M55" s="3390">
        <f t="shared" si="14"/>
        <v>348</v>
      </c>
      <c r="N55" s="3393">
        <f>SUM(N29:N54)</f>
        <v>22669.859999999997</v>
      </c>
      <c r="O55" s="3390">
        <f t="shared" si="14"/>
        <v>3163.9799999999991</v>
      </c>
      <c r="P55" s="3390">
        <f t="shared" si="14"/>
        <v>0</v>
      </c>
      <c r="Q55" s="3390">
        <f t="shared" si="14"/>
        <v>15430.87</v>
      </c>
      <c r="R55" s="3390">
        <f t="shared" si="14"/>
        <v>0</v>
      </c>
      <c r="S55" s="3392">
        <f>SUM(S29:S54)</f>
        <v>4075.0099999999979</v>
      </c>
      <c r="T55" s="3390">
        <f t="shared" si="14"/>
        <v>0</v>
      </c>
      <c r="U55" s="3390">
        <f t="shared" si="14"/>
        <v>0</v>
      </c>
      <c r="V55" s="3390"/>
      <c r="W55" s="3389"/>
    </row>
    <row r="57" spans="1:24" s="3366" customFormat="1" ht="12" customHeight="1">
      <c r="A57" s="3465" t="s">
        <v>3203</v>
      </c>
      <c r="B57" s="3488" t="s">
        <v>3151</v>
      </c>
      <c r="C57" s="3465" t="s">
        <v>3152</v>
      </c>
      <c r="D57" s="3488" t="s">
        <v>3153</v>
      </c>
      <c r="E57" s="3465" t="s">
        <v>3154</v>
      </c>
      <c r="F57" s="3467" t="s">
        <v>3155</v>
      </c>
      <c r="G57" s="3468"/>
      <c r="H57" s="3468"/>
      <c r="I57" s="3468"/>
      <c r="J57" s="3468"/>
      <c r="K57" s="3468"/>
      <c r="L57" s="3468"/>
      <c r="M57" s="3468"/>
      <c r="N57" s="3468"/>
      <c r="O57" s="3468"/>
      <c r="P57" s="3468"/>
      <c r="Q57" s="3468"/>
      <c r="R57" s="3468"/>
      <c r="S57" s="3468"/>
      <c r="T57" s="3468"/>
      <c r="U57" s="3468"/>
    </row>
    <row r="58" spans="1:24" s="3366" customFormat="1" ht="11.25" customHeight="1">
      <c r="A58" s="3466"/>
      <c r="B58" s="3488"/>
      <c r="C58" s="3466"/>
      <c r="D58" s="3488"/>
      <c r="E58" s="3466"/>
      <c r="F58" s="3469" t="s">
        <v>3156</v>
      </c>
      <c r="G58" s="3471" t="s">
        <v>3157</v>
      </c>
      <c r="H58" s="3472"/>
      <c r="I58" s="3472"/>
      <c r="J58" s="3472"/>
      <c r="K58" s="3472"/>
      <c r="L58" s="3472"/>
      <c r="M58" s="3472"/>
      <c r="N58" s="3473" t="s">
        <v>3158</v>
      </c>
      <c r="O58" s="3473"/>
      <c r="P58" s="3473"/>
      <c r="Q58" s="3473"/>
      <c r="R58" s="3473"/>
      <c r="S58" s="3473"/>
      <c r="T58" s="3473"/>
      <c r="U58" s="3473"/>
      <c r="X58" s="3366" t="s">
        <v>3159</v>
      </c>
    </row>
    <row r="59" spans="1:24" s="3366" customFormat="1" ht="20.25" customHeight="1">
      <c r="A59" s="3489"/>
      <c r="B59" s="3465"/>
      <c r="C59" s="3466"/>
      <c r="D59" s="3465"/>
      <c r="E59" s="3466"/>
      <c r="F59" s="3470"/>
      <c r="G59" s="3367" t="s">
        <v>3160</v>
      </c>
      <c r="H59" s="3368" t="s">
        <v>3161</v>
      </c>
      <c r="I59" s="3368" t="s">
        <v>3162</v>
      </c>
      <c r="J59" s="3369" t="s">
        <v>3163</v>
      </c>
      <c r="K59" s="3369" t="s">
        <v>3204</v>
      </c>
      <c r="L59" s="3394" t="s">
        <v>3205</v>
      </c>
      <c r="M59" s="3368" t="s">
        <v>3166</v>
      </c>
      <c r="N59" s="3367" t="s">
        <v>3160</v>
      </c>
      <c r="O59" s="3370" t="s">
        <v>3167</v>
      </c>
      <c r="P59" s="3370" t="s">
        <v>3168</v>
      </c>
      <c r="Q59" s="3369" t="s">
        <v>3169</v>
      </c>
      <c r="R59" s="3369" t="s">
        <v>3170</v>
      </c>
      <c r="S59" s="3369" t="s">
        <v>3166</v>
      </c>
      <c r="T59" s="3369" t="s">
        <v>3171</v>
      </c>
      <c r="U59" s="3387" t="str">
        <f>L59</f>
        <v>人防</v>
      </c>
      <c r="V59" s="3366" t="s">
        <v>3172</v>
      </c>
      <c r="W59" s="3366" t="s">
        <v>3173</v>
      </c>
    </row>
    <row r="60" spans="1:24" s="3399" customFormat="1" ht="15" customHeight="1">
      <c r="A60" s="3481" t="s">
        <v>3206</v>
      </c>
      <c r="B60" s="3484" t="s">
        <v>3207</v>
      </c>
      <c r="C60" s="3485" t="s">
        <v>3208</v>
      </c>
      <c r="D60" s="3486">
        <v>16481.28</v>
      </c>
      <c r="E60" s="3395" t="s">
        <v>3209</v>
      </c>
      <c r="F60" s="3396">
        <f>G60+N60</f>
        <v>2129.8000000000002</v>
      </c>
      <c r="G60" s="3396">
        <f t="shared" ref="G60:G74" si="15">SUM(H60:M60)</f>
        <v>1727.71</v>
      </c>
      <c r="H60" s="3397"/>
      <c r="I60" s="3397"/>
      <c r="J60" s="3397"/>
      <c r="K60" s="3397">
        <v>1727.71</v>
      </c>
      <c r="L60" s="3398"/>
      <c r="M60" s="3397"/>
      <c r="N60" s="3395">
        <f>SUM(O60:U60)</f>
        <v>402.09000000000003</v>
      </c>
      <c r="O60" s="3397"/>
      <c r="P60" s="3397"/>
      <c r="Q60" s="3397"/>
      <c r="R60" s="3397">
        <v>354.11</v>
      </c>
      <c r="S60" s="3397">
        <v>25.48</v>
      </c>
      <c r="T60" s="3397">
        <v>22.5</v>
      </c>
      <c r="U60" s="3397"/>
      <c r="V60" s="3397"/>
      <c r="W60" s="3396"/>
    </row>
    <row r="61" spans="1:24" s="3399" customFormat="1" ht="15" customHeight="1">
      <c r="A61" s="3482"/>
      <c r="B61" s="3484"/>
      <c r="C61" s="3485"/>
      <c r="D61" s="3487"/>
      <c r="E61" s="3395" t="s">
        <v>3210</v>
      </c>
      <c r="F61" s="3396">
        <f t="shared" ref="F61:F73" si="16">G61+N61</f>
        <v>2129.8000000000002</v>
      </c>
      <c r="G61" s="3396">
        <f t="shared" si="15"/>
        <v>1727.71</v>
      </c>
      <c r="H61" s="3397"/>
      <c r="I61" s="3397"/>
      <c r="J61" s="3397"/>
      <c r="K61" s="3397">
        <v>1727.71</v>
      </c>
      <c r="L61" s="3398"/>
      <c r="M61" s="3397"/>
      <c r="N61" s="3395">
        <f t="shared" ref="N61:N79" si="17">SUM(O61:U61)</f>
        <v>402.09000000000003</v>
      </c>
      <c r="O61" s="3397"/>
      <c r="P61" s="3397"/>
      <c r="Q61" s="3397"/>
      <c r="R61" s="3397">
        <v>354.11</v>
      </c>
      <c r="S61" s="3397">
        <v>25.48</v>
      </c>
      <c r="T61" s="3397">
        <v>22.5</v>
      </c>
      <c r="U61" s="3397"/>
      <c r="V61" s="3397"/>
      <c r="W61" s="3396"/>
    </row>
    <row r="62" spans="1:24" s="3399" customFormat="1" ht="15" customHeight="1">
      <c r="A62" s="3482"/>
      <c r="B62" s="3484"/>
      <c r="C62" s="3485"/>
      <c r="D62" s="3487"/>
      <c r="E62" s="3395" t="s">
        <v>3211</v>
      </c>
      <c r="F62" s="3396">
        <f t="shared" si="16"/>
        <v>2108.7800000000002</v>
      </c>
      <c r="G62" s="3396">
        <f t="shared" si="15"/>
        <v>1727.71</v>
      </c>
      <c r="H62" s="3397"/>
      <c r="I62" s="3397"/>
      <c r="J62" s="3397"/>
      <c r="K62" s="3397">
        <v>1727.71</v>
      </c>
      <c r="L62" s="3398"/>
      <c r="M62" s="3397"/>
      <c r="N62" s="3395">
        <f t="shared" si="17"/>
        <v>381.07</v>
      </c>
      <c r="O62" s="3397"/>
      <c r="P62" s="3397"/>
      <c r="Q62" s="3397"/>
      <c r="R62" s="3397">
        <v>333.09</v>
      </c>
      <c r="S62" s="3397">
        <v>25.48</v>
      </c>
      <c r="T62" s="3397">
        <v>22.5</v>
      </c>
      <c r="U62" s="3397"/>
      <c r="V62" s="3397"/>
      <c r="W62" s="3396"/>
    </row>
    <row r="63" spans="1:24" s="3399" customFormat="1" ht="15" customHeight="1">
      <c r="A63" s="3482"/>
      <c r="B63" s="3484"/>
      <c r="C63" s="3485"/>
      <c r="D63" s="3487"/>
      <c r="E63" s="3395" t="s">
        <v>3212</v>
      </c>
      <c r="F63" s="3396">
        <f t="shared" si="16"/>
        <v>436.16999999999996</v>
      </c>
      <c r="G63" s="3396">
        <f t="shared" si="15"/>
        <v>309.89999999999998</v>
      </c>
      <c r="H63" s="3397"/>
      <c r="I63" s="3397"/>
      <c r="J63" s="3397">
        <v>309.89999999999998</v>
      </c>
      <c r="K63" s="3397"/>
      <c r="L63" s="3398"/>
      <c r="M63" s="3397"/>
      <c r="N63" s="3395">
        <f t="shared" si="17"/>
        <v>126.27</v>
      </c>
      <c r="O63" s="3397">
        <v>126.27</v>
      </c>
      <c r="P63" s="3397"/>
      <c r="Q63" s="3397"/>
      <c r="R63" s="3397"/>
      <c r="S63" s="3397"/>
      <c r="T63" s="3397"/>
      <c r="U63" s="3397"/>
      <c r="V63" s="3397"/>
      <c r="W63" s="3396"/>
    </row>
    <row r="64" spans="1:24" s="3399" customFormat="1" ht="15" customHeight="1">
      <c r="A64" s="3482"/>
      <c r="B64" s="3484"/>
      <c r="C64" s="3485"/>
      <c r="D64" s="3487"/>
      <c r="E64" s="3395" t="s">
        <v>3213</v>
      </c>
      <c r="F64" s="3396">
        <f t="shared" si="16"/>
        <v>1205.42</v>
      </c>
      <c r="G64" s="3396">
        <f t="shared" si="15"/>
        <v>1110.27</v>
      </c>
      <c r="H64" s="3397"/>
      <c r="I64" s="3397"/>
      <c r="J64" s="3397">
        <v>1110.27</v>
      </c>
      <c r="K64" s="3397"/>
      <c r="L64" s="3398"/>
      <c r="M64" s="3397"/>
      <c r="N64" s="3395">
        <f t="shared" si="17"/>
        <v>95.15</v>
      </c>
      <c r="O64" s="3397"/>
      <c r="P64" s="3397"/>
      <c r="Q64" s="3397"/>
      <c r="R64" s="3397"/>
      <c r="S64" s="3397">
        <v>95.15</v>
      </c>
      <c r="T64" s="3397"/>
      <c r="U64" s="3397"/>
      <c r="V64" s="3397"/>
      <c r="W64" s="3396"/>
    </row>
    <row r="65" spans="1:23" s="3399" customFormat="1" ht="15" customHeight="1">
      <c r="A65" s="3482"/>
      <c r="B65" s="3484"/>
      <c r="C65" s="3485"/>
      <c r="D65" s="3487"/>
      <c r="E65" s="3395" t="s">
        <v>3214</v>
      </c>
      <c r="F65" s="3396">
        <f t="shared" si="16"/>
        <v>1924.9</v>
      </c>
      <c r="G65" s="3396">
        <f t="shared" si="15"/>
        <v>1778</v>
      </c>
      <c r="H65" s="3397"/>
      <c r="I65" s="3397"/>
      <c r="J65" s="3397">
        <v>1778</v>
      </c>
      <c r="K65" s="3397"/>
      <c r="L65" s="3398"/>
      <c r="M65" s="3397"/>
      <c r="N65" s="3395">
        <f t="shared" si="17"/>
        <v>146.9</v>
      </c>
      <c r="O65" s="3397"/>
      <c r="P65" s="3397"/>
      <c r="Q65" s="3397"/>
      <c r="R65" s="3397"/>
      <c r="S65" s="3397">
        <v>146.9</v>
      </c>
      <c r="T65" s="3397"/>
      <c r="U65" s="3397"/>
      <c r="V65" s="3397"/>
      <c r="W65" s="3396"/>
    </row>
    <row r="66" spans="1:23" s="3399" customFormat="1" ht="15" customHeight="1">
      <c r="A66" s="3482"/>
      <c r="B66" s="3484"/>
      <c r="C66" s="3485"/>
      <c r="D66" s="3487"/>
      <c r="E66" s="3395" t="s">
        <v>3215</v>
      </c>
      <c r="F66" s="3396">
        <f t="shared" si="16"/>
        <v>192.16</v>
      </c>
      <c r="G66" s="3396">
        <f t="shared" si="15"/>
        <v>192.16</v>
      </c>
      <c r="H66" s="3397"/>
      <c r="I66" s="3397"/>
      <c r="J66" s="3397">
        <v>192.16</v>
      </c>
      <c r="K66" s="3397"/>
      <c r="L66" s="3398"/>
      <c r="M66" s="3397"/>
      <c r="N66" s="3395">
        <f t="shared" si="17"/>
        <v>0</v>
      </c>
      <c r="O66" s="3397"/>
      <c r="P66" s="3397"/>
      <c r="Q66" s="3397"/>
      <c r="R66" s="3397"/>
      <c r="S66" s="3397"/>
      <c r="T66" s="3397"/>
      <c r="U66" s="3397"/>
      <c r="V66" s="3397"/>
      <c r="W66" s="3396"/>
    </row>
    <row r="67" spans="1:23" s="3399" customFormat="1" ht="15" customHeight="1">
      <c r="A67" s="3482"/>
      <c r="B67" s="3484"/>
      <c r="C67" s="3485"/>
      <c r="D67" s="3487"/>
      <c r="E67" s="3395" t="s">
        <v>3216</v>
      </c>
      <c r="F67" s="3396">
        <f t="shared" si="16"/>
        <v>520.19000000000005</v>
      </c>
      <c r="G67" s="3396">
        <f t="shared" si="15"/>
        <v>520.19000000000005</v>
      </c>
      <c r="H67" s="3397"/>
      <c r="I67" s="3397"/>
      <c r="J67" s="3397">
        <v>520.19000000000005</v>
      </c>
      <c r="K67" s="3397"/>
      <c r="L67" s="3398"/>
      <c r="M67" s="3397"/>
      <c r="N67" s="3395">
        <f t="shared" si="17"/>
        <v>0</v>
      </c>
      <c r="O67" s="3397"/>
      <c r="P67" s="3397"/>
      <c r="Q67" s="3397"/>
      <c r="R67" s="3397"/>
      <c r="S67" s="3397"/>
      <c r="T67" s="3397"/>
      <c r="U67" s="3397"/>
      <c r="V67" s="3397"/>
      <c r="W67" s="3396"/>
    </row>
    <row r="68" spans="1:23" s="3399" customFormat="1" ht="15" customHeight="1">
      <c r="A68" s="3482"/>
      <c r="B68" s="3484"/>
      <c r="C68" s="3485"/>
      <c r="D68" s="3487"/>
      <c r="E68" s="3395" t="s">
        <v>3217</v>
      </c>
      <c r="F68" s="3396">
        <f t="shared" si="16"/>
        <v>1021.64</v>
      </c>
      <c r="G68" s="3396">
        <f t="shared" si="15"/>
        <v>1021.64</v>
      </c>
      <c r="H68" s="3397"/>
      <c r="I68" s="3397"/>
      <c r="J68" s="3397">
        <v>1021.64</v>
      </c>
      <c r="K68" s="3397"/>
      <c r="L68" s="3398"/>
      <c r="M68" s="3397"/>
      <c r="N68" s="3395">
        <f t="shared" si="17"/>
        <v>0</v>
      </c>
      <c r="O68" s="3397"/>
      <c r="P68" s="3397"/>
      <c r="Q68" s="3397"/>
      <c r="R68" s="3397"/>
      <c r="S68" s="3397"/>
      <c r="T68" s="3397"/>
      <c r="U68" s="3397"/>
      <c r="V68" s="3397"/>
      <c r="W68" s="3396"/>
    </row>
    <row r="69" spans="1:23" s="3399" customFormat="1" ht="15" customHeight="1">
      <c r="A69" s="3482"/>
      <c r="B69" s="3484"/>
      <c r="C69" s="3485"/>
      <c r="D69" s="3487"/>
      <c r="E69" s="3395" t="s">
        <v>3218</v>
      </c>
      <c r="F69" s="3396">
        <f t="shared" si="16"/>
        <v>501.79</v>
      </c>
      <c r="G69" s="3396">
        <f t="shared" si="15"/>
        <v>501.79</v>
      </c>
      <c r="H69" s="3397"/>
      <c r="I69" s="3397"/>
      <c r="J69" s="3397">
        <v>501.79</v>
      </c>
      <c r="K69" s="3397"/>
      <c r="L69" s="3398"/>
      <c r="M69" s="3397"/>
      <c r="N69" s="3395">
        <f t="shared" si="17"/>
        <v>0</v>
      </c>
      <c r="O69" s="3397"/>
      <c r="P69" s="3397"/>
      <c r="Q69" s="3397"/>
      <c r="R69" s="3397"/>
      <c r="S69" s="3397"/>
      <c r="T69" s="3397"/>
      <c r="U69" s="3397"/>
      <c r="V69" s="3397"/>
      <c r="W69" s="3396"/>
    </row>
    <row r="70" spans="1:23" s="3399" customFormat="1" ht="15" customHeight="1">
      <c r="A70" s="3482"/>
      <c r="B70" s="3484"/>
      <c r="C70" s="3485"/>
      <c r="D70" s="3487"/>
      <c r="E70" s="3395" t="s">
        <v>3219</v>
      </c>
      <c r="F70" s="3396">
        <f t="shared" si="16"/>
        <v>445.3</v>
      </c>
      <c r="G70" s="3396">
        <f t="shared" si="15"/>
        <v>445.3</v>
      </c>
      <c r="H70" s="3397"/>
      <c r="I70" s="3397"/>
      <c r="J70" s="3397">
        <v>445.3</v>
      </c>
      <c r="K70" s="3397"/>
      <c r="L70" s="3398"/>
      <c r="M70" s="3397"/>
      <c r="N70" s="3395">
        <f t="shared" si="17"/>
        <v>0</v>
      </c>
      <c r="O70" s="3397"/>
      <c r="P70" s="3397"/>
      <c r="Q70" s="3397"/>
      <c r="R70" s="3397"/>
      <c r="S70" s="3397"/>
      <c r="T70" s="3397"/>
      <c r="U70" s="3397"/>
      <c r="V70" s="3397"/>
      <c r="W70" s="3396"/>
    </row>
    <row r="71" spans="1:23" s="3399" customFormat="1" ht="15" customHeight="1">
      <c r="A71" s="3482"/>
      <c r="B71" s="3484"/>
      <c r="C71" s="3485"/>
      <c r="D71" s="3487"/>
      <c r="E71" s="3395" t="s">
        <v>3220</v>
      </c>
      <c r="F71" s="3396">
        <f t="shared" si="16"/>
        <v>1064.8800000000001</v>
      </c>
      <c r="G71" s="3396">
        <f t="shared" si="15"/>
        <v>1064.8800000000001</v>
      </c>
      <c r="H71" s="3397"/>
      <c r="I71" s="3397"/>
      <c r="J71" s="3397">
        <v>1064.8800000000001</v>
      </c>
      <c r="K71" s="3397"/>
      <c r="L71" s="3398"/>
      <c r="M71" s="3397"/>
      <c r="N71" s="3395">
        <f t="shared" si="17"/>
        <v>0</v>
      </c>
      <c r="O71" s="3397"/>
      <c r="P71" s="3397"/>
      <c r="Q71" s="3397"/>
      <c r="R71" s="3397"/>
      <c r="S71" s="3397"/>
      <c r="T71" s="3397"/>
      <c r="U71" s="3397"/>
      <c r="V71" s="3397"/>
      <c r="W71" s="3396"/>
    </row>
    <row r="72" spans="1:23" s="3399" customFormat="1" ht="15" customHeight="1">
      <c r="A72" s="3482"/>
      <c r="B72" s="3484"/>
      <c r="C72" s="3485"/>
      <c r="D72" s="3487"/>
      <c r="E72" s="3395" t="s">
        <v>3221</v>
      </c>
      <c r="F72" s="3396">
        <f t="shared" si="16"/>
        <v>1998.8999999999999</v>
      </c>
      <c r="G72" s="3396">
        <f t="shared" si="15"/>
        <v>1998.8999999999999</v>
      </c>
      <c r="H72" s="3397"/>
      <c r="I72" s="3397"/>
      <c r="J72" s="3397">
        <v>1957.28</v>
      </c>
      <c r="K72" s="3397"/>
      <c r="L72" s="3398"/>
      <c r="M72" s="3397">
        <v>41.62</v>
      </c>
      <c r="N72" s="3395">
        <f t="shared" si="17"/>
        <v>0</v>
      </c>
      <c r="O72" s="3397"/>
      <c r="P72" s="3397"/>
      <c r="Q72" s="3397"/>
      <c r="R72" s="3397"/>
      <c r="S72" s="3397"/>
      <c r="T72" s="3397"/>
      <c r="U72" s="3397"/>
      <c r="V72" s="3397"/>
      <c r="W72" s="3396"/>
    </row>
    <row r="73" spans="1:23" s="3399" customFormat="1" ht="15" customHeight="1">
      <c r="A73" s="3482"/>
      <c r="B73" s="3484"/>
      <c r="C73" s="3485"/>
      <c r="D73" s="3487"/>
      <c r="E73" s="3395" t="s">
        <v>3222</v>
      </c>
      <c r="F73" s="3396">
        <f t="shared" si="16"/>
        <v>836.53</v>
      </c>
      <c r="G73" s="3396">
        <f t="shared" si="15"/>
        <v>836.53</v>
      </c>
      <c r="H73" s="3397"/>
      <c r="I73" s="3397"/>
      <c r="J73" s="3397">
        <v>836.53</v>
      </c>
      <c r="K73" s="3397"/>
      <c r="L73" s="3398"/>
      <c r="M73" s="3397"/>
      <c r="N73" s="3395">
        <f t="shared" si="17"/>
        <v>0</v>
      </c>
      <c r="O73" s="3397"/>
      <c r="P73" s="3397"/>
      <c r="Q73" s="3397"/>
      <c r="R73" s="3397"/>
      <c r="S73" s="3397"/>
      <c r="T73" s="3397"/>
      <c r="U73" s="3398"/>
      <c r="V73" s="3397"/>
      <c r="W73" s="3396"/>
    </row>
    <row r="74" spans="1:23" s="3399" customFormat="1" ht="15" customHeight="1">
      <c r="A74" s="3482"/>
      <c r="B74" s="3484"/>
      <c r="C74" s="3485"/>
      <c r="D74" s="3487"/>
      <c r="E74" s="3395" t="s">
        <v>3223</v>
      </c>
      <c r="F74" s="3396">
        <f>G74+N74</f>
        <v>6512.9299999999994</v>
      </c>
      <c r="G74" s="3396">
        <f t="shared" si="15"/>
        <v>34.65</v>
      </c>
      <c r="H74" s="3397"/>
      <c r="I74" s="3397"/>
      <c r="J74" s="3397"/>
      <c r="K74" s="3397"/>
      <c r="L74" s="3400">
        <f>27.89+6.76</f>
        <v>34.65</v>
      </c>
      <c r="M74" s="3397"/>
      <c r="N74" s="3395">
        <f t="shared" si="17"/>
        <v>6478.28</v>
      </c>
      <c r="O74" s="3397"/>
      <c r="P74" s="3397"/>
      <c r="Q74" s="3397">
        <v>3685.5</v>
      </c>
      <c r="R74" s="3397"/>
      <c r="S74" s="3397">
        <v>476.73</v>
      </c>
      <c r="T74" s="3397"/>
      <c r="U74" s="3398">
        <v>2316.0500000000002</v>
      </c>
      <c r="V74" s="3397"/>
      <c r="W74" s="3396"/>
    </row>
    <row r="75" spans="1:23" s="3399" customFormat="1" ht="15" customHeight="1">
      <c r="A75" s="3482"/>
      <c r="B75" s="3484"/>
      <c r="C75" s="3485"/>
      <c r="D75" s="3487"/>
      <c r="E75" s="3395" t="s">
        <v>3142</v>
      </c>
      <c r="F75" s="3396">
        <f>SUM(F60:F74)</f>
        <v>23029.190000000002</v>
      </c>
      <c r="G75" s="3396">
        <f t="shared" ref="G75:U75" si="18">SUM(G60:G74)</f>
        <v>14997.339999999998</v>
      </c>
      <c r="H75" s="3396">
        <f t="shared" si="18"/>
        <v>0</v>
      </c>
      <c r="I75" s="3396">
        <f t="shared" si="18"/>
        <v>0</v>
      </c>
      <c r="J75" s="3396">
        <f t="shared" si="18"/>
        <v>9737.94</v>
      </c>
      <c r="K75" s="3396">
        <f t="shared" si="18"/>
        <v>5183.13</v>
      </c>
      <c r="L75" s="3396">
        <f t="shared" si="18"/>
        <v>34.65</v>
      </c>
      <c r="M75" s="3396">
        <f t="shared" si="18"/>
        <v>41.62</v>
      </c>
      <c r="N75" s="3396">
        <f t="shared" si="18"/>
        <v>8031.85</v>
      </c>
      <c r="O75" s="3396">
        <f t="shared" si="18"/>
        <v>126.27</v>
      </c>
      <c r="P75" s="3396">
        <f t="shared" si="18"/>
        <v>0</v>
      </c>
      <c r="Q75" s="3396">
        <f t="shared" si="18"/>
        <v>3685.5</v>
      </c>
      <c r="R75" s="3396">
        <f t="shared" si="18"/>
        <v>1041.31</v>
      </c>
      <c r="S75" s="3396">
        <f t="shared" si="18"/>
        <v>795.22</v>
      </c>
      <c r="T75" s="3396">
        <f t="shared" si="18"/>
        <v>67.5</v>
      </c>
      <c r="U75" s="3401">
        <f t="shared" si="18"/>
        <v>2316.0500000000002</v>
      </c>
      <c r="V75" s="3397"/>
      <c r="W75" s="3396"/>
    </row>
    <row r="76" spans="1:23" s="3399" customFormat="1" ht="15" customHeight="1">
      <c r="A76" s="3482"/>
      <c r="B76" s="3484"/>
      <c r="C76" s="3485"/>
      <c r="D76" s="3487"/>
      <c r="E76" s="3395" t="s">
        <v>3224</v>
      </c>
      <c r="F76" s="3396">
        <f>G76+N76</f>
        <v>3697.42</v>
      </c>
      <c r="G76" s="3396">
        <f t="shared" ref="G76:G79" si="19">SUM(H76:M76)</f>
        <v>1972.54</v>
      </c>
      <c r="H76" s="3397"/>
      <c r="I76" s="3397"/>
      <c r="J76" s="3397">
        <v>1972.54</v>
      </c>
      <c r="K76" s="3397"/>
      <c r="L76" s="3400"/>
      <c r="M76" s="3397"/>
      <c r="N76" s="3395">
        <f t="shared" si="17"/>
        <v>1724.88</v>
      </c>
      <c r="O76" s="3397"/>
      <c r="P76" s="3397">
        <v>747.3</v>
      </c>
      <c r="Q76" s="3397"/>
      <c r="R76" s="3397"/>
      <c r="S76" s="3397">
        <v>977.58</v>
      </c>
      <c r="T76" s="3397"/>
      <c r="U76" s="3398"/>
      <c r="V76" s="3397"/>
      <c r="W76" s="3396"/>
    </row>
    <row r="77" spans="1:23" s="3399" customFormat="1" ht="15" customHeight="1">
      <c r="A77" s="3482"/>
      <c r="B77" s="3484"/>
      <c r="C77" s="3485"/>
      <c r="D77" s="3487"/>
      <c r="E77" s="3395" t="s">
        <v>3225</v>
      </c>
      <c r="F77" s="3396">
        <f t="shared" ref="F77:F79" si="20">G77+N77</f>
        <v>1513.02</v>
      </c>
      <c r="G77" s="3396">
        <f t="shared" si="19"/>
        <v>1080.4100000000001</v>
      </c>
      <c r="H77" s="3397"/>
      <c r="I77" s="3397"/>
      <c r="J77" s="3397">
        <v>1080.4100000000001</v>
      </c>
      <c r="K77" s="3397"/>
      <c r="L77" s="3400"/>
      <c r="M77" s="3397"/>
      <c r="N77" s="3395">
        <f t="shared" si="17"/>
        <v>432.60999999999996</v>
      </c>
      <c r="O77" s="3397"/>
      <c r="P77" s="3397"/>
      <c r="Q77" s="3397"/>
      <c r="R77" s="3397">
        <v>424.03</v>
      </c>
      <c r="S77" s="3397">
        <v>8.58</v>
      </c>
      <c r="T77" s="3397"/>
      <c r="U77" s="3398"/>
      <c r="V77" s="3397"/>
      <c r="W77" s="3396"/>
    </row>
    <row r="78" spans="1:23" s="3399" customFormat="1" ht="15" customHeight="1">
      <c r="A78" s="3482"/>
      <c r="B78" s="3484"/>
      <c r="C78" s="3485"/>
      <c r="D78" s="3487"/>
      <c r="E78" s="3395" t="s">
        <v>3226</v>
      </c>
      <c r="F78" s="3396">
        <f t="shared" si="20"/>
        <v>2095.87</v>
      </c>
      <c r="G78" s="3396">
        <f t="shared" si="19"/>
        <v>1727.71</v>
      </c>
      <c r="H78" s="3397"/>
      <c r="I78" s="3397"/>
      <c r="J78" s="3397"/>
      <c r="K78" s="3397">
        <v>1727.71</v>
      </c>
      <c r="L78" s="3400"/>
      <c r="M78" s="3397"/>
      <c r="N78" s="3395">
        <f t="shared" si="17"/>
        <v>368.16</v>
      </c>
      <c r="O78" s="3397"/>
      <c r="P78" s="3397"/>
      <c r="Q78" s="3397"/>
      <c r="R78" s="3397">
        <v>321.04000000000002</v>
      </c>
      <c r="S78" s="3397">
        <v>24.62</v>
      </c>
      <c r="T78" s="3397">
        <v>22.5</v>
      </c>
      <c r="U78" s="3398"/>
      <c r="V78" s="3397"/>
      <c r="W78" s="3396"/>
    </row>
    <row r="79" spans="1:23" s="3399" customFormat="1" ht="15" customHeight="1">
      <c r="A79" s="3482"/>
      <c r="B79" s="3484"/>
      <c r="C79" s="3485"/>
      <c r="D79" s="3487"/>
      <c r="E79" s="3395" t="s">
        <v>3227</v>
      </c>
      <c r="F79" s="3396">
        <f t="shared" si="20"/>
        <v>330.79</v>
      </c>
      <c r="G79" s="3396">
        <f t="shared" si="19"/>
        <v>0</v>
      </c>
      <c r="H79" s="3397"/>
      <c r="I79" s="3397"/>
      <c r="J79" s="3397"/>
      <c r="K79" s="3397"/>
      <c r="L79" s="3400"/>
      <c r="M79" s="3397"/>
      <c r="N79" s="3395">
        <f t="shared" si="17"/>
        <v>330.79</v>
      </c>
      <c r="O79" s="3397"/>
      <c r="P79" s="3397"/>
      <c r="Q79" s="3397">
        <v>330.79</v>
      </c>
      <c r="R79" s="3397"/>
      <c r="S79" s="3397"/>
      <c r="T79" s="3397"/>
      <c r="U79" s="3398"/>
      <c r="V79" s="3397"/>
      <c r="W79" s="3396"/>
    </row>
    <row r="80" spans="1:23" s="3399" customFormat="1" ht="15" customHeight="1">
      <c r="A80" s="3482"/>
      <c r="B80" s="3484"/>
      <c r="C80" s="3485"/>
      <c r="D80" s="3487"/>
      <c r="E80" s="3395" t="s">
        <v>3142</v>
      </c>
      <c r="F80" s="3396">
        <f>SUM(F76:F79)</f>
        <v>7637.1</v>
      </c>
      <c r="G80" s="3396">
        <f t="shared" ref="G80:U80" si="21">SUM(G76:G79)</f>
        <v>4780.66</v>
      </c>
      <c r="H80" s="3396">
        <f t="shared" si="21"/>
        <v>0</v>
      </c>
      <c r="I80" s="3396">
        <f t="shared" si="21"/>
        <v>0</v>
      </c>
      <c r="J80" s="3396">
        <f t="shared" si="21"/>
        <v>3052.95</v>
      </c>
      <c r="K80" s="3396">
        <f t="shared" si="21"/>
        <v>1727.71</v>
      </c>
      <c r="L80" s="3396">
        <f t="shared" si="21"/>
        <v>0</v>
      </c>
      <c r="M80" s="3396">
        <f t="shared" si="21"/>
        <v>0</v>
      </c>
      <c r="N80" s="3396">
        <f t="shared" si="21"/>
        <v>2856.44</v>
      </c>
      <c r="O80" s="3396">
        <f t="shared" si="21"/>
        <v>0</v>
      </c>
      <c r="P80" s="3396">
        <f t="shared" si="21"/>
        <v>747.3</v>
      </c>
      <c r="Q80" s="3396">
        <f t="shared" si="21"/>
        <v>330.79</v>
      </c>
      <c r="R80" s="3396">
        <f t="shared" si="21"/>
        <v>745.06999999999994</v>
      </c>
      <c r="S80" s="3396">
        <f t="shared" si="21"/>
        <v>1010.7800000000001</v>
      </c>
      <c r="T80" s="3396">
        <f t="shared" si="21"/>
        <v>22.5</v>
      </c>
      <c r="U80" s="3401">
        <f t="shared" si="21"/>
        <v>0</v>
      </c>
      <c r="V80" s="3397"/>
      <c r="W80" s="3396"/>
    </row>
    <row r="81" spans="1:24" s="3399" customFormat="1" ht="15" customHeight="1">
      <c r="A81" s="3483"/>
      <c r="B81" s="3484"/>
      <c r="C81" s="3485"/>
      <c r="D81" s="3487"/>
      <c r="E81" s="3395" t="s">
        <v>3228</v>
      </c>
      <c r="F81" s="3396">
        <f>SUM(F80,F75)</f>
        <v>30666.29</v>
      </c>
      <c r="G81" s="3396">
        <f t="shared" ref="G81:U81" si="22">SUM(G80,G75)</f>
        <v>19778</v>
      </c>
      <c r="H81" s="3396">
        <f t="shared" si="22"/>
        <v>0</v>
      </c>
      <c r="I81" s="3396">
        <f t="shared" si="22"/>
        <v>0</v>
      </c>
      <c r="J81" s="3396">
        <f t="shared" si="22"/>
        <v>12790.89</v>
      </c>
      <c r="K81" s="3396">
        <f t="shared" si="22"/>
        <v>6910.84</v>
      </c>
      <c r="L81" s="3401">
        <f t="shared" si="22"/>
        <v>34.65</v>
      </c>
      <c r="M81" s="3396">
        <f t="shared" si="22"/>
        <v>41.62</v>
      </c>
      <c r="N81" s="3396">
        <f t="shared" si="22"/>
        <v>10888.29</v>
      </c>
      <c r="O81" s="3396">
        <f t="shared" si="22"/>
        <v>126.27</v>
      </c>
      <c r="P81" s="3396">
        <f t="shared" si="22"/>
        <v>747.3</v>
      </c>
      <c r="Q81" s="3396">
        <f t="shared" si="22"/>
        <v>4016.29</v>
      </c>
      <c r="R81" s="3396">
        <f t="shared" si="22"/>
        <v>1786.3799999999999</v>
      </c>
      <c r="S81" s="3396">
        <f t="shared" si="22"/>
        <v>1806</v>
      </c>
      <c r="T81" s="3396">
        <f t="shared" si="22"/>
        <v>90</v>
      </c>
      <c r="U81" s="3401">
        <f t="shared" si="22"/>
        <v>2316.0500000000002</v>
      </c>
      <c r="V81" s="3397"/>
      <c r="W81" s="3396"/>
    </row>
    <row r="83" spans="1:24" s="3366" customFormat="1" ht="12" customHeight="1">
      <c r="A83" s="3488" t="s">
        <v>3150</v>
      </c>
      <c r="B83" s="3488" t="s">
        <v>3151</v>
      </c>
      <c r="C83" s="3465" t="s">
        <v>3152</v>
      </c>
      <c r="D83" s="3488" t="s">
        <v>3153</v>
      </c>
      <c r="E83" s="3465" t="s">
        <v>3154</v>
      </c>
      <c r="F83" s="3467" t="s">
        <v>3155</v>
      </c>
      <c r="G83" s="3468"/>
      <c r="H83" s="3468"/>
      <c r="I83" s="3468"/>
      <c r="J83" s="3468"/>
      <c r="K83" s="3468"/>
      <c r="L83" s="3468"/>
      <c r="M83" s="3468"/>
      <c r="N83" s="3468"/>
      <c r="O83" s="3468"/>
      <c r="P83" s="3468"/>
      <c r="Q83" s="3468"/>
      <c r="R83" s="3468"/>
      <c r="S83" s="3468"/>
      <c r="T83" s="3468"/>
      <c r="U83" s="3468"/>
    </row>
    <row r="84" spans="1:24" s="3366" customFormat="1" ht="11.25" customHeight="1">
      <c r="A84" s="3488"/>
      <c r="B84" s="3488"/>
      <c r="C84" s="3466"/>
      <c r="D84" s="3488"/>
      <c r="E84" s="3466"/>
      <c r="F84" s="3469" t="s">
        <v>3156</v>
      </c>
      <c r="G84" s="3471" t="s">
        <v>3157</v>
      </c>
      <c r="H84" s="3472"/>
      <c r="I84" s="3472"/>
      <c r="J84" s="3472"/>
      <c r="K84" s="3472"/>
      <c r="L84" s="3472"/>
      <c r="M84" s="3472"/>
      <c r="N84" s="3473" t="s">
        <v>3158</v>
      </c>
      <c r="O84" s="3473"/>
      <c r="P84" s="3473"/>
      <c r="Q84" s="3473"/>
      <c r="R84" s="3473"/>
      <c r="S84" s="3473"/>
      <c r="T84" s="3473"/>
      <c r="U84" s="3473"/>
      <c r="X84" s="3366" t="s">
        <v>3159</v>
      </c>
    </row>
    <row r="85" spans="1:24" s="3366" customFormat="1" ht="20.25" customHeight="1">
      <c r="A85" s="3465"/>
      <c r="B85" s="3465"/>
      <c r="C85" s="3466"/>
      <c r="D85" s="3465"/>
      <c r="E85" s="3466"/>
      <c r="F85" s="3470"/>
      <c r="G85" s="3367" t="s">
        <v>3160</v>
      </c>
      <c r="H85" s="3368" t="s">
        <v>3161</v>
      </c>
      <c r="I85" s="3368" t="s">
        <v>3162</v>
      </c>
      <c r="J85" s="3369" t="s">
        <v>3163</v>
      </c>
      <c r="K85" s="3394" t="s">
        <v>3205</v>
      </c>
      <c r="L85" s="3369" t="s">
        <v>3165</v>
      </c>
      <c r="M85" s="3368" t="s">
        <v>3166</v>
      </c>
      <c r="N85" s="3367" t="s">
        <v>3160</v>
      </c>
      <c r="O85" s="3370" t="s">
        <v>3167</v>
      </c>
      <c r="P85" s="3370" t="s">
        <v>3168</v>
      </c>
      <c r="Q85" s="3369" t="s">
        <v>3169</v>
      </c>
      <c r="R85" s="3369" t="s">
        <v>3170</v>
      </c>
      <c r="S85" s="3369" t="s">
        <v>3166</v>
      </c>
      <c r="T85" s="3369" t="s">
        <v>3171</v>
      </c>
      <c r="U85" s="3371" t="s">
        <v>3229</v>
      </c>
      <c r="V85" s="3366" t="s">
        <v>3172</v>
      </c>
      <c r="W85" s="3366" t="s">
        <v>3173</v>
      </c>
    </row>
    <row r="86" spans="1:24" s="3406" customFormat="1" ht="15" customHeight="1">
      <c r="A86" s="3474" t="s">
        <v>3230</v>
      </c>
      <c r="B86" s="3477" t="s">
        <v>3231</v>
      </c>
      <c r="C86" s="3478" t="s">
        <v>3232</v>
      </c>
      <c r="D86" s="3479">
        <v>13362.83</v>
      </c>
      <c r="E86" s="3402" t="s">
        <v>3233</v>
      </c>
      <c r="F86" s="3403">
        <f>G86+N86</f>
        <v>1935.37</v>
      </c>
      <c r="G86" s="3403">
        <f t="shared" ref="G86:G97" si="23">SUM(H86:M86)</f>
        <v>1506.62</v>
      </c>
      <c r="H86" s="3404"/>
      <c r="I86" s="3404"/>
      <c r="J86" s="3404">
        <v>1506.62</v>
      </c>
      <c r="K86" s="3405"/>
      <c r="L86" s="3404"/>
      <c r="M86" s="3404"/>
      <c r="N86" s="3402">
        <f>SUM(O86:U86)</f>
        <v>428.75</v>
      </c>
      <c r="O86" s="3404">
        <v>428.75</v>
      </c>
      <c r="P86" s="3404"/>
      <c r="Q86" s="3404"/>
      <c r="R86" s="3404"/>
      <c r="S86" s="3404"/>
      <c r="T86" s="3404"/>
      <c r="U86" s="3405"/>
      <c r="V86" s="3404"/>
      <c r="W86" s="3403"/>
    </row>
    <row r="87" spans="1:24" s="3406" customFormat="1" ht="15" customHeight="1">
      <c r="A87" s="3475"/>
      <c r="B87" s="3477"/>
      <c r="C87" s="3478"/>
      <c r="D87" s="3480"/>
      <c r="E87" s="3402" t="s">
        <v>3234</v>
      </c>
      <c r="F87" s="3403">
        <f t="shared" ref="F87:F97" si="24">G87+N87</f>
        <v>1547.1200000000001</v>
      </c>
      <c r="G87" s="3403">
        <f t="shared" si="23"/>
        <v>1288.1600000000001</v>
      </c>
      <c r="H87" s="3404"/>
      <c r="I87" s="3404"/>
      <c r="J87" s="3404">
        <v>1288.1600000000001</v>
      </c>
      <c r="K87" s="3405"/>
      <c r="L87" s="3404"/>
      <c r="M87" s="3404"/>
      <c r="N87" s="3402">
        <f t="shared" ref="N87:N97" si="25">SUM(O87:U87)</f>
        <v>258.95999999999998</v>
      </c>
      <c r="O87" s="3404">
        <v>258.95999999999998</v>
      </c>
      <c r="P87" s="3404"/>
      <c r="Q87" s="3404"/>
      <c r="R87" s="3404"/>
      <c r="S87" s="3404"/>
      <c r="T87" s="3404"/>
      <c r="U87" s="3405"/>
      <c r="V87" s="3404"/>
      <c r="W87" s="3403"/>
    </row>
    <row r="88" spans="1:24" s="3406" customFormat="1" ht="15" customHeight="1">
      <c r="A88" s="3475"/>
      <c r="B88" s="3477"/>
      <c r="C88" s="3478"/>
      <c r="D88" s="3480"/>
      <c r="E88" s="3402" t="s">
        <v>3235</v>
      </c>
      <c r="F88" s="3403">
        <f t="shared" si="24"/>
        <v>1412.66</v>
      </c>
      <c r="G88" s="3403">
        <f t="shared" si="23"/>
        <v>1288.1600000000001</v>
      </c>
      <c r="H88" s="3404"/>
      <c r="I88" s="3404"/>
      <c r="J88" s="3404">
        <v>1288.1600000000001</v>
      </c>
      <c r="K88" s="3405"/>
      <c r="L88" s="3404"/>
      <c r="M88" s="3404"/>
      <c r="N88" s="3402">
        <f t="shared" si="25"/>
        <v>124.5</v>
      </c>
      <c r="O88" s="3404">
        <v>124.5</v>
      </c>
      <c r="P88" s="3404"/>
      <c r="Q88" s="3404"/>
      <c r="R88" s="3404"/>
      <c r="S88" s="3404"/>
      <c r="T88" s="3404"/>
      <c r="U88" s="3405"/>
      <c r="V88" s="3404"/>
      <c r="W88" s="3403"/>
    </row>
    <row r="89" spans="1:24" s="3406" customFormat="1" ht="15" customHeight="1">
      <c r="A89" s="3475"/>
      <c r="B89" s="3477"/>
      <c r="C89" s="3478"/>
      <c r="D89" s="3480"/>
      <c r="E89" s="3402" t="s">
        <v>3236</v>
      </c>
      <c r="F89" s="3403">
        <f t="shared" si="24"/>
        <v>1934.06</v>
      </c>
      <c r="G89" s="3403">
        <f t="shared" si="23"/>
        <v>1506.62</v>
      </c>
      <c r="H89" s="3404"/>
      <c r="I89" s="3404"/>
      <c r="J89" s="3404">
        <v>1506.62</v>
      </c>
      <c r="K89" s="3405"/>
      <c r="L89" s="3404"/>
      <c r="M89" s="3404"/>
      <c r="N89" s="3402">
        <f t="shared" si="25"/>
        <v>427.44</v>
      </c>
      <c r="O89" s="3404">
        <v>427.44</v>
      </c>
      <c r="P89" s="3404"/>
      <c r="Q89" s="3404"/>
      <c r="R89" s="3404"/>
      <c r="S89" s="3404"/>
      <c r="T89" s="3404"/>
      <c r="U89" s="3405"/>
      <c r="V89" s="3404"/>
      <c r="W89" s="3403"/>
    </row>
    <row r="90" spans="1:24" s="3406" customFormat="1" ht="15" customHeight="1">
      <c r="A90" s="3475"/>
      <c r="B90" s="3477"/>
      <c r="C90" s="3478"/>
      <c r="D90" s="3480"/>
      <c r="E90" s="3402" t="s">
        <v>3237</v>
      </c>
      <c r="F90" s="3403">
        <f t="shared" si="24"/>
        <v>190</v>
      </c>
      <c r="G90" s="3403">
        <f t="shared" si="23"/>
        <v>190</v>
      </c>
      <c r="H90" s="3404"/>
      <c r="I90" s="3404"/>
      <c r="J90" s="3404"/>
      <c r="K90" s="3405"/>
      <c r="L90" s="3404">
        <v>190</v>
      </c>
      <c r="M90" s="3404"/>
      <c r="N90" s="3402">
        <f t="shared" si="25"/>
        <v>0</v>
      </c>
      <c r="O90" s="3404"/>
      <c r="P90" s="3404"/>
      <c r="Q90" s="3404"/>
      <c r="R90" s="3404"/>
      <c r="S90" s="3404"/>
      <c r="T90" s="3404"/>
      <c r="U90" s="3405"/>
      <c r="V90" s="3404"/>
      <c r="W90" s="3403"/>
    </row>
    <row r="91" spans="1:24" s="3406" customFormat="1" ht="15" customHeight="1">
      <c r="A91" s="3475"/>
      <c r="B91" s="3477"/>
      <c r="C91" s="3478"/>
      <c r="D91" s="3480"/>
      <c r="E91" s="3402" t="s">
        <v>3238</v>
      </c>
      <c r="F91" s="3403">
        <f t="shared" si="24"/>
        <v>200</v>
      </c>
      <c r="G91" s="3403">
        <f t="shared" si="23"/>
        <v>200</v>
      </c>
      <c r="H91" s="3404"/>
      <c r="I91" s="3404"/>
      <c r="J91" s="3404"/>
      <c r="K91" s="3405"/>
      <c r="L91" s="3404">
        <v>200</v>
      </c>
      <c r="M91" s="3404"/>
      <c r="N91" s="3402">
        <f t="shared" si="25"/>
        <v>0</v>
      </c>
      <c r="O91" s="3404"/>
      <c r="P91" s="3404"/>
      <c r="Q91" s="3404"/>
      <c r="R91" s="3404"/>
      <c r="S91" s="3404"/>
      <c r="T91" s="3404"/>
      <c r="U91" s="3405"/>
      <c r="V91" s="3404"/>
      <c r="W91" s="3403"/>
    </row>
    <row r="92" spans="1:24" s="3406" customFormat="1" ht="15" customHeight="1">
      <c r="A92" s="3475"/>
      <c r="B92" s="3477"/>
      <c r="C92" s="3478"/>
      <c r="D92" s="3480"/>
      <c r="E92" s="3402" t="s">
        <v>3239</v>
      </c>
      <c r="F92" s="3403">
        <f t="shared" si="24"/>
        <v>267.18</v>
      </c>
      <c r="G92" s="3403">
        <f t="shared" si="23"/>
        <v>178.12</v>
      </c>
      <c r="H92" s="3404"/>
      <c r="I92" s="3404"/>
      <c r="J92" s="3404"/>
      <c r="K92" s="3405"/>
      <c r="L92" s="3404">
        <v>150</v>
      </c>
      <c r="M92" s="3404">
        <v>28.12</v>
      </c>
      <c r="N92" s="3402">
        <f t="shared" si="25"/>
        <v>89.06</v>
      </c>
      <c r="O92" s="3404"/>
      <c r="P92" s="3404"/>
      <c r="Q92" s="3404"/>
      <c r="R92" s="3404"/>
      <c r="S92" s="3404">
        <v>89.06</v>
      </c>
      <c r="T92" s="3404"/>
      <c r="U92" s="3405"/>
      <c r="V92" s="3404"/>
      <c r="W92" s="3403"/>
    </row>
    <row r="93" spans="1:24" s="3406" customFormat="1" ht="15" customHeight="1">
      <c r="A93" s="3475"/>
      <c r="B93" s="3477"/>
      <c r="C93" s="3478"/>
      <c r="D93" s="3480"/>
      <c r="E93" s="3402" t="s">
        <v>3240</v>
      </c>
      <c r="F93" s="3403">
        <f t="shared" si="24"/>
        <v>7892.71</v>
      </c>
      <c r="G93" s="3403">
        <f t="shared" si="23"/>
        <v>123.78</v>
      </c>
      <c r="H93" s="3404"/>
      <c r="I93" s="3404"/>
      <c r="J93" s="3404"/>
      <c r="K93" s="3405">
        <v>123.78</v>
      </c>
      <c r="L93" s="3404"/>
      <c r="M93" s="3404"/>
      <c r="N93" s="3402">
        <f t="shared" si="25"/>
        <v>7768.93</v>
      </c>
      <c r="O93" s="3404"/>
      <c r="P93" s="3404"/>
      <c r="Q93" s="3384">
        <v>1600.47</v>
      </c>
      <c r="R93" s="3404"/>
      <c r="S93" s="3407">
        <f>400.52+3109.52+4-Q93</f>
        <v>1913.57</v>
      </c>
      <c r="T93" s="3404"/>
      <c r="U93" s="3405">
        <v>4254.8900000000003</v>
      </c>
      <c r="V93" s="3404"/>
      <c r="W93" s="3403"/>
    </row>
    <row r="94" spans="1:24" s="3406" customFormat="1" ht="15" customHeight="1">
      <c r="A94" s="3475"/>
      <c r="B94" s="3477"/>
      <c r="C94" s="3478"/>
      <c r="D94" s="3480"/>
      <c r="E94" s="3402" t="s">
        <v>3142</v>
      </c>
      <c r="F94" s="3403">
        <f>SUM(F86:F93)</f>
        <v>15379.099999999999</v>
      </c>
      <c r="G94" s="3403">
        <f t="shared" ref="G94:U94" si="26">SUM(G86:G93)</f>
        <v>6281.4599999999991</v>
      </c>
      <c r="H94" s="3403">
        <f t="shared" si="26"/>
        <v>0</v>
      </c>
      <c r="I94" s="3403">
        <f t="shared" si="26"/>
        <v>0</v>
      </c>
      <c r="J94" s="3403">
        <f t="shared" si="26"/>
        <v>5589.5599999999995</v>
      </c>
      <c r="K94" s="3408">
        <f t="shared" si="26"/>
        <v>123.78</v>
      </c>
      <c r="L94" s="3403">
        <f t="shared" si="26"/>
        <v>540</v>
      </c>
      <c r="M94" s="3403">
        <f t="shared" si="26"/>
        <v>28.12</v>
      </c>
      <c r="N94" s="3403">
        <f t="shared" si="26"/>
        <v>9097.64</v>
      </c>
      <c r="O94" s="3403">
        <f t="shared" si="26"/>
        <v>1239.6500000000001</v>
      </c>
      <c r="P94" s="3403">
        <f t="shared" si="26"/>
        <v>0</v>
      </c>
      <c r="Q94" s="3403">
        <f t="shared" si="26"/>
        <v>1600.47</v>
      </c>
      <c r="R94" s="3403">
        <f t="shared" si="26"/>
        <v>0</v>
      </c>
      <c r="S94" s="3403">
        <f t="shared" si="26"/>
        <v>2002.6299999999999</v>
      </c>
      <c r="T94" s="3403">
        <f t="shared" si="26"/>
        <v>0</v>
      </c>
      <c r="U94" s="3408">
        <f t="shared" si="26"/>
        <v>4254.8900000000003</v>
      </c>
      <c r="V94" s="3404"/>
      <c r="W94" s="3403"/>
    </row>
    <row r="95" spans="1:24" s="3406" customFormat="1" ht="15" customHeight="1">
      <c r="A95" s="3475"/>
      <c r="B95" s="3477"/>
      <c r="C95" s="3478"/>
      <c r="D95" s="3480"/>
      <c r="E95" s="3402" t="s">
        <v>3241</v>
      </c>
      <c r="F95" s="3403">
        <f t="shared" si="24"/>
        <v>5236.25</v>
      </c>
      <c r="G95" s="3403">
        <f t="shared" si="23"/>
        <v>4521.01</v>
      </c>
      <c r="H95" s="3404">
        <v>4521.01</v>
      </c>
      <c r="I95" s="3404"/>
      <c r="J95" s="3404"/>
      <c r="K95" s="3405"/>
      <c r="L95" s="3404"/>
      <c r="M95" s="3404"/>
      <c r="N95" s="3402">
        <f t="shared" si="25"/>
        <v>715.24</v>
      </c>
      <c r="O95" s="3404"/>
      <c r="P95" s="3404"/>
      <c r="Q95" s="3404"/>
      <c r="R95" s="3404">
        <v>383.35</v>
      </c>
      <c r="S95" s="3404">
        <v>280.35000000000002</v>
      </c>
      <c r="T95" s="3404">
        <v>51.54</v>
      </c>
      <c r="U95" s="3405"/>
      <c r="V95" s="3404"/>
      <c r="W95" s="3403"/>
    </row>
    <row r="96" spans="1:24" s="3406" customFormat="1" ht="15" customHeight="1">
      <c r="A96" s="3475"/>
      <c r="B96" s="3477"/>
      <c r="C96" s="3478"/>
      <c r="D96" s="3480"/>
      <c r="E96" s="3402" t="s">
        <v>3242</v>
      </c>
      <c r="F96" s="3403">
        <f t="shared" si="24"/>
        <v>7199.6799999999994</v>
      </c>
      <c r="G96" s="3403">
        <f t="shared" si="23"/>
        <v>6316.98</v>
      </c>
      <c r="H96" s="3404">
        <v>6316.98</v>
      </c>
      <c r="I96" s="3404"/>
      <c r="J96" s="3404"/>
      <c r="K96" s="3405"/>
      <c r="L96" s="3404"/>
      <c r="M96" s="3404"/>
      <c r="N96" s="3402">
        <f t="shared" si="25"/>
        <v>882.7</v>
      </c>
      <c r="O96" s="3404"/>
      <c r="P96" s="3404"/>
      <c r="Q96" s="3404"/>
      <c r="R96" s="3404">
        <v>478.32</v>
      </c>
      <c r="S96" s="3404">
        <v>335.38</v>
      </c>
      <c r="T96" s="3404">
        <v>69</v>
      </c>
      <c r="U96" s="3405"/>
      <c r="V96" s="3404"/>
      <c r="W96" s="3403"/>
    </row>
    <row r="97" spans="1:23" s="3406" customFormat="1" ht="15" customHeight="1">
      <c r="A97" s="3475"/>
      <c r="B97" s="3477"/>
      <c r="C97" s="3478"/>
      <c r="D97" s="3480"/>
      <c r="E97" s="3402" t="s">
        <v>3243</v>
      </c>
      <c r="F97" s="3403">
        <f t="shared" si="24"/>
        <v>1943.76</v>
      </c>
      <c r="G97" s="3403">
        <f t="shared" si="23"/>
        <v>1587.55</v>
      </c>
      <c r="H97" s="3404"/>
      <c r="I97" s="3404">
        <v>1587.55</v>
      </c>
      <c r="J97" s="3404"/>
      <c r="K97" s="3405"/>
      <c r="L97" s="3404"/>
      <c r="M97" s="3404"/>
      <c r="N97" s="3402">
        <f t="shared" si="25"/>
        <v>356.21</v>
      </c>
      <c r="O97" s="3404">
        <v>356.21</v>
      </c>
      <c r="P97" s="3404"/>
      <c r="Q97" s="3404"/>
      <c r="R97" s="3404"/>
      <c r="S97" s="3404"/>
      <c r="T97" s="3404"/>
      <c r="U97" s="3405"/>
      <c r="V97" s="3404"/>
      <c r="W97" s="3403"/>
    </row>
    <row r="98" spans="1:23" s="3406" customFormat="1" ht="15" customHeight="1">
      <c r="A98" s="3475"/>
      <c r="B98" s="3477"/>
      <c r="C98" s="3478"/>
      <c r="D98" s="3480"/>
      <c r="E98" s="3402" t="s">
        <v>3142</v>
      </c>
      <c r="F98" s="3403">
        <f>SUM(F95:F97)</f>
        <v>14379.69</v>
      </c>
      <c r="G98" s="3403">
        <f t="shared" ref="G98:M98" si="27">SUM(G95:G97)</f>
        <v>12425.539999999999</v>
      </c>
      <c r="H98" s="3403">
        <f t="shared" si="27"/>
        <v>10837.99</v>
      </c>
      <c r="I98" s="3403">
        <f t="shared" si="27"/>
        <v>1587.55</v>
      </c>
      <c r="J98" s="3403">
        <f t="shared" si="27"/>
        <v>0</v>
      </c>
      <c r="K98" s="3408">
        <f t="shared" si="27"/>
        <v>0</v>
      </c>
      <c r="L98" s="3403">
        <f t="shared" si="27"/>
        <v>0</v>
      </c>
      <c r="M98" s="3403">
        <f t="shared" si="27"/>
        <v>0</v>
      </c>
      <c r="N98" s="3402">
        <f>SUM(N95:N97)</f>
        <v>1954.15</v>
      </c>
      <c r="O98" s="3402">
        <f t="shared" ref="O98:U98" si="28">SUM(O95:O97)</f>
        <v>356.21</v>
      </c>
      <c r="P98" s="3402">
        <f t="shared" si="28"/>
        <v>0</v>
      </c>
      <c r="Q98" s="3402">
        <f t="shared" si="28"/>
        <v>0</v>
      </c>
      <c r="R98" s="3402">
        <f t="shared" si="28"/>
        <v>861.67000000000007</v>
      </c>
      <c r="S98" s="3402">
        <f t="shared" si="28"/>
        <v>615.73</v>
      </c>
      <c r="T98" s="3402">
        <f t="shared" si="28"/>
        <v>120.53999999999999</v>
      </c>
      <c r="U98" s="3409">
        <f t="shared" si="28"/>
        <v>0</v>
      </c>
      <c r="V98" s="3404"/>
      <c r="W98" s="3403"/>
    </row>
    <row r="99" spans="1:23" s="3406" customFormat="1" ht="15" customHeight="1">
      <c r="A99" s="3476"/>
      <c r="B99" s="3477"/>
      <c r="C99" s="3478"/>
      <c r="D99" s="3480"/>
      <c r="E99" s="3402" t="s">
        <v>3228</v>
      </c>
      <c r="F99" s="3403">
        <f>SUM(F98,F94)</f>
        <v>29758.79</v>
      </c>
      <c r="G99" s="3403">
        <f t="shared" ref="G99:U99" si="29">SUM(G98,G94)</f>
        <v>18707</v>
      </c>
      <c r="H99" s="3403">
        <f t="shared" si="29"/>
        <v>10837.99</v>
      </c>
      <c r="I99" s="3403">
        <f t="shared" si="29"/>
        <v>1587.55</v>
      </c>
      <c r="J99" s="3403">
        <f t="shared" si="29"/>
        <v>5589.5599999999995</v>
      </c>
      <c r="K99" s="3408">
        <f t="shared" si="29"/>
        <v>123.78</v>
      </c>
      <c r="L99" s="3403">
        <f t="shared" si="29"/>
        <v>540</v>
      </c>
      <c r="M99" s="3403">
        <f t="shared" si="29"/>
        <v>28.12</v>
      </c>
      <c r="N99" s="3403">
        <f t="shared" si="29"/>
        <v>11051.789999999999</v>
      </c>
      <c r="O99" s="3403">
        <f t="shared" si="29"/>
        <v>1595.8600000000001</v>
      </c>
      <c r="P99" s="3403">
        <f t="shared" si="29"/>
        <v>0</v>
      </c>
      <c r="Q99" s="3403">
        <f t="shared" si="29"/>
        <v>1600.47</v>
      </c>
      <c r="R99" s="3403">
        <f t="shared" si="29"/>
        <v>861.67000000000007</v>
      </c>
      <c r="S99" s="3403">
        <f t="shared" si="29"/>
        <v>2618.3599999999997</v>
      </c>
      <c r="T99" s="3403">
        <f t="shared" si="29"/>
        <v>120.53999999999999</v>
      </c>
      <c r="U99" s="3408">
        <f t="shared" si="29"/>
        <v>4254.8900000000003</v>
      </c>
      <c r="V99" s="3404"/>
      <c r="W99" s="3403"/>
    </row>
  </sheetData>
  <mergeCells count="52">
    <mergeCell ref="F1:U1"/>
    <mergeCell ref="F2:F3"/>
    <mergeCell ref="G2:M2"/>
    <mergeCell ref="N2:U2"/>
    <mergeCell ref="A1:A3"/>
    <mergeCell ref="B1:B3"/>
    <mergeCell ref="C1:C3"/>
    <mergeCell ref="D1:D3"/>
    <mergeCell ref="E1:E3"/>
    <mergeCell ref="A29:A55"/>
    <mergeCell ref="B29:B55"/>
    <mergeCell ref="C29:C55"/>
    <mergeCell ref="D29:D55"/>
    <mergeCell ref="A4:A24"/>
    <mergeCell ref="B4:B24"/>
    <mergeCell ref="C4:C24"/>
    <mergeCell ref="D4:D24"/>
    <mergeCell ref="A26:A28"/>
    <mergeCell ref="B26:B28"/>
    <mergeCell ref="C26:C28"/>
    <mergeCell ref="D26:D28"/>
    <mergeCell ref="F57:U57"/>
    <mergeCell ref="F58:F59"/>
    <mergeCell ref="G58:M58"/>
    <mergeCell ref="N58:U58"/>
    <mergeCell ref="E26:E28"/>
    <mergeCell ref="F26:U26"/>
    <mergeCell ref="F27:F28"/>
    <mergeCell ref="G27:M27"/>
    <mergeCell ref="N27:U27"/>
    <mergeCell ref="A57:A59"/>
    <mergeCell ref="B57:B59"/>
    <mergeCell ref="C57:C59"/>
    <mergeCell ref="D57:D59"/>
    <mergeCell ref="E57:E59"/>
    <mergeCell ref="A86:A99"/>
    <mergeCell ref="B86:B99"/>
    <mergeCell ref="C86:C99"/>
    <mergeCell ref="D86:D99"/>
    <mergeCell ref="A60:A81"/>
    <mergeCell ref="B60:B81"/>
    <mergeCell ref="C60:C81"/>
    <mergeCell ref="D60:D81"/>
    <mergeCell ref="A83:A85"/>
    <mergeCell ref="B83:B85"/>
    <mergeCell ref="C83:C85"/>
    <mergeCell ref="D83:D85"/>
    <mergeCell ref="E83:E85"/>
    <mergeCell ref="F83:U83"/>
    <mergeCell ref="F84:F85"/>
    <mergeCell ref="G84:M84"/>
    <mergeCell ref="N84:U84"/>
  </mergeCells>
  <phoneticPr fontId="20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 sqref="A2:B26"/>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530</v>
      </c>
      <c r="B1" s="289" t="s">
        <v>254</v>
      </c>
      <c r="C1" s="1765" t="s">
        <v>1870</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1842</v>
      </c>
      <c r="Q1" s="11" t="s">
        <v>2641</v>
      </c>
      <c r="R1" s="1483" t="s">
        <v>2631</v>
      </c>
      <c r="S1" s="290" t="s">
        <v>267</v>
      </c>
      <c r="T1" s="291" t="s">
        <v>268</v>
      </c>
      <c r="U1" s="290" t="s">
        <v>269</v>
      </c>
      <c r="V1" s="290" t="s">
        <v>270</v>
      </c>
      <c r="W1" s="1483" t="s">
        <v>1845</v>
      </c>
    </row>
    <row r="2" spans="1:23">
      <c r="A2" s="2794" t="s">
        <v>114</v>
      </c>
      <c r="B2" s="2794" t="s">
        <v>577</v>
      </c>
      <c r="C2" s="1766" t="s">
        <v>1871</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0" t="s">
        <v>2635</v>
      </c>
      <c r="S2" s="292" t="s">
        <v>229</v>
      </c>
      <c r="T2" s="292" t="s">
        <v>230</v>
      </c>
      <c r="U2" s="292" t="s">
        <v>229</v>
      </c>
      <c r="V2" s="292" t="s">
        <v>231</v>
      </c>
      <c r="W2" s="292" t="s">
        <v>229</v>
      </c>
    </row>
    <row r="3" spans="1:23">
      <c r="A3" s="2794" t="s">
        <v>576</v>
      </c>
      <c r="B3" s="2795" t="s">
        <v>2677</v>
      </c>
      <c r="C3" s="1767" t="s">
        <v>1872</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0" t="s">
        <v>2633</v>
      </c>
      <c r="S3" s="292" t="s">
        <v>237</v>
      </c>
      <c r="T3" s="292" t="s">
        <v>238</v>
      </c>
      <c r="U3" s="292" t="s">
        <v>237</v>
      </c>
      <c r="V3" s="292" t="s">
        <v>239</v>
      </c>
      <c r="W3" s="292" t="s">
        <v>237</v>
      </c>
    </row>
    <row r="4" spans="1:23">
      <c r="A4" s="2794" t="s">
        <v>578</v>
      </c>
      <c r="B4" s="2794" t="s">
        <v>579</v>
      </c>
      <c r="C4" s="1766" t="s">
        <v>1873</v>
      </c>
      <c r="D4" s="292" t="s">
        <v>2042</v>
      </c>
      <c r="E4" s="292" t="s">
        <v>276</v>
      </c>
      <c r="F4" s="292" t="s">
        <v>277</v>
      </c>
      <c r="G4" s="292">
        <v>70</v>
      </c>
      <c r="H4" s="292" t="s">
        <v>278</v>
      </c>
      <c r="I4" s="292" t="s">
        <v>279</v>
      </c>
      <c r="K4" s="292" t="s">
        <v>240</v>
      </c>
      <c r="L4" s="292" t="s">
        <v>240</v>
      </c>
      <c r="M4" s="292" t="s">
        <v>240</v>
      </c>
      <c r="N4" s="292" t="s">
        <v>240</v>
      </c>
      <c r="O4" s="292" t="s">
        <v>240</v>
      </c>
      <c r="P4" s="292" t="s">
        <v>240</v>
      </c>
      <c r="Q4" s="292" t="s">
        <v>240</v>
      </c>
      <c r="R4" s="2760" t="s">
        <v>2636</v>
      </c>
      <c r="S4" s="292" t="s">
        <v>240</v>
      </c>
      <c r="T4" s="292" t="s">
        <v>241</v>
      </c>
      <c r="U4" s="292" t="s">
        <v>240</v>
      </c>
      <c r="W4" s="292" t="s">
        <v>240</v>
      </c>
    </row>
    <row r="5" spans="1:23">
      <c r="A5" s="2794" t="s">
        <v>580</v>
      </c>
      <c r="B5" s="2795" t="s">
        <v>3373</v>
      </c>
      <c r="C5" s="1766" t="s">
        <v>1874</v>
      </c>
      <c r="F5" s="292" t="s">
        <v>242</v>
      </c>
      <c r="H5" s="292" t="s">
        <v>243</v>
      </c>
      <c r="I5" s="292" t="s">
        <v>244</v>
      </c>
      <c r="K5" s="292" t="s">
        <v>245</v>
      </c>
      <c r="L5" s="292" t="s">
        <v>245</v>
      </c>
      <c r="M5" s="292" t="s">
        <v>245</v>
      </c>
      <c r="N5" s="292" t="s">
        <v>245</v>
      </c>
      <c r="O5" s="292" t="s">
        <v>245</v>
      </c>
      <c r="P5" s="292" t="s">
        <v>245</v>
      </c>
      <c r="Q5" s="292" t="s">
        <v>245</v>
      </c>
      <c r="R5" s="2760" t="s">
        <v>2637</v>
      </c>
      <c r="S5" s="292" t="s">
        <v>245</v>
      </c>
      <c r="T5" s="292" t="s">
        <v>246</v>
      </c>
      <c r="U5" s="292" t="s">
        <v>245</v>
      </c>
      <c r="W5" s="292" t="s">
        <v>245</v>
      </c>
    </row>
    <row r="6" spans="1:23">
      <c r="A6" s="2794" t="s">
        <v>581</v>
      </c>
      <c r="B6" s="2795" t="s">
        <v>3375</v>
      </c>
      <c r="C6" s="1768" t="s">
        <v>162</v>
      </c>
      <c r="F6" s="292" t="s">
        <v>247</v>
      </c>
      <c r="H6" s="292" t="s">
        <v>248</v>
      </c>
      <c r="I6" s="292" t="s">
        <v>249</v>
      </c>
      <c r="K6" s="292" t="s">
        <v>250</v>
      </c>
      <c r="L6" s="292" t="s">
        <v>250</v>
      </c>
      <c r="M6" s="292" t="s">
        <v>250</v>
      </c>
      <c r="N6" s="292" t="s">
        <v>250</v>
      </c>
      <c r="O6" s="292" t="s">
        <v>250</v>
      </c>
      <c r="P6" s="292" t="s">
        <v>250</v>
      </c>
      <c r="Q6" s="292" t="s">
        <v>250</v>
      </c>
      <c r="R6" s="2760" t="s">
        <v>2638</v>
      </c>
      <c r="S6" s="292" t="s">
        <v>250</v>
      </c>
      <c r="T6" s="292"/>
      <c r="U6" s="292" t="s">
        <v>250</v>
      </c>
      <c r="W6" s="292" t="s">
        <v>250</v>
      </c>
    </row>
    <row r="7" spans="1:23">
      <c r="A7" s="2794" t="s">
        <v>583</v>
      </c>
      <c r="B7" s="2795" t="s">
        <v>2678</v>
      </c>
      <c r="C7" s="1766" t="s">
        <v>163</v>
      </c>
      <c r="F7" s="292" t="s">
        <v>251</v>
      </c>
      <c r="H7" s="292" t="s">
        <v>252</v>
      </c>
      <c r="I7" s="292" t="s">
        <v>253</v>
      </c>
    </row>
    <row r="8" spans="1:23">
      <c r="A8" s="2794" t="s">
        <v>585</v>
      </c>
      <c r="B8" s="2794" t="s">
        <v>582</v>
      </c>
      <c r="C8" s="1766" t="s">
        <v>1875</v>
      </c>
      <c r="F8" s="292" t="s">
        <v>280</v>
      </c>
      <c r="H8" s="292"/>
      <c r="I8" s="292" t="s">
        <v>281</v>
      </c>
    </row>
    <row r="9" spans="1:23">
      <c r="A9" s="2794" t="s">
        <v>587</v>
      </c>
      <c r="B9" s="2794" t="s">
        <v>584</v>
      </c>
      <c r="C9" s="1766" t="s">
        <v>1876</v>
      </c>
      <c r="F9" s="292" t="s">
        <v>282</v>
      </c>
      <c r="H9" s="292"/>
    </row>
    <row r="10" spans="1:23">
      <c r="A10" s="2794" t="s">
        <v>589</v>
      </c>
      <c r="B10" s="2794" t="s">
        <v>586</v>
      </c>
      <c r="C10" s="1766" t="s">
        <v>1877</v>
      </c>
      <c r="F10" s="292" t="s">
        <v>51</v>
      </c>
    </row>
    <row r="11" spans="1:23">
      <c r="A11" s="2794" t="s">
        <v>591</v>
      </c>
      <c r="B11" s="2794" t="s">
        <v>588</v>
      </c>
      <c r="C11" s="1766" t="s">
        <v>1878</v>
      </c>
    </row>
    <row r="12" spans="1:23">
      <c r="A12" s="2794" t="s">
        <v>593</v>
      </c>
      <c r="B12" s="2794" t="s">
        <v>590</v>
      </c>
      <c r="C12" s="1766" t="s">
        <v>1879</v>
      </c>
    </row>
    <row r="13" spans="1:23">
      <c r="A13" s="2794" t="s">
        <v>595</v>
      </c>
      <c r="B13" s="2794" t="s">
        <v>592</v>
      </c>
      <c r="C13" s="1766" t="s">
        <v>1880</v>
      </c>
    </row>
    <row r="14" spans="1:23">
      <c r="A14" s="2794" t="s">
        <v>597</v>
      </c>
      <c r="B14" s="2794" t="s">
        <v>594</v>
      </c>
      <c r="C14" s="292" t="s">
        <v>51</v>
      </c>
    </row>
    <row r="15" spans="1:23">
      <c r="A15" s="2794" t="s">
        <v>598</v>
      </c>
      <c r="B15" s="2794" t="s">
        <v>596</v>
      </c>
      <c r="C15" s="1769"/>
    </row>
    <row r="16" spans="1:23">
      <c r="A16" s="2794" t="s">
        <v>599</v>
      </c>
      <c r="B16" s="2794" t="s">
        <v>1861</v>
      </c>
      <c r="C16" s="1769"/>
    </row>
    <row r="17" spans="1:3">
      <c r="A17" s="2794" t="s">
        <v>600</v>
      </c>
      <c r="B17" s="2794" t="s">
        <v>1862</v>
      </c>
      <c r="C17" s="1769"/>
    </row>
    <row r="18" spans="1:3">
      <c r="A18" s="2794" t="s">
        <v>601</v>
      </c>
      <c r="B18" s="2794" t="s">
        <v>1862</v>
      </c>
      <c r="C18" s="1769"/>
    </row>
    <row r="19" spans="1:3">
      <c r="A19" s="2794" t="s">
        <v>602</v>
      </c>
      <c r="B19" s="2794" t="s">
        <v>1862</v>
      </c>
      <c r="C19" s="1769"/>
    </row>
    <row r="20" spans="1:3">
      <c r="A20" s="2794" t="s">
        <v>603</v>
      </c>
      <c r="B20" s="2794" t="s">
        <v>1862</v>
      </c>
      <c r="C20" s="1769"/>
    </row>
    <row r="21" spans="1:3">
      <c r="A21" s="2794" t="s">
        <v>604</v>
      </c>
      <c r="B21" s="2794" t="s">
        <v>1862</v>
      </c>
      <c r="C21" s="1769"/>
    </row>
    <row r="22" spans="1:3">
      <c r="A22" s="2794" t="s">
        <v>605</v>
      </c>
      <c r="B22" s="2794" t="s">
        <v>1862</v>
      </c>
      <c r="C22" s="1769"/>
    </row>
    <row r="23" spans="1:3">
      <c r="A23" s="2794" t="s">
        <v>606</v>
      </c>
      <c r="B23" s="2794" t="s">
        <v>1862</v>
      </c>
      <c r="C23" s="1769"/>
    </row>
    <row r="24" spans="1:3">
      <c r="A24" s="2794" t="s">
        <v>607</v>
      </c>
      <c r="B24" s="2794" t="s">
        <v>1862</v>
      </c>
      <c r="C24" s="1769"/>
    </row>
    <row r="25" spans="1:3">
      <c r="A25" s="2794" t="s">
        <v>608</v>
      </c>
      <c r="B25" s="2794" t="s">
        <v>1862</v>
      </c>
      <c r="C25" s="1769"/>
    </row>
    <row r="26" spans="1:3">
      <c r="A26" s="2794" t="s">
        <v>609</v>
      </c>
      <c r="B26" s="2794" t="s">
        <v>1862</v>
      </c>
      <c r="C26" s="1769"/>
    </row>
    <row r="27" spans="1:3">
      <c r="A27" s="2794" t="s">
        <v>1862</v>
      </c>
      <c r="B27" s="2794" t="s">
        <v>1862</v>
      </c>
      <c r="C27" s="1769"/>
    </row>
    <row r="28" spans="1:3">
      <c r="A28" s="2794" t="s">
        <v>1862</v>
      </c>
      <c r="B28" s="2794" t="s">
        <v>1862</v>
      </c>
      <c r="C28" s="1769"/>
    </row>
    <row r="29" spans="1:3">
      <c r="A29" s="2794" t="s">
        <v>1862</v>
      </c>
      <c r="B29" s="2794" t="s">
        <v>1862</v>
      </c>
      <c r="C29" s="1769"/>
    </row>
    <row r="30" spans="1:3">
      <c r="A30" s="2794" t="s">
        <v>1862</v>
      </c>
      <c r="B30" s="2794" t="s">
        <v>1862</v>
      </c>
      <c r="C30" s="1769"/>
    </row>
    <row r="31" spans="1:3">
      <c r="A31" s="2794" t="s">
        <v>1862</v>
      </c>
      <c r="B31" s="2794" t="s">
        <v>1862</v>
      </c>
      <c r="C31" s="1769"/>
    </row>
    <row r="32" spans="1:3">
      <c r="A32" s="2794" t="s">
        <v>1862</v>
      </c>
      <c r="B32" s="2794" t="s">
        <v>1862</v>
      </c>
      <c r="C32" s="1769"/>
    </row>
    <row r="33" spans="1:3">
      <c r="A33" s="2794" t="s">
        <v>1862</v>
      </c>
      <c r="B33" s="2794" t="s">
        <v>1862</v>
      </c>
      <c r="C33" s="1769"/>
    </row>
    <row r="34" spans="1:3">
      <c r="A34" s="2794" t="s">
        <v>1862</v>
      </c>
      <c r="B34" s="2794" t="s">
        <v>1862</v>
      </c>
      <c r="C34" s="1769"/>
    </row>
    <row r="35" spans="1:3">
      <c r="A35" s="2794" t="s">
        <v>1862</v>
      </c>
      <c r="B35" s="2794" t="s">
        <v>1862</v>
      </c>
      <c r="C35" s="1769"/>
    </row>
    <row r="36" spans="1:3">
      <c r="A36" s="2794" t="s">
        <v>1862</v>
      </c>
      <c r="B36" s="2794" t="s">
        <v>1862</v>
      </c>
      <c r="C36" s="1769"/>
    </row>
    <row r="37" spans="1:3">
      <c r="A37" s="2794" t="s">
        <v>1862</v>
      </c>
      <c r="B37" s="2794" t="s">
        <v>1862</v>
      </c>
      <c r="C37" s="1769"/>
    </row>
    <row r="38" spans="1:3">
      <c r="A38" s="2794" t="s">
        <v>1862</v>
      </c>
      <c r="B38" s="2794" t="s">
        <v>1862</v>
      </c>
      <c r="C38" s="1769"/>
    </row>
    <row r="39" spans="1:3">
      <c r="A39" s="2794" t="s">
        <v>1862</v>
      </c>
      <c r="B39" s="2794" t="s">
        <v>1862</v>
      </c>
      <c r="C39" s="1769"/>
    </row>
    <row r="40" spans="1:3">
      <c r="A40" s="2794" t="s">
        <v>1862</v>
      </c>
      <c r="B40" s="2794" t="s">
        <v>1862</v>
      </c>
      <c r="C40" s="1769"/>
    </row>
    <row r="41" spans="1:3">
      <c r="A41" s="2794" t="s">
        <v>1862</v>
      </c>
      <c r="B41" s="2794" t="s">
        <v>1862</v>
      </c>
      <c r="C41" s="1769"/>
    </row>
    <row r="42" spans="1:3">
      <c r="A42" s="2794" t="s">
        <v>1862</v>
      </c>
      <c r="B42" s="2794" t="s">
        <v>1862</v>
      </c>
      <c r="C42" s="1769"/>
    </row>
    <row r="43" spans="1:3">
      <c r="A43" s="2794" t="s">
        <v>1862</v>
      </c>
      <c r="B43" s="2794" t="s">
        <v>1862</v>
      </c>
      <c r="C43" s="1769"/>
    </row>
    <row r="44" spans="1:3">
      <c r="A44" s="2794" t="s">
        <v>1862</v>
      </c>
      <c r="B44" s="2794" t="s">
        <v>1862</v>
      </c>
      <c r="C44" s="1769"/>
    </row>
    <row r="45" spans="1:3">
      <c r="A45" s="2794" t="s">
        <v>1862</v>
      </c>
      <c r="B45" s="2794" t="s">
        <v>1862</v>
      </c>
      <c r="C45" s="1769"/>
    </row>
    <row r="46" spans="1:3">
      <c r="A46" s="2794" t="s">
        <v>1862</v>
      </c>
      <c r="B46" s="2794" t="s">
        <v>1862</v>
      </c>
      <c r="C46" s="1769"/>
    </row>
    <row r="47" spans="1:3">
      <c r="A47" s="2794" t="s">
        <v>1862</v>
      </c>
      <c r="B47" s="2794" t="s">
        <v>1862</v>
      </c>
      <c r="C47" s="1769"/>
    </row>
    <row r="48" spans="1:3">
      <c r="A48" s="2794" t="s">
        <v>1862</v>
      </c>
      <c r="B48" s="2794" t="s">
        <v>1862</v>
      </c>
      <c r="C48" s="1769"/>
    </row>
    <row r="49" spans="1:4">
      <c r="A49" s="2794" t="s">
        <v>1862</v>
      </c>
      <c r="B49" s="2794" t="s">
        <v>1862</v>
      </c>
      <c r="C49" s="1769"/>
    </row>
    <row r="50" spans="1:4">
      <c r="A50" s="2794" t="s">
        <v>1862</v>
      </c>
      <c r="B50" s="2794" t="s">
        <v>1862</v>
      </c>
      <c r="C50" s="1769"/>
    </row>
    <row r="51" spans="1:4">
      <c r="A51" s="1949" t="s">
        <v>2008</v>
      </c>
      <c r="B51" s="2091" t="str">
        <f>"为估价委托人在向"&amp;项目基本情况!B6&amp;"办理贷款手续过程中，确定房地产抵押贷款额度提供参考依据而评估房地产抵押价值。"</f>
        <v>为估价委托人在向中国工商银行股份有限公司北京珠市口支行办理贷款手续过程中，确定房地产抵押贷款额度提供参考依据而评估房地产抵押价值。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门头沟区潭柘寺MC01-0003-6004地块C3出让国有建设用地使用权及在建建筑物房地产作为抵押担保物，向中国工商银行股份有限公司北京珠市口支行办理贷款手续。中国工商银行股份有限公司北京珠市口支行特委托北京康正宏基房地产评估有限公司对上述抵押物进行评估。本次评估为确定房地产抵押贷款额度提供参考依据而评估房地产抵押价值。</v>
      </c>
      <c r="D51" s="2091" t="s">
        <v>2863</v>
      </c>
    </row>
    <row r="52" spans="1:4">
      <c r="A52" s="1949" t="s">
        <v>2012</v>
      </c>
      <c r="B52" s="1949" t="s">
        <v>2013</v>
      </c>
      <c r="C52" s="1159" t="s">
        <v>2014</v>
      </c>
      <c r="D52" s="1159" t="s">
        <v>2015</v>
      </c>
    </row>
    <row r="53" spans="1:4">
      <c r="A53" s="3506" t="s">
        <v>2016</v>
      </c>
      <c r="B53" s="2091" t="s">
        <v>2017</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28日，估价对象规划用途为住宅、仓储、地下车库土地取得方式为出让，出让国有建设用地使用权剩余土地使用年限为XX年(多用途剩余年限尾数不同时，可只体现小数点后一位)，假定未设立法定优先受偿款下的房地产市场价值。</v>
      </c>
    </row>
    <row r="54" spans="1:4">
      <c r="A54" s="3506"/>
      <c r="B54" s="2091" t="s">
        <v>2018</v>
      </c>
      <c r="C54" s="1159" t="s">
        <v>2860</v>
      </c>
    </row>
    <row r="55" spans="1:4">
      <c r="A55" s="3506"/>
      <c r="B55" s="2091" t="s">
        <v>2019</v>
      </c>
      <c r="C55" s="1159" t="s">
        <v>2861</v>
      </c>
    </row>
    <row r="56" spans="1:4">
      <c r="A56" s="3506"/>
      <c r="B56" s="2091" t="s">
        <v>2020</v>
      </c>
      <c r="C56" s="1159" t="s">
        <v>2871</v>
      </c>
    </row>
    <row r="57" spans="1:4">
      <c r="A57" s="3506"/>
      <c r="B57" s="2091" t="s">
        <v>2021</v>
      </c>
      <c r="C57" s="1159" t="s">
        <v>2862</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B37" sqref="B37:D38"/>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3" customWidth="1"/>
    <col min="12" max="13" width="10" style="2003"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1" t="s">
        <v>2122</v>
      </c>
      <c r="B1" s="3507" t="str">
        <f>IF(B10="北京市","北京市",C10)&amp;F10&amp;IF(结果表!G1="在建","出让国有建设用地使用权及在建建筑物",IF(结果表!G1="土地","出让国有建设用地使用权",))&amp;B9&amp;"预评估"</f>
        <v>北京市北京市门头沟区潭柘寺MC01-0003-6004地块C3出让国有建设用地使用权及在建建筑物房地产抵押价值预评估</v>
      </c>
      <c r="C1" s="3508"/>
      <c r="D1" s="3508"/>
      <c r="E1" s="3508"/>
      <c r="F1" s="3508"/>
      <c r="G1" s="3508"/>
      <c r="H1" s="3508"/>
      <c r="I1" s="3509"/>
      <c r="J1" s="1992"/>
      <c r="K1" s="2098"/>
      <c r="L1" s="1993"/>
      <c r="M1" s="1993"/>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北京市北京市门头沟区潭柘寺MC01-0003-6004地块C3出让国有建设用地使用权及在建建筑物房地产抵押价值</v>
      </c>
    </row>
    <row r="2" spans="1:19" ht="18" customHeight="1">
      <c r="A2" s="1992" t="s">
        <v>2123</v>
      </c>
      <c r="B2" s="1940"/>
      <c r="C2" s="1994"/>
      <c r="D2" s="1992"/>
      <c r="E2" s="1995"/>
      <c r="F2" s="1995"/>
      <c r="G2" s="1992"/>
      <c r="H2" s="1992"/>
      <c r="I2" s="1992"/>
      <c r="J2" s="1992"/>
      <c r="K2" s="2098"/>
      <c r="L2" s="1993"/>
      <c r="M2" s="1993"/>
      <c r="N2" s="1194"/>
      <c r="O2" s="11"/>
      <c r="P2" s="1194"/>
      <c r="Q2" s="1194"/>
      <c r="R2" s="1194"/>
      <c r="S2" s="1193" t="str">
        <f>IF(B10="北京市","北京市",C10)&amp;F10&amp;IF(结果表!G1="在建","出让国有建设用地使用权及在建建筑物房地产",IF(结果表!G1="土地","出让国有建设用地使用权","房地产"))</f>
        <v>北京市北京市门头沟区潭柘寺MC01-0003-6004地块C3出让国有建设用地使用权及在建建筑物房地产</v>
      </c>
    </row>
    <row r="3" spans="1:19" ht="18" customHeight="1">
      <c r="A3" s="1938" t="s">
        <v>2001</v>
      </c>
      <c r="B3" s="3228">
        <v>42975</v>
      </c>
      <c r="C3" s="1921" t="s">
        <v>2002</v>
      </c>
      <c r="D3" s="3228">
        <f>B3</f>
        <v>42975</v>
      </c>
      <c r="E3" s="1992"/>
      <c r="F3" s="1992"/>
      <c r="G3" s="1992"/>
      <c r="H3" s="1992"/>
      <c r="I3" s="1992"/>
      <c r="J3" s="1992"/>
      <c r="K3" s="2098"/>
      <c r="L3" s="1993"/>
      <c r="M3" s="1993"/>
      <c r="N3" s="1194"/>
      <c r="O3" s="11"/>
      <c r="P3" s="1194"/>
      <c r="Q3" s="1194"/>
      <c r="R3" s="1194"/>
      <c r="S3" s="1193"/>
    </row>
    <row r="4" spans="1:19" ht="18" customHeight="1" thickBot="1">
      <c r="A4" s="1922" t="s">
        <v>2003</v>
      </c>
      <c r="B4" s="1923" t="s">
        <v>3084</v>
      </c>
      <c r="C4" s="1924">
        <f ca="1">SUMIF(注册房地产估价师,B4,估价师及机构信息!B3:B24)</f>
        <v>1119970066</v>
      </c>
      <c r="D4" s="1923" t="s">
        <v>3085</v>
      </c>
      <c r="E4" s="1925">
        <f ca="1">SUMIF(注册房地产估价师,D4,估价师及机构信息!B3:B24)</f>
        <v>1120000080</v>
      </c>
      <c r="F4" s="1923" t="s">
        <v>528</v>
      </c>
      <c r="G4" s="1951">
        <f>SUMIF(注册房地产估价师,F4,估价师及机构信息!B3:B24)</f>
        <v>0</v>
      </c>
      <c r="H4" s="1923" t="s">
        <v>528</v>
      </c>
      <c r="I4" s="2883">
        <f>SUMIF(注册房地产估价师,H4,估价师及机构信息!B3:B24)</f>
        <v>0</v>
      </c>
      <c r="J4" s="1997"/>
      <c r="K4" s="2099" t="str">
        <f ca="1">CONCATENATE(B4,"（注册号：",C4,")、",D4,"（注册号：",E4,")")</f>
        <v>梁津（注册号：1119970066)、欧红伟（注册号：1120000080)</v>
      </c>
      <c r="L4" s="1993"/>
      <c r="M4" s="1993"/>
      <c r="N4" s="1194"/>
      <c r="O4" s="11"/>
      <c r="P4" s="1194"/>
      <c r="Q4" s="1194"/>
      <c r="R4" s="1194"/>
      <c r="S4" s="1193"/>
    </row>
    <row r="5" spans="1:19" ht="18" customHeight="1" thickTop="1">
      <c r="A5" s="1926" t="s">
        <v>2087</v>
      </c>
      <c r="B5" s="3364" t="s">
        <v>3086</v>
      </c>
      <c r="C5" s="2036"/>
      <c r="D5" s="1998"/>
      <c r="E5" s="1997"/>
      <c r="F5" s="1997"/>
      <c r="G5" s="1997"/>
      <c r="H5" s="1997"/>
      <c r="I5" s="1997"/>
      <c r="J5" s="1997"/>
      <c r="K5" s="2099" t="str">
        <f>IF(F4="——","",IF(H4="——",F4&amp;"（注册号："&amp;G4&amp;")",CONCATENATE(F4,"（注册号：",G4,")、",H4,"（注册号：",I4,")")))</f>
        <v/>
      </c>
      <c r="L5" s="1993"/>
      <c r="M5" s="1993"/>
      <c r="N5" s="1194"/>
      <c r="O5" s="11"/>
      <c r="P5" s="1194"/>
      <c r="Q5" s="1194"/>
      <c r="R5" s="1194"/>
    </row>
    <row r="6" spans="1:19" ht="18" customHeight="1">
      <c r="A6" s="1927" t="s">
        <v>2088</v>
      </c>
      <c r="B6" s="2037" t="s">
        <v>3087</v>
      </c>
      <c r="C6" s="2038"/>
      <c r="D6" s="1999"/>
      <c r="E6" s="1995"/>
      <c r="F6" s="1997"/>
      <c r="G6" s="1997"/>
      <c r="H6" s="1997"/>
      <c r="I6" s="1997"/>
      <c r="J6" s="1997"/>
      <c r="K6" s="2104" t="str">
        <f>IF(COUNTIF(B6,"*上海银行*"),"上海银行","")</f>
        <v/>
      </c>
      <c r="L6" s="1993"/>
      <c r="M6" s="1993"/>
      <c r="N6" s="1194"/>
      <c r="O6" s="11"/>
      <c r="P6" s="1194"/>
      <c r="Q6" s="1194"/>
      <c r="R6" s="1194"/>
    </row>
    <row r="7" spans="1:19" ht="18" customHeight="1">
      <c r="A7" s="1927" t="s">
        <v>2866</v>
      </c>
      <c r="B7" s="3283"/>
      <c r="C7" s="2038"/>
      <c r="D7" s="1999"/>
      <c r="E7" s="1995"/>
      <c r="F7" s="1997"/>
      <c r="G7" s="1997"/>
      <c r="H7" s="1997"/>
      <c r="I7" s="1997"/>
      <c r="J7" s="1997"/>
      <c r="K7" s="2100"/>
      <c r="L7" s="1993"/>
      <c r="M7" s="1993"/>
      <c r="N7" s="1194"/>
      <c r="O7" s="11"/>
      <c r="P7" s="1194"/>
      <c r="Q7" s="1194"/>
      <c r="R7" s="1194"/>
    </row>
    <row r="8" spans="1:19" ht="18" customHeight="1">
      <c r="A8" s="1927" t="s">
        <v>1949</v>
      </c>
      <c r="B8" s="2031" t="s">
        <v>3088</v>
      </c>
      <c r="C8" s="2000"/>
      <c r="D8" s="3510" t="s">
        <v>2011</v>
      </c>
      <c r="E8" s="2032" t="s">
        <v>3089</v>
      </c>
      <c r="F8" s="2033"/>
      <c r="G8" s="1992"/>
      <c r="H8" s="1992"/>
      <c r="I8" s="1992"/>
      <c r="J8" s="1997"/>
      <c r="K8" s="2099"/>
      <c r="L8" s="1993"/>
      <c r="M8" s="1993"/>
      <c r="N8" s="1194"/>
      <c r="O8" s="11"/>
      <c r="P8" s="1194"/>
      <c r="Q8" s="1194"/>
      <c r="R8" s="1194"/>
    </row>
    <row r="9" spans="1:19" ht="18" customHeight="1" thickBot="1">
      <c r="A9" s="1951" t="s">
        <v>1950</v>
      </c>
      <c r="B9" s="1952" t="s">
        <v>3089</v>
      </c>
      <c r="C9" s="2001"/>
      <c r="D9" s="3511"/>
      <c r="E9" s="1952"/>
      <c r="F9" s="2886"/>
      <c r="G9" s="1996"/>
      <c r="H9" s="1996"/>
      <c r="I9" s="1996"/>
      <c r="J9" s="1997"/>
      <c r="K9" s="2100"/>
      <c r="L9" s="1993"/>
      <c r="M9" s="1993"/>
      <c r="N9" s="1194"/>
      <c r="O9" s="11"/>
      <c r="P9" s="1194"/>
      <c r="Q9" s="1194"/>
      <c r="R9" s="1194"/>
    </row>
    <row r="10" spans="1:19" ht="18" customHeight="1" thickTop="1">
      <c r="A10" s="2006" t="s">
        <v>2059</v>
      </c>
      <c r="B10" s="2052" t="s">
        <v>3077</v>
      </c>
      <c r="C10" s="2034"/>
      <c r="D10" s="1998"/>
      <c r="E10" s="1937" t="s">
        <v>1951</v>
      </c>
      <c r="F10" s="3349" t="s">
        <v>3091</v>
      </c>
      <c r="G10" s="2884"/>
      <c r="H10" s="2885"/>
      <c r="I10" s="1998"/>
      <c r="J10" s="1997"/>
      <c r="K10" s="2100"/>
      <c r="L10" s="1993"/>
      <c r="M10" s="1993"/>
      <c r="N10" s="1194"/>
      <c r="O10" s="11"/>
      <c r="P10" s="1194"/>
      <c r="Q10" s="1194"/>
      <c r="R10" s="1194"/>
    </row>
    <row r="11" spans="1:19" ht="18" customHeight="1">
      <c r="A11" s="1955" t="s">
        <v>2060</v>
      </c>
      <c r="B11" s="2051" t="s">
        <v>3090</v>
      </c>
      <c r="C11" s="2035"/>
      <c r="D11" s="2002"/>
      <c r="E11" s="1997"/>
      <c r="F11" s="1997"/>
      <c r="G11" s="1997"/>
      <c r="H11" s="1997"/>
      <c r="I11" s="1997"/>
      <c r="J11" s="1997"/>
      <c r="K11" s="2100"/>
      <c r="L11" s="1993"/>
      <c r="M11" s="1993"/>
      <c r="N11" s="1194"/>
      <c r="O11" s="11"/>
      <c r="P11" s="1194"/>
      <c r="Q11" s="1194"/>
      <c r="R11" s="1194"/>
    </row>
    <row r="12" spans="1:19" ht="18" customHeight="1">
      <c r="A12" s="2050" t="s">
        <v>2086</v>
      </c>
      <c r="B12" s="2051" t="s">
        <v>2022</v>
      </c>
      <c r="C12" s="2009" t="s">
        <v>2090</v>
      </c>
      <c r="D12" s="2021" t="s">
        <v>1943</v>
      </c>
      <c r="E12" s="2021" t="s">
        <v>2703</v>
      </c>
      <c r="F12" s="2021" t="s">
        <v>2704</v>
      </c>
      <c r="G12" s="2021" t="s">
        <v>2705</v>
      </c>
      <c r="H12" s="2021" t="s">
        <v>2706</v>
      </c>
      <c r="I12" s="2021" t="s">
        <v>2707</v>
      </c>
      <c r="J12" s="1997"/>
      <c r="K12" s="2100"/>
      <c r="L12" s="1993"/>
      <c r="M12" s="1993"/>
      <c r="N12" s="1194"/>
      <c r="O12" s="11"/>
      <c r="P12" s="1194"/>
      <c r="Q12" s="1194"/>
      <c r="R12" s="1194"/>
    </row>
    <row r="13" spans="1:19" ht="18" customHeight="1">
      <c r="A13" s="2005"/>
      <c r="B13" s="2080"/>
      <c r="C13" s="2081" t="s">
        <v>2089</v>
      </c>
      <c r="D13" s="2046">
        <v>67515</v>
      </c>
      <c r="E13" s="2046"/>
      <c r="F13" s="2046"/>
      <c r="G13" s="2046">
        <v>60210</v>
      </c>
      <c r="H13" s="2046">
        <v>60210</v>
      </c>
      <c r="I13" s="2046"/>
      <c r="J13" s="1997"/>
      <c r="K13" s="2100"/>
      <c r="L13" s="1993"/>
      <c r="M13" s="1993"/>
      <c r="N13" s="1194"/>
      <c r="O13" s="11"/>
      <c r="P13" s="1194"/>
      <c r="Q13" s="1194"/>
      <c r="R13" s="1194"/>
    </row>
    <row r="14" spans="1:19" ht="18" customHeight="1">
      <c r="A14" s="2005"/>
      <c r="B14" s="2080"/>
      <c r="C14" s="2081" t="s">
        <v>2091</v>
      </c>
      <c r="D14" s="2049">
        <v>70</v>
      </c>
      <c r="E14" s="2049"/>
      <c r="F14" s="2049"/>
      <c r="G14" s="2049">
        <v>50</v>
      </c>
      <c r="H14" s="2049">
        <v>50</v>
      </c>
      <c r="I14" s="2049"/>
      <c r="J14" s="1997"/>
      <c r="K14" s="2101"/>
      <c r="L14" s="1993"/>
      <c r="M14" s="1993"/>
      <c r="N14" s="1194"/>
      <c r="O14" s="11"/>
      <c r="P14" s="1194"/>
      <c r="Q14" s="1194"/>
      <c r="R14" s="1194"/>
    </row>
    <row r="15" spans="1:19" ht="18" customHeight="1">
      <c r="A15" s="2006"/>
      <c r="B15" s="2082"/>
      <c r="C15" s="2081" t="s">
        <v>2092</v>
      </c>
      <c r="D15" s="2048">
        <f>IF(B12="出让",IF(D13="","",ROUNDDOWN(MIN((D13-$D$3)/365,D14),2)),D14)</f>
        <v>67.23</v>
      </c>
      <c r="E15" s="2048" t="str">
        <f>IF(B12="出让",IF(E13="","",ROUNDDOWN(MIN((E13-$D$3)/365,E14),2)),E14)</f>
        <v/>
      </c>
      <c r="F15" s="2048" t="str">
        <f>IF(B12="出让",IF(F13="","",ROUNDDOWN(MIN((F13-$D$3)/365,F14),2)),F14)</f>
        <v/>
      </c>
      <c r="G15" s="2048">
        <f>IF(B12="出让",IF(G13="","",ROUNDDOWN(MIN((G13-$D$3)/365,G14),2)),G14)</f>
        <v>47.21</v>
      </c>
      <c r="H15" s="2048">
        <f>IF(B12="出让",IF(H13="","",ROUNDDOWN(MIN((H13-$D$3)/365,H14),2)),H14)</f>
        <v>47.21</v>
      </c>
      <c r="I15" s="2048" t="str">
        <f>IF(B12="出让",IF(I13="","",ROUNDDOWN(MIN((I13-$D$3)/365,I14),2)),I14)</f>
        <v/>
      </c>
      <c r="J15" s="1997"/>
      <c r="K15" s="2102"/>
      <c r="L15" s="1228"/>
      <c r="M15" s="1228"/>
      <c r="N15" s="2017"/>
      <c r="O15" s="1228"/>
      <c r="P15" s="2017"/>
      <c r="Q15" s="1194"/>
      <c r="R15" s="1194"/>
    </row>
    <row r="16" spans="1:19" ht="30.75" customHeight="1">
      <c r="A16" s="1937" t="s">
        <v>2093</v>
      </c>
      <c r="B16" s="3517" t="s">
        <v>3092</v>
      </c>
      <c r="C16" s="3518"/>
      <c r="D16" s="3519"/>
      <c r="E16" s="1953" t="s">
        <v>2023</v>
      </c>
      <c r="F16" s="3520" t="s">
        <v>3093</v>
      </c>
      <c r="G16" s="3521"/>
      <c r="H16" s="3521"/>
      <c r="I16" s="3521"/>
      <c r="J16" s="1194"/>
      <c r="K16" s="2102"/>
      <c r="L16" s="1228"/>
      <c r="M16" s="1228"/>
      <c r="N16" s="2017"/>
      <c r="O16" s="1228"/>
      <c r="P16" s="2017"/>
      <c r="Q16" s="1194"/>
      <c r="R16" s="1194"/>
    </row>
    <row r="17" spans="1:22" ht="18" customHeight="1">
      <c r="A17" s="2004" t="s">
        <v>1952</v>
      </c>
      <c r="B17" s="1938" t="s">
        <v>1953</v>
      </c>
      <c r="C17" s="2083">
        <f>'数据-汇总表'!E3</f>
        <v>54996.800000000003</v>
      </c>
      <c r="D17" s="1939" t="s">
        <v>1954</v>
      </c>
      <c r="E17" s="3522" t="s">
        <v>2010</v>
      </c>
      <c r="F17" s="3523"/>
      <c r="G17" s="3523"/>
      <c r="H17" s="3523"/>
      <c r="I17" s="3524"/>
      <c r="J17" s="1194"/>
      <c r="K17" s="2693"/>
      <c r="L17" s="1228"/>
      <c r="M17" s="1228"/>
      <c r="N17" s="2017"/>
      <c r="O17" s="1228"/>
      <c r="P17" s="2017"/>
      <c r="Q17" s="1194"/>
      <c r="R17" s="1194"/>
      <c r="S17" s="1194"/>
      <c r="T17" s="1194"/>
      <c r="U17" s="1194"/>
      <c r="V17" s="1194"/>
    </row>
    <row r="18" spans="1:22" ht="36" customHeight="1" thickBot="1">
      <c r="A18" s="2892" t="s">
        <v>2699</v>
      </c>
      <c r="B18" s="1922" t="s">
        <v>1955</v>
      </c>
      <c r="C18" s="2893">
        <f>'数据-汇总表'!D3</f>
        <v>27526.28</v>
      </c>
      <c r="D18" s="2894" t="s">
        <v>1954</v>
      </c>
      <c r="E18" s="3525" t="s">
        <v>3009</v>
      </c>
      <c r="F18" s="3526"/>
      <c r="G18" s="3526"/>
      <c r="H18" s="3526"/>
      <c r="I18" s="3527"/>
      <c r="J18" s="1194"/>
      <c r="K18" s="2693"/>
      <c r="L18" s="1228"/>
      <c r="M18" s="1228"/>
      <c r="N18" s="2017"/>
      <c r="O18" s="1228"/>
      <c r="P18" s="2017"/>
      <c r="Q18" s="1194"/>
      <c r="R18" s="1194"/>
      <c r="S18" s="1194"/>
      <c r="T18" s="1194"/>
      <c r="U18" s="1194"/>
      <c r="V18" s="1194"/>
    </row>
    <row r="19" spans="1:22" ht="37.5" customHeight="1" thickTop="1" thickBot="1">
      <c r="A19" s="2891" t="s">
        <v>2040</v>
      </c>
      <c r="B19" s="2057" t="s">
        <v>2041</v>
      </c>
      <c r="C19" s="2058" t="s">
        <v>41</v>
      </c>
      <c r="D19" s="2040" t="s">
        <v>2044</v>
      </c>
      <c r="E19" s="2039" t="s">
        <v>41</v>
      </c>
      <c r="F19" s="2041" t="str">
        <f>IF(AND(C19="是",E19="否"),"是否提供他项权证或相关说明","")</f>
        <v/>
      </c>
      <c r="G19" s="2042"/>
      <c r="H19" s="1997"/>
      <c r="I19" s="1997"/>
      <c r="J19" s="1997"/>
      <c r="K19" s="2100"/>
      <c r="L19" s="1993"/>
      <c r="M19" s="1993"/>
      <c r="N19" s="2017"/>
      <c r="O19" s="1228"/>
      <c r="P19" s="2017"/>
      <c r="Q19" s="1194"/>
      <c r="R19" s="1194"/>
      <c r="S19" s="1194"/>
      <c r="T19" s="1194"/>
      <c r="U19" s="1194"/>
      <c r="V19" s="1194"/>
    </row>
    <row r="20" spans="1:22" ht="18" customHeight="1">
      <c r="A20" s="2059" t="s">
        <v>2045</v>
      </c>
      <c r="B20" s="3513" t="s">
        <v>2046</v>
      </c>
      <c r="C20" s="3514"/>
      <c r="D20" s="3515" t="s">
        <v>2047</v>
      </c>
      <c r="E20" s="3516"/>
      <c r="F20" s="2065" t="s">
        <v>2048</v>
      </c>
      <c r="G20" s="1997"/>
      <c r="H20" s="1997"/>
      <c r="I20" s="1997"/>
      <c r="J20" s="1997"/>
      <c r="K20" s="3512" t="s">
        <v>2043</v>
      </c>
      <c r="L20" s="2607"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1993"/>
      <c r="N20" s="2017"/>
      <c r="O20" s="1228"/>
      <c r="P20" s="2017"/>
      <c r="Q20" s="1194"/>
      <c r="R20" s="1194"/>
      <c r="S20" s="1194"/>
      <c r="T20" s="1194"/>
      <c r="U20" s="1194"/>
      <c r="V20" s="1194"/>
    </row>
    <row r="21" spans="1:22" ht="24.75" customHeight="1">
      <c r="A21" s="2059"/>
      <c r="B21" s="2060" t="s">
        <v>2049</v>
      </c>
      <c r="C21" s="2029" t="s">
        <v>528</v>
      </c>
      <c r="D21" s="1986" t="s">
        <v>2052</v>
      </c>
      <c r="E21" s="2030" t="s">
        <v>528</v>
      </c>
      <c r="F21" s="1975"/>
      <c r="G21" s="1997"/>
      <c r="H21" s="1997"/>
      <c r="I21" s="1997"/>
      <c r="J21" s="1997"/>
      <c r="K21" s="3512"/>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3"/>
      <c r="N21" s="2017"/>
      <c r="O21" s="1228"/>
      <c r="P21" s="2017"/>
      <c r="Q21" s="1194"/>
      <c r="R21" s="1194"/>
      <c r="S21" s="1194"/>
      <c r="T21" s="1194"/>
      <c r="U21" s="1194"/>
      <c r="V21" s="1194"/>
    </row>
    <row r="22" spans="1:22" ht="24.75" customHeight="1" thickBot="1">
      <c r="A22" s="2059"/>
      <c r="B22" s="2061" t="s">
        <v>2051</v>
      </c>
      <c r="C22" s="2029" t="s">
        <v>2050</v>
      </c>
      <c r="D22" s="1992"/>
      <c r="E22" s="1992"/>
      <c r="F22" s="2066"/>
      <c r="G22" s="1997"/>
      <c r="H22" s="1997"/>
      <c r="I22" s="1997"/>
      <c r="J22" s="1997"/>
      <c r="K22" s="3512"/>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8"/>
      <c r="P22" s="2017"/>
      <c r="Q22" s="1194"/>
      <c r="R22" s="1194"/>
      <c r="S22" s="1194"/>
      <c r="T22" s="1194"/>
      <c r="U22" s="1194"/>
      <c r="V22" s="1194"/>
    </row>
    <row r="23" spans="1:22" ht="18" customHeight="1">
      <c r="A23" s="1974" t="s">
        <v>2053</v>
      </c>
      <c r="B23" s="2062" t="s">
        <v>2054</v>
      </c>
      <c r="C23" s="2063"/>
      <c r="D23" s="1976" t="s">
        <v>2054</v>
      </c>
      <c r="E23" s="1984"/>
      <c r="F23" s="2066"/>
      <c r="G23" s="1997"/>
      <c r="H23" s="1997"/>
      <c r="I23" s="1997"/>
      <c r="J23" s="1997"/>
      <c r="K23" s="226"/>
      <c r="L23" s="2607"/>
      <c r="M23" s="1993"/>
      <c r="N23" s="2017"/>
      <c r="O23" s="1228"/>
      <c r="P23" s="2017"/>
      <c r="Q23" s="1194"/>
      <c r="R23" s="1194"/>
      <c r="S23" s="1194"/>
      <c r="T23" s="1194"/>
      <c r="U23" s="1194"/>
      <c r="V23" s="1194"/>
    </row>
    <row r="24" spans="1:22" ht="18" customHeight="1">
      <c r="A24" s="1977"/>
      <c r="B24" s="2062" t="s">
        <v>2055</v>
      </c>
      <c r="C24" s="2064"/>
      <c r="D24" s="1974" t="s">
        <v>2055</v>
      </c>
      <c r="E24" s="1985"/>
      <c r="F24" s="2066"/>
      <c r="G24" s="1997"/>
      <c r="H24" s="1997"/>
      <c r="I24" s="1997"/>
      <c r="J24" s="1997"/>
      <c r="K24" s="226"/>
      <c r="L24" s="2607"/>
      <c r="M24" s="1993"/>
      <c r="N24" s="2017"/>
      <c r="O24" s="1228"/>
      <c r="P24" s="2017"/>
      <c r="Q24" s="1194"/>
      <c r="R24" s="1194"/>
      <c r="S24" s="1194"/>
      <c r="T24" s="1194"/>
      <c r="U24" s="1194"/>
      <c r="V24" s="1194"/>
    </row>
    <row r="25" spans="1:22" ht="18" customHeight="1">
      <c r="A25" s="1977"/>
      <c r="B25" s="2062" t="s">
        <v>2056</v>
      </c>
      <c r="C25" s="2064"/>
      <c r="D25" s="1974" t="s">
        <v>2056</v>
      </c>
      <c r="E25" s="1985"/>
      <c r="F25" s="2066"/>
      <c r="G25" s="1997"/>
      <c r="H25" s="1997"/>
      <c r="I25" s="1997"/>
      <c r="J25" s="1997"/>
      <c r="K25" s="2100"/>
      <c r="L25" s="1993"/>
      <c r="M25" s="1993"/>
      <c r="N25" s="2017"/>
      <c r="O25" s="1228"/>
      <c r="P25" s="2017"/>
      <c r="Q25" s="1194"/>
      <c r="R25" s="1194"/>
      <c r="S25" s="1194"/>
      <c r="T25" s="1194"/>
      <c r="U25" s="1194"/>
      <c r="V25" s="1194"/>
    </row>
    <row r="26" spans="1:22" ht="18" customHeight="1" thickBot="1">
      <c r="A26" s="2054"/>
      <c r="B26" s="2067" t="s">
        <v>2057</v>
      </c>
      <c r="C26" s="2068"/>
      <c r="D26" s="2056" t="s">
        <v>2057</v>
      </c>
      <c r="E26" s="2055"/>
      <c r="F26" s="2069"/>
      <c r="G26" s="1996"/>
      <c r="H26" s="1996"/>
      <c r="I26" s="1996"/>
      <c r="J26" s="1997"/>
      <c r="K26" s="2100"/>
      <c r="L26" s="1993"/>
      <c r="M26" s="1993"/>
      <c r="N26" s="2017"/>
      <c r="O26" s="1228"/>
      <c r="P26" s="2017"/>
      <c r="Q26" s="1194"/>
      <c r="R26" s="1194"/>
      <c r="S26" s="1194"/>
      <c r="T26" s="1194"/>
      <c r="U26" s="1194"/>
      <c r="V26" s="1194"/>
    </row>
    <row r="27" spans="1:22" ht="18" customHeight="1" thickTop="1">
      <c r="A27" s="3529" t="s">
        <v>2061</v>
      </c>
      <c r="B27" s="2006" t="s">
        <v>2062</v>
      </c>
      <c r="C27" s="1928" t="s">
        <v>3094</v>
      </c>
      <c r="D27" s="1929"/>
      <c r="E27" s="1997"/>
      <c r="F27" s="1997"/>
      <c r="G27" s="1997"/>
      <c r="H27" s="1997"/>
      <c r="I27" s="1997"/>
      <c r="J27" s="1194"/>
      <c r="K27" s="2102"/>
      <c r="L27" s="1228"/>
      <c r="M27" s="1228"/>
      <c r="N27" s="2017"/>
      <c r="O27" s="1228"/>
      <c r="P27" s="2017"/>
      <c r="Q27" s="1194"/>
      <c r="R27" s="1194"/>
      <c r="S27" s="1194"/>
      <c r="T27" s="1194"/>
      <c r="U27" s="1194"/>
      <c r="V27" s="1194"/>
    </row>
    <row r="28" spans="1:22" ht="18" customHeight="1">
      <c r="A28" s="3529"/>
      <c r="B28" s="1938" t="s">
        <v>2063</v>
      </c>
      <c r="C28" s="1930"/>
      <c r="D28" s="1931"/>
      <c r="E28" s="1997"/>
      <c r="F28" s="1997"/>
      <c r="G28" s="1997"/>
      <c r="H28" s="1997"/>
      <c r="I28" s="1997"/>
      <c r="J28" s="1194"/>
      <c r="K28" s="2106"/>
      <c r="L28" s="1993"/>
      <c r="M28" s="1993"/>
      <c r="N28" s="1194"/>
      <c r="O28" s="11"/>
      <c r="P28" s="1194"/>
      <c r="Q28" s="1194"/>
      <c r="R28" s="1194"/>
      <c r="S28" s="1194"/>
      <c r="T28" s="1194"/>
      <c r="U28" s="1194"/>
      <c r="V28" s="1194"/>
    </row>
    <row r="29" spans="1:22" ht="18" customHeight="1">
      <c r="A29" s="3529"/>
      <c r="B29" s="1938" t="s">
        <v>2064</v>
      </c>
      <c r="C29" s="1932"/>
      <c r="D29" s="1933"/>
      <c r="E29" s="1997"/>
      <c r="F29" s="1997"/>
      <c r="G29" s="1997"/>
      <c r="H29" s="1997"/>
      <c r="I29" s="1997"/>
      <c r="J29" s="1194"/>
      <c r="K29" s="2106"/>
      <c r="L29" s="1993"/>
      <c r="M29" s="1993"/>
      <c r="N29" s="1194"/>
      <c r="O29" s="11"/>
      <c r="P29" s="1194"/>
      <c r="Q29" s="1194"/>
      <c r="R29" s="1194"/>
      <c r="S29" s="1194"/>
      <c r="T29" s="1194"/>
      <c r="U29" s="1194"/>
      <c r="V29" s="1194"/>
    </row>
    <row r="30" spans="1:22" ht="18" customHeight="1">
      <c r="A30" s="3530"/>
      <c r="B30" s="1938" t="s">
        <v>2065</v>
      </c>
      <c r="C30" s="3531"/>
      <c r="D30" s="3532"/>
      <c r="E30" s="1997"/>
      <c r="F30" s="1997"/>
      <c r="G30" s="1997"/>
      <c r="H30" s="1997"/>
      <c r="I30" s="1997"/>
      <c r="J30" s="1194"/>
      <c r="K30" s="2106"/>
      <c r="L30" s="1993"/>
      <c r="M30" s="1993"/>
      <c r="N30" s="1194"/>
      <c r="O30" s="11"/>
      <c r="P30" s="1194"/>
      <c r="Q30" s="1194"/>
      <c r="R30" s="1194"/>
      <c r="S30" s="1194"/>
      <c r="T30" s="1194"/>
      <c r="U30" s="1194"/>
      <c r="V30" s="1194"/>
    </row>
    <row r="31" spans="1:22" ht="18" customHeight="1">
      <c r="A31" s="3533" t="s">
        <v>2066</v>
      </c>
      <c r="B31" s="1934"/>
      <c r="C31" s="1935" t="str">
        <f>IF(B31="现房","成新及维护状况正常否",IF(B31="在建","工程状态是否正常",IF(B31="土地","是否闲置","-")))</f>
        <v>-</v>
      </c>
      <c r="D31" s="2007"/>
      <c r="E31" s="1936"/>
      <c r="F31" s="1997"/>
      <c r="G31" s="1997"/>
      <c r="H31" s="1997"/>
      <c r="I31" s="1997"/>
      <c r="J31" s="1997"/>
      <c r="K31" s="2104"/>
      <c r="L31" s="1993"/>
      <c r="M31" s="1993"/>
      <c r="N31" s="1194"/>
      <c r="O31" s="11"/>
      <c r="P31" s="1194"/>
      <c r="Q31" s="1194"/>
      <c r="R31" s="1194"/>
      <c r="S31" s="1194"/>
      <c r="T31" s="1194"/>
      <c r="U31" s="1194"/>
      <c r="V31" s="1194"/>
    </row>
    <row r="32" spans="1:22" ht="18" customHeight="1">
      <c r="A32" s="3534"/>
      <c r="B32" s="1934"/>
      <c r="C32" s="1935" t="str">
        <f>IF(B32="现房","成新及维护状况是否正常",IF(B32="在建","工程状态是否正常",IF(B32="土地","是否闲置","-")))</f>
        <v>-</v>
      </c>
      <c r="D32" s="2007"/>
      <c r="E32" s="1936"/>
      <c r="F32" s="1997"/>
      <c r="G32" s="1997"/>
      <c r="H32" s="1997"/>
      <c r="I32" s="1997"/>
      <c r="J32" s="1997"/>
      <c r="K32" s="2100"/>
      <c r="L32" s="1993"/>
      <c r="M32" s="1993"/>
      <c r="N32" s="1194"/>
      <c r="O32" s="11"/>
      <c r="P32" s="1194"/>
      <c r="Q32" s="1194"/>
      <c r="R32" s="1194"/>
      <c r="S32" s="1194"/>
      <c r="T32" s="1194"/>
      <c r="U32" s="1194"/>
      <c r="V32" s="1194"/>
    </row>
    <row r="33" spans="1:22" ht="18" customHeight="1">
      <c r="A33" s="3534"/>
      <c r="B33" s="1954"/>
      <c r="C33" s="1955" t="str">
        <f>IF(B33="现房","成新及维护状况是否正常",IF(B33="在建","工程状态是否正常",IF(B33="土地","是否闲置","-")))</f>
        <v>-</v>
      </c>
      <c r="D33" s="2008"/>
      <c r="E33" s="1956"/>
      <c r="F33" s="1997"/>
      <c r="G33" s="1997"/>
      <c r="H33" s="1997"/>
      <c r="I33" s="1997"/>
      <c r="J33" s="1997"/>
      <c r="K33" s="2100"/>
      <c r="L33" s="1993"/>
      <c r="M33" s="1993"/>
      <c r="N33" s="1194"/>
      <c r="O33" s="11"/>
      <c r="P33" s="1194"/>
      <c r="Q33" s="1194"/>
      <c r="R33" s="1194"/>
      <c r="S33" s="1194"/>
      <c r="T33" s="1194"/>
      <c r="U33" s="1194"/>
      <c r="V33" s="1194"/>
    </row>
    <row r="34" spans="1:22" ht="18" customHeight="1">
      <c r="A34" s="1938" t="s">
        <v>2024</v>
      </c>
      <c r="B34" s="1957" t="s">
        <v>3095</v>
      </c>
      <c r="C34" s="1957" t="s">
        <v>3096</v>
      </c>
      <c r="D34" s="1957" t="s">
        <v>3097</v>
      </c>
      <c r="E34" s="1957" t="s">
        <v>3098</v>
      </c>
      <c r="F34" s="1957" t="s">
        <v>3099</v>
      </c>
      <c r="G34" s="1957" t="s">
        <v>3100</v>
      </c>
      <c r="H34" s="1957"/>
      <c r="I34" s="1997"/>
      <c r="J34" s="1997"/>
      <c r="K34" s="2881">
        <f>COUNTIF(B34:H34,"——")</f>
        <v>0</v>
      </c>
      <c r="L34" s="2009" t="s">
        <v>2095</v>
      </c>
      <c r="M34" s="2009" t="s">
        <v>2096</v>
      </c>
      <c r="N34" s="2009" t="s">
        <v>2097</v>
      </c>
      <c r="O34" s="2009" t="s">
        <v>2098</v>
      </c>
      <c r="P34" s="2009" t="s">
        <v>2099</v>
      </c>
      <c r="Q34" s="2009" t="s">
        <v>2100</v>
      </c>
      <c r="R34" s="2009" t="s">
        <v>2101</v>
      </c>
      <c r="S34" s="3528" t="s">
        <v>2102</v>
      </c>
      <c r="T34" s="2010" t="str">
        <f>NUMBERSTRING(7-K34,1)&amp;"通"</f>
        <v>七通</v>
      </c>
      <c r="U34" s="1194"/>
      <c r="V34" s="1194"/>
    </row>
    <row r="35" spans="1:22" ht="18" customHeight="1">
      <c r="A35" s="2011"/>
      <c r="B35" s="3535" t="s">
        <v>1868</v>
      </c>
      <c r="C35" s="3535"/>
      <c r="D35" s="3535"/>
      <c r="E35" s="3535"/>
      <c r="F35" s="2012">
        <f>C10</f>
        <v>0</v>
      </c>
      <c r="G35" s="1997"/>
      <c r="H35" s="1997"/>
      <c r="I35" s="1997"/>
      <c r="J35" s="1997"/>
      <c r="K35" s="2009"/>
      <c r="L35" s="200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528"/>
      <c r="T35" s="23" t="str">
        <f>IF(T34="一通",L35,IF(T34="二通",M35,IF(T34="三通",N35,IF(T34="四通",O35,IF(T34="五通",P35,IF(T34="六通",Q35,R35))))))</f>
        <v>通路、通电、通上水、通下水、通讯、燃气、</v>
      </c>
      <c r="U35" s="1194"/>
      <c r="V35" s="1194"/>
    </row>
    <row r="36" spans="1:22" ht="18" customHeight="1">
      <c r="A36" s="2013"/>
      <c r="B36" s="2012" t="s">
        <v>1948</v>
      </c>
      <c r="C36" s="2012" t="s">
        <v>1944</v>
      </c>
      <c r="D36" s="2012" t="s">
        <v>1943</v>
      </c>
      <c r="E36" s="2012" t="s">
        <v>1945</v>
      </c>
      <c r="F36" s="2014"/>
      <c r="G36" s="1997"/>
      <c r="H36" s="1997"/>
      <c r="I36" s="1997"/>
      <c r="J36" s="1997"/>
      <c r="K36" s="2100"/>
      <c r="L36" s="1993"/>
      <c r="M36" s="1993"/>
      <c r="N36" s="1194"/>
      <c r="O36" s="11"/>
      <c r="P36" s="1194"/>
      <c r="Q36" s="1194"/>
      <c r="R36" s="1194"/>
      <c r="S36" s="1194"/>
      <c r="T36" s="1194"/>
      <c r="U36" s="1194"/>
      <c r="V36" s="1194"/>
    </row>
    <row r="37" spans="1:22" ht="18" customHeight="1">
      <c r="A37" s="2015" t="s">
        <v>1867</v>
      </c>
      <c r="B37" s="2016" t="s">
        <v>1538</v>
      </c>
      <c r="C37" s="2016" t="s">
        <v>1538</v>
      </c>
      <c r="D37" s="2016" t="s">
        <v>1538</v>
      </c>
      <c r="E37" s="2016"/>
      <c r="F37" s="2014"/>
      <c r="G37" s="1997"/>
      <c r="H37" s="1997"/>
      <c r="I37" s="1997"/>
      <c r="J37" s="1997"/>
      <c r="K37" s="2100"/>
      <c r="L37" s="1993"/>
      <c r="M37" s="1993"/>
      <c r="N37" s="1194"/>
      <c r="O37" s="11"/>
      <c r="P37" s="1194"/>
      <c r="Q37" s="1194"/>
      <c r="R37" s="1194"/>
      <c r="S37" s="1194"/>
      <c r="T37" s="1194"/>
      <c r="U37" s="1194"/>
      <c r="V37" s="1194"/>
    </row>
    <row r="38" spans="1:22" ht="18" customHeight="1" thickBot="1">
      <c r="A38" s="2043" t="s">
        <v>1869</v>
      </c>
      <c r="B38" s="2044" t="s">
        <v>3101</v>
      </c>
      <c r="C38" s="2044" t="s">
        <v>3101</v>
      </c>
      <c r="D38" s="2044" t="s">
        <v>3101</v>
      </c>
      <c r="E38" s="2044"/>
      <c r="F38" s="2045"/>
      <c r="G38" s="1996"/>
      <c r="H38" s="1996"/>
      <c r="I38" s="1996"/>
      <c r="J38" s="1997"/>
      <c r="K38" s="2100"/>
      <c r="L38" s="1993"/>
      <c r="M38" s="1993"/>
      <c r="N38" s="1194"/>
      <c r="O38" s="11"/>
      <c r="P38" s="1194"/>
      <c r="Q38" s="1194"/>
      <c r="R38" s="1194"/>
      <c r="S38" s="1194"/>
      <c r="T38" s="1194"/>
      <c r="U38" s="1194"/>
      <c r="V38" s="1194"/>
    </row>
    <row r="39" spans="1:22" s="3302" customFormat="1" ht="18" customHeight="1" thickTop="1" thickBot="1">
      <c r="A39" s="3303" t="s">
        <v>3029</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94"/>
      <c r="B40" s="1194"/>
      <c r="C40" s="1194"/>
      <c r="D40" s="1194"/>
      <c r="E40" s="1194"/>
      <c r="F40" s="1194"/>
      <c r="G40" s="1194"/>
      <c r="H40" s="1194"/>
      <c r="I40" s="1215"/>
      <c r="J40" s="2017"/>
      <c r="K40" s="2105"/>
      <c r="L40" s="1228"/>
      <c r="M40" s="1228"/>
      <c r="N40" s="2017"/>
      <c r="O40" s="1228"/>
      <c r="P40" s="1194"/>
      <c r="Q40" s="1194"/>
      <c r="R40" s="1194"/>
      <c r="S40" s="1194"/>
      <c r="T40" s="1194"/>
      <c r="U40" s="1194"/>
      <c r="V40" s="1194"/>
    </row>
    <row r="41" spans="1:22" ht="18" customHeight="1">
      <c r="A41" s="2018" t="s">
        <v>2067</v>
      </c>
      <c r="B41" s="2019"/>
      <c r="C41" s="2020"/>
      <c r="D41" s="1194"/>
      <c r="E41" s="1194"/>
      <c r="F41" s="1194"/>
      <c r="G41" s="1194"/>
      <c r="H41" s="1194"/>
      <c r="I41" s="11"/>
      <c r="J41" s="1194"/>
      <c r="K41" s="2106"/>
      <c r="L41" s="1993"/>
      <c r="M41" s="1993"/>
      <c r="N41" s="1194"/>
      <c r="O41" s="11"/>
      <c r="P41" s="1194"/>
      <c r="Q41" s="1194"/>
      <c r="R41" s="1194"/>
      <c r="S41" s="1194"/>
      <c r="T41" s="1194"/>
      <c r="U41" s="1194"/>
      <c r="V41" s="1194"/>
    </row>
    <row r="42" spans="1:22" ht="18" customHeight="1">
      <c r="A42" s="2009" t="s">
        <v>2068</v>
      </c>
      <c r="B42" s="1983" t="s">
        <v>2069</v>
      </c>
      <c r="C42" s="1983" t="s">
        <v>2070</v>
      </c>
      <c r="D42" s="1983" t="s">
        <v>2071</v>
      </c>
      <c r="E42" s="1983" t="s">
        <v>2072</v>
      </c>
      <c r="F42" s="1983" t="s">
        <v>2073</v>
      </c>
      <c r="G42" s="1983" t="s">
        <v>2074</v>
      </c>
      <c r="H42" s="1983" t="s">
        <v>2075</v>
      </c>
      <c r="I42" s="1983" t="s">
        <v>2076</v>
      </c>
      <c r="J42" s="2096" t="s">
        <v>2077</v>
      </c>
      <c r="K42" s="2021" t="s">
        <v>2078</v>
      </c>
      <c r="L42" s="2021" t="s">
        <v>2079</v>
      </c>
      <c r="M42" s="2021" t="s">
        <v>2080</v>
      </c>
      <c r="N42" s="1983" t="s">
        <v>2081</v>
      </c>
      <c r="O42" s="1983" t="s">
        <v>2082</v>
      </c>
      <c r="P42" s="1983" t="s">
        <v>2083</v>
      </c>
      <c r="Q42" s="2009" t="s">
        <v>2084</v>
      </c>
      <c r="R42" s="2009" t="s">
        <v>2085</v>
      </c>
      <c r="S42" s="1194"/>
      <c r="T42" s="1194"/>
      <c r="U42" s="1194"/>
      <c r="V42" s="1194"/>
    </row>
    <row r="43" spans="1:22" s="2237" customFormat="1" ht="18" customHeight="1">
      <c r="A43" s="1413"/>
      <c r="B43" s="216"/>
      <c r="C43" s="216"/>
      <c r="D43" s="216"/>
      <c r="E43" s="216"/>
      <c r="F43" s="216"/>
      <c r="G43" s="216"/>
      <c r="H43" s="2"/>
      <c r="I43" s="2"/>
      <c r="J43" s="9"/>
      <c r="K43" s="4"/>
      <c r="L43" s="4"/>
      <c r="M43" s="2"/>
      <c r="N43" s="216"/>
      <c r="O43" s="2"/>
      <c r="P43" s="216"/>
      <c r="Q43" s="216"/>
      <c r="R43" s="216"/>
      <c r="S43" s="3237"/>
      <c r="T43" s="3237"/>
      <c r="U43" s="3237"/>
      <c r="V43" s="3237"/>
    </row>
    <row r="44" spans="1:22" s="2237" customFormat="1" ht="18" customHeight="1">
      <c r="A44" s="1413"/>
      <c r="B44" s="1413"/>
      <c r="C44" s="216"/>
      <c r="D44" s="216"/>
      <c r="E44" s="216"/>
      <c r="F44" s="216"/>
      <c r="G44" s="216"/>
      <c r="H44" s="2"/>
      <c r="I44" s="2"/>
      <c r="J44" s="9"/>
      <c r="K44" s="4"/>
      <c r="L44" s="4"/>
      <c r="M44" s="2"/>
      <c r="N44" s="216"/>
      <c r="O44" s="2"/>
      <c r="P44" s="216"/>
      <c r="Q44" s="216"/>
      <c r="R44" s="216"/>
      <c r="S44" s="3237"/>
      <c r="T44" s="3237"/>
      <c r="U44" s="3237"/>
      <c r="V44" s="3237"/>
    </row>
    <row r="45" spans="1:22" s="2237" customFormat="1" ht="18" customHeight="1">
      <c r="A45" s="1413"/>
      <c r="B45" s="1413"/>
      <c r="C45" s="216"/>
      <c r="D45" s="216"/>
      <c r="E45" s="216"/>
      <c r="F45" s="216"/>
      <c r="G45" s="216"/>
      <c r="H45" s="2"/>
      <c r="I45" s="2"/>
      <c r="J45" s="9"/>
      <c r="K45" s="4"/>
      <c r="L45" s="4"/>
      <c r="M45" s="2"/>
      <c r="N45" s="216"/>
      <c r="O45" s="2"/>
      <c r="P45" s="216"/>
      <c r="Q45" s="216"/>
      <c r="R45" s="216"/>
      <c r="S45" s="3237"/>
      <c r="T45" s="3237"/>
      <c r="U45" s="3237"/>
      <c r="V45" s="3237"/>
    </row>
    <row r="46" spans="1:22" s="2237" customFormat="1" ht="18" customHeight="1">
      <c r="A46" s="1413"/>
      <c r="B46" s="1413"/>
      <c r="C46" s="216"/>
      <c r="D46" s="216"/>
      <c r="E46" s="216"/>
      <c r="F46" s="216"/>
      <c r="G46" s="216"/>
      <c r="H46" s="2"/>
      <c r="I46" s="2"/>
      <c r="J46" s="9"/>
      <c r="K46" s="4"/>
      <c r="L46" s="4"/>
      <c r="M46" s="2"/>
      <c r="N46" s="216"/>
      <c r="O46" s="2"/>
      <c r="P46" s="216"/>
      <c r="Q46" s="216"/>
      <c r="R46" s="216"/>
      <c r="S46" s="3237"/>
      <c r="T46" s="3237"/>
      <c r="U46" s="3237"/>
      <c r="V46" s="3237"/>
    </row>
    <row r="47" spans="1:22" s="2237" customFormat="1" ht="18" customHeight="1">
      <c r="A47" s="1413"/>
      <c r="B47" s="1413"/>
      <c r="C47" s="216"/>
      <c r="D47" s="216"/>
      <c r="E47" s="216"/>
      <c r="F47" s="216"/>
      <c r="G47" s="216"/>
      <c r="H47" s="2"/>
      <c r="I47" s="2"/>
      <c r="J47" s="9"/>
      <c r="K47" s="4"/>
      <c r="L47" s="4"/>
      <c r="M47" s="2"/>
      <c r="N47" s="216"/>
      <c r="O47" s="2"/>
      <c r="P47" s="216"/>
      <c r="Q47" s="216"/>
      <c r="R47" s="216"/>
      <c r="S47" s="3237"/>
      <c r="T47" s="3237"/>
      <c r="U47" s="3237"/>
      <c r="V47" s="3237"/>
    </row>
    <row r="48" spans="1:22" s="2237" customFormat="1" ht="18" customHeight="1">
      <c r="A48" s="1413"/>
      <c r="B48" s="1413"/>
      <c r="C48" s="216"/>
      <c r="D48" s="216"/>
      <c r="E48" s="216"/>
      <c r="F48" s="216"/>
      <c r="G48" s="216"/>
      <c r="H48" s="2"/>
      <c r="I48" s="2"/>
      <c r="J48" s="9"/>
      <c r="K48" s="4"/>
      <c r="L48" s="4"/>
      <c r="M48" s="2"/>
      <c r="N48" s="216"/>
      <c r="O48" s="2"/>
      <c r="P48" s="216"/>
      <c r="Q48" s="216"/>
      <c r="R48" s="216"/>
      <c r="S48" s="3237"/>
      <c r="T48" s="3237"/>
      <c r="U48" s="3237"/>
      <c r="V48" s="3237"/>
    </row>
    <row r="49" spans="1:22" s="2237" customFormat="1" ht="18" customHeight="1">
      <c r="A49" s="1413"/>
      <c r="B49" s="1413"/>
      <c r="C49" s="216"/>
      <c r="D49" s="216"/>
      <c r="E49" s="216"/>
      <c r="F49" s="216"/>
      <c r="G49" s="216"/>
      <c r="H49" s="2"/>
      <c r="I49" s="2"/>
      <c r="J49" s="9"/>
      <c r="K49" s="4"/>
      <c r="L49" s="4"/>
      <c r="M49" s="2"/>
      <c r="N49" s="216"/>
      <c r="O49" s="2"/>
      <c r="P49" s="216"/>
      <c r="Q49" s="216"/>
      <c r="R49" s="216"/>
      <c r="S49" s="3237"/>
      <c r="T49" s="3237"/>
      <c r="U49" s="3237"/>
      <c r="V49" s="3237"/>
    </row>
    <row r="50" spans="1:22" s="2237" customFormat="1" ht="18" customHeight="1">
      <c r="A50" s="1413"/>
      <c r="B50" s="1413"/>
      <c r="C50" s="216"/>
      <c r="D50" s="216"/>
      <c r="E50" s="216"/>
      <c r="F50" s="216"/>
      <c r="G50" s="216"/>
      <c r="H50" s="2"/>
      <c r="I50" s="2"/>
      <c r="J50" s="9"/>
      <c r="K50" s="4"/>
      <c r="L50" s="4"/>
      <c r="M50" s="2"/>
      <c r="N50" s="216"/>
      <c r="O50" s="2"/>
      <c r="P50" s="216"/>
      <c r="Q50" s="216"/>
      <c r="R50" s="216"/>
      <c r="S50" s="3237"/>
      <c r="T50" s="3237"/>
      <c r="U50" s="3237"/>
      <c r="V50" s="3237"/>
    </row>
    <row r="51" spans="1:22" s="2237" customFormat="1" ht="18" customHeight="1">
      <c r="A51" s="1413"/>
      <c r="B51" s="1413"/>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J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8" style="1160" customWidth="1"/>
    <col min="2" max="2" width="8.625" style="1160" customWidth="1"/>
    <col min="3" max="3" width="15.875" style="1160" customWidth="1"/>
    <col min="4" max="4" width="9.125" style="1160" customWidth="1"/>
    <col min="5" max="5" width="10" style="1173" customWidth="1"/>
    <col min="6" max="6" width="8.25"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hidden="1" customWidth="1"/>
    <col min="17" max="17" width="9.375" style="1160" hidden="1" customWidth="1"/>
    <col min="18" max="18" width="9.25" style="1160" hidden="1"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612</v>
      </c>
      <c r="B2" s="82" t="s">
        <v>613</v>
      </c>
      <c r="C2" s="82" t="s">
        <v>614</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6" t="s">
        <v>2403</v>
      </c>
      <c r="AZ2" s="2517" t="s">
        <v>2404</v>
      </c>
      <c r="BA2" s="2518" t="s">
        <v>2405</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f>面积表!D4</f>
        <v>30690.62</v>
      </c>
      <c r="B3" s="302">
        <f>IF(C3="否",G5-AT5,G5)</f>
        <v>61319.08</v>
      </c>
      <c r="C3" s="219" t="s">
        <v>3051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9"/>
      <c r="AZ3" s="2520"/>
      <c r="BA3" s="2521"/>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615</v>
      </c>
      <c r="B5" s="220"/>
      <c r="C5" s="220"/>
      <c r="D5" s="218"/>
      <c r="E5" s="305" t="s">
        <v>23</v>
      </c>
      <c r="F5" s="305">
        <f>SUM(F13:F587)</f>
        <v>0</v>
      </c>
      <c r="G5" s="305">
        <f>SUM(G13:G587)</f>
        <v>61319.08</v>
      </c>
      <c r="H5" s="305">
        <f t="shared" ref="H5:AT5" si="0">SUM(H13:H656)</f>
        <v>51087.520000000011</v>
      </c>
      <c r="I5" s="305">
        <f t="shared" si="0"/>
        <v>33969.820000000007</v>
      </c>
      <c r="J5" s="305">
        <f t="shared" si="0"/>
        <v>0</v>
      </c>
      <c r="K5" s="305">
        <f t="shared" si="0"/>
        <v>8554.24</v>
      </c>
      <c r="L5" s="305">
        <f t="shared" si="0"/>
        <v>0</v>
      </c>
      <c r="M5" s="305">
        <f t="shared" si="0"/>
        <v>2611.2199999999998</v>
      </c>
      <c r="N5" s="305">
        <f t="shared" si="0"/>
        <v>0</v>
      </c>
      <c r="O5" s="305">
        <f t="shared" si="0"/>
        <v>5952.24</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4059.28</v>
      </c>
      <c r="AD5" s="305">
        <f t="shared" si="0"/>
        <v>0</v>
      </c>
      <c r="AE5" s="305">
        <f t="shared" si="0"/>
        <v>0</v>
      </c>
      <c r="AF5" s="305">
        <f t="shared" si="0"/>
        <v>1970.99</v>
      </c>
      <c r="AG5" s="305">
        <f t="shared" si="0"/>
        <v>0</v>
      </c>
      <c r="AH5" s="305">
        <f t="shared" si="0"/>
        <v>150</v>
      </c>
      <c r="AI5" s="305">
        <f t="shared" si="0"/>
        <v>0</v>
      </c>
      <c r="AJ5" s="305">
        <f t="shared" si="0"/>
        <v>0</v>
      </c>
      <c r="AK5" s="305">
        <f t="shared" si="0"/>
        <v>0</v>
      </c>
      <c r="AL5" s="305">
        <f t="shared" si="0"/>
        <v>1851.29</v>
      </c>
      <c r="AM5" s="305">
        <f t="shared" si="0"/>
        <v>150</v>
      </c>
      <c r="AN5" s="305">
        <f t="shared" si="0"/>
        <v>87</v>
      </c>
      <c r="AO5" s="305">
        <f t="shared" si="0"/>
        <v>0</v>
      </c>
      <c r="AP5" s="305">
        <f t="shared" si="0"/>
        <v>0</v>
      </c>
      <c r="AQ5" s="305">
        <f t="shared" si="0"/>
        <v>0</v>
      </c>
      <c r="AR5" s="305">
        <f t="shared" si="0"/>
        <v>0</v>
      </c>
      <c r="AS5" s="305">
        <f t="shared" si="0"/>
        <v>0</v>
      </c>
      <c r="AT5" s="305">
        <f t="shared" si="0"/>
        <v>6172.2800000000007</v>
      </c>
      <c r="AU5" s="221"/>
      <c r="AV5" s="83" t="s">
        <v>615</v>
      </c>
      <c r="AW5" s="220"/>
      <c r="AX5" s="220"/>
      <c r="AY5" s="306" t="s">
        <v>29</v>
      </c>
      <c r="AZ5" s="307">
        <f t="shared" ref="AZ5:BT5" si="1">SUM(AZ13:AZ656)</f>
        <v>54996.800000000003</v>
      </c>
      <c r="BA5" s="307">
        <f t="shared" si="1"/>
        <v>51087.520000000011</v>
      </c>
      <c r="BB5" s="307">
        <f t="shared" si="1"/>
        <v>33969.820000000007</v>
      </c>
      <c r="BC5" s="307">
        <f t="shared" si="1"/>
        <v>8554.24</v>
      </c>
      <c r="BD5" s="307">
        <f t="shared" si="1"/>
        <v>2611.2199999999998</v>
      </c>
      <c r="BE5" s="307">
        <f t="shared" si="1"/>
        <v>5952.24</v>
      </c>
      <c r="BF5" s="307">
        <f t="shared" si="1"/>
        <v>0</v>
      </c>
      <c r="BG5" s="307">
        <f t="shared" si="1"/>
        <v>0</v>
      </c>
      <c r="BH5" s="307">
        <f t="shared" si="1"/>
        <v>0</v>
      </c>
      <c r="BI5" s="307">
        <f t="shared" si="1"/>
        <v>0</v>
      </c>
      <c r="BJ5" s="307">
        <f t="shared" si="1"/>
        <v>0</v>
      </c>
      <c r="BK5" s="307">
        <f t="shared" si="1"/>
        <v>0</v>
      </c>
      <c r="BL5" s="307">
        <f t="shared" si="1"/>
        <v>3909.28</v>
      </c>
      <c r="BM5" s="307">
        <f t="shared" si="1"/>
        <v>0</v>
      </c>
      <c r="BN5" s="307">
        <f t="shared" si="1"/>
        <v>1970.99</v>
      </c>
      <c r="BO5" s="307">
        <f t="shared" si="1"/>
        <v>150</v>
      </c>
      <c r="BP5" s="307">
        <f t="shared" si="1"/>
        <v>0</v>
      </c>
      <c r="BQ5" s="307">
        <f t="shared" si="1"/>
        <v>1701.29</v>
      </c>
      <c r="BR5" s="307">
        <f t="shared" si="1"/>
        <v>87</v>
      </c>
      <c r="BS5" s="307">
        <f t="shared" si="1"/>
        <v>0</v>
      </c>
      <c r="BT5" s="308">
        <f t="shared" si="1"/>
        <v>0</v>
      </c>
    </row>
    <row r="6" spans="1:72" s="1168" customFormat="1" ht="12.75">
      <c r="A6" s="83" t="s">
        <v>616</v>
      </c>
      <c r="B6" s="223"/>
      <c r="C6" s="223"/>
      <c r="D6" s="224"/>
      <c r="E6" s="305">
        <f>H6+AC6+AT6</f>
        <v>30690.62</v>
      </c>
      <c r="F6" s="305" t="s">
        <v>23</v>
      </c>
      <c r="G6" s="305" t="s">
        <v>25</v>
      </c>
      <c r="H6" s="309">
        <f>SUMIF(I$12:AB$12,"总值",I6:AB6)</f>
        <v>25569.66</v>
      </c>
      <c r="I6" s="305">
        <f t="shared" ref="I6:AB6" si="2">ROUND($A$3*I5/$B$3,2)</f>
        <v>17002.13</v>
      </c>
      <c r="J6" s="305">
        <f t="shared" si="2"/>
        <v>0</v>
      </c>
      <c r="K6" s="305">
        <f t="shared" si="2"/>
        <v>4281.46</v>
      </c>
      <c r="L6" s="305">
        <f t="shared" si="2"/>
        <v>0</v>
      </c>
      <c r="M6" s="305">
        <f t="shared" si="2"/>
        <v>1306.93</v>
      </c>
      <c r="N6" s="305">
        <f t="shared" si="2"/>
        <v>0</v>
      </c>
      <c r="O6" s="305">
        <f t="shared" si="2"/>
        <v>2979.14</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2031.69</v>
      </c>
      <c r="AD6" s="305">
        <f t="shared" ref="AD6:AS6" si="3">ROUND($A$3*AD5/$B$3,2)</f>
        <v>0</v>
      </c>
      <c r="AE6" s="305">
        <f t="shared" si="3"/>
        <v>0</v>
      </c>
      <c r="AF6" s="305">
        <f t="shared" si="3"/>
        <v>986.49</v>
      </c>
      <c r="AG6" s="305">
        <f t="shared" si="3"/>
        <v>0</v>
      </c>
      <c r="AH6" s="305">
        <f t="shared" si="3"/>
        <v>75.08</v>
      </c>
      <c r="AI6" s="305">
        <f t="shared" si="3"/>
        <v>0</v>
      </c>
      <c r="AJ6" s="305">
        <f t="shared" si="3"/>
        <v>0</v>
      </c>
      <c r="AK6" s="305">
        <f t="shared" si="3"/>
        <v>0</v>
      </c>
      <c r="AL6" s="305">
        <f t="shared" si="3"/>
        <v>926.58</v>
      </c>
      <c r="AM6" s="305">
        <f t="shared" si="3"/>
        <v>75.08</v>
      </c>
      <c r="AN6" s="305">
        <f t="shared" si="3"/>
        <v>43.54</v>
      </c>
      <c r="AO6" s="305">
        <f t="shared" si="3"/>
        <v>0</v>
      </c>
      <c r="AP6" s="305">
        <f t="shared" si="3"/>
        <v>0</v>
      </c>
      <c r="AQ6" s="305">
        <f t="shared" si="3"/>
        <v>0</v>
      </c>
      <c r="AR6" s="305">
        <f t="shared" si="3"/>
        <v>0</v>
      </c>
      <c r="AS6" s="305">
        <f t="shared" si="3"/>
        <v>0</v>
      </c>
      <c r="AT6" s="309">
        <f>IF(C3="是",ROUND($A$3*AT5/$B$3,2),0)</f>
        <v>3089.27</v>
      </c>
      <c r="AU6" s="225"/>
      <c r="AV6" s="83" t="s">
        <v>616</v>
      </c>
      <c r="AW6" s="223"/>
      <c r="AX6" s="223"/>
      <c r="AY6" s="310">
        <f>IF(AY3&gt;0,AY3,ROUND($A$3*AZ5/$B$3,2))</f>
        <v>27526.28</v>
      </c>
      <c r="AZ6" s="305" t="s">
        <v>29</v>
      </c>
      <c r="BA6" s="305">
        <f>ROUND($AY$6*BA5/$AZ$5,2)</f>
        <v>25569.66</v>
      </c>
      <c r="BB6" s="305">
        <f>ROUND($AY$6*BB5/$AZ$5,2)</f>
        <v>17002.13</v>
      </c>
      <c r="BC6" s="305">
        <f t="shared" ref="BC6:BH6" si="4">ROUND($AY$6*BC5/$AZ$5,2)</f>
        <v>4281.46</v>
      </c>
      <c r="BD6" s="305">
        <f t="shared" si="4"/>
        <v>1306.93</v>
      </c>
      <c r="BE6" s="305">
        <f t="shared" si="4"/>
        <v>2979.14</v>
      </c>
      <c r="BF6" s="305">
        <f t="shared" si="4"/>
        <v>0</v>
      </c>
      <c r="BG6" s="305">
        <f t="shared" si="4"/>
        <v>0</v>
      </c>
      <c r="BH6" s="305">
        <f t="shared" si="4"/>
        <v>0</v>
      </c>
      <c r="BI6" s="305">
        <f t="shared" ref="BI6:BT6" si="5">ROUND($AY$6*BI5/$AZ$5,2)</f>
        <v>0</v>
      </c>
      <c r="BJ6" s="305">
        <f t="shared" si="5"/>
        <v>0</v>
      </c>
      <c r="BK6" s="305">
        <f t="shared" si="5"/>
        <v>0</v>
      </c>
      <c r="BL6" s="305">
        <f t="shared" si="5"/>
        <v>1956.62</v>
      </c>
      <c r="BM6" s="305">
        <f t="shared" si="5"/>
        <v>0</v>
      </c>
      <c r="BN6" s="305">
        <f t="shared" si="5"/>
        <v>986.49</v>
      </c>
      <c r="BO6" s="305">
        <f t="shared" si="5"/>
        <v>75.08</v>
      </c>
      <c r="BP6" s="305">
        <f t="shared" si="5"/>
        <v>0</v>
      </c>
      <c r="BQ6" s="305">
        <f t="shared" si="5"/>
        <v>851.51</v>
      </c>
      <c r="BR6" s="305">
        <f t="shared" si="5"/>
        <v>43.54</v>
      </c>
      <c r="BS6" s="305">
        <f t="shared" si="5"/>
        <v>0</v>
      </c>
      <c r="BT6" s="311">
        <f t="shared" si="5"/>
        <v>0</v>
      </c>
    </row>
    <row r="7" spans="1:72" s="1162"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529</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631</v>
      </c>
      <c r="I9" s="244" t="s">
        <v>3102</v>
      </c>
      <c r="J9" s="245"/>
      <c r="K9" s="244" t="s">
        <v>3102</v>
      </c>
      <c r="L9" s="245"/>
      <c r="M9" s="244" t="s">
        <v>3105</v>
      </c>
      <c r="N9" s="245"/>
      <c r="O9" s="244" t="s">
        <v>3105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40</v>
      </c>
      <c r="J10" s="245"/>
      <c r="K10" s="252" t="s">
        <v>40</v>
      </c>
      <c r="L10" s="245"/>
      <c r="M10" s="252" t="s">
        <v>3106</v>
      </c>
      <c r="N10" s="245"/>
      <c r="O10" s="252" t="s">
        <v>3108</v>
      </c>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3103</v>
      </c>
      <c r="J11" s="259"/>
      <c r="K11" s="258" t="s">
        <v>3104</v>
      </c>
      <c r="L11" s="259"/>
      <c r="M11" s="258" t="s">
        <v>3107</v>
      </c>
      <c r="N11" s="259"/>
      <c r="O11" s="258" t="s">
        <v>194</v>
      </c>
      <c r="P11" s="259"/>
      <c r="Q11" s="258"/>
      <c r="R11" s="259"/>
      <c r="S11" s="258"/>
      <c r="T11" s="259"/>
      <c r="U11" s="258"/>
      <c r="V11" s="259"/>
      <c r="W11" s="258"/>
      <c r="X11" s="259"/>
      <c r="Y11" s="258"/>
      <c r="Z11" s="259"/>
      <c r="AA11" s="258"/>
      <c r="AB11" s="259"/>
      <c r="AC11" s="240"/>
      <c r="AD11" s="2509" t="s">
        <v>2392</v>
      </c>
      <c r="AE11" s="2488"/>
      <c r="AF11" s="2509" t="s">
        <v>2392</v>
      </c>
      <c r="AG11" s="2488"/>
      <c r="AH11" s="2509" t="s">
        <v>2393</v>
      </c>
      <c r="AI11" s="2510"/>
      <c r="AJ11" s="2509" t="s">
        <v>2393</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仓储</v>
      </c>
      <c r="BE11" s="238" t="str">
        <f>O10</f>
        <v>车库</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洋房</v>
      </c>
      <c r="BC12" s="267" t="str">
        <f>K11</f>
        <v>联排</v>
      </c>
      <c r="BD12" s="267" t="str">
        <f>M11</f>
        <v>储藏间</v>
      </c>
      <c r="BE12" s="238" t="str">
        <f>O11</f>
        <v>地下车库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5" customHeight="1">
      <c r="A13" s="216"/>
      <c r="B13" s="216"/>
      <c r="C13" s="216" t="str">
        <f>[1]面积表!E4</f>
        <v>C3-01#住宅</v>
      </c>
      <c r="D13" s="217" t="s">
        <v>3051</v>
      </c>
      <c r="E13" s="305">
        <f>IF($C$3="是",ROUND($A$3*G13/$B$3,2),ROUND($A$3*(G13-AT13)/$B$3,2))</f>
        <v>1991.92</v>
      </c>
      <c r="F13" s="321"/>
      <c r="G13" s="322">
        <f>H13+AC13+AT13</f>
        <v>3979.8</v>
      </c>
      <c r="H13" s="309">
        <f>SUMIF(I$12:AB$12,"总值",I13:AB13)</f>
        <v>3517.5</v>
      </c>
      <c r="I13" s="1414">
        <f>面积表!H4</f>
        <v>3517.5</v>
      </c>
      <c r="J13" s="1414"/>
      <c r="K13" s="1414">
        <f>面积表!I4</f>
        <v>0</v>
      </c>
      <c r="L13" s="1414"/>
      <c r="M13" s="1414">
        <f>面积表!O4</f>
        <v>0</v>
      </c>
      <c r="N13" s="1414"/>
      <c r="O13" s="1414"/>
      <c r="P13" s="1414"/>
      <c r="Q13" s="1414"/>
      <c r="R13" s="1414"/>
      <c r="S13" s="1414"/>
      <c r="T13" s="1414"/>
      <c r="U13" s="1414"/>
      <c r="V13" s="1414"/>
      <c r="W13" s="1414"/>
      <c r="X13" s="1414"/>
      <c r="Y13" s="1414"/>
      <c r="Z13" s="1414"/>
      <c r="AA13" s="1414"/>
      <c r="AB13" s="1414"/>
      <c r="AC13" s="305">
        <f>SUMIF(AD$12:AS$12,"总值",AD13:AS13)</f>
        <v>462.29999999999995</v>
      </c>
      <c r="AD13" s="1415"/>
      <c r="AE13" s="1415"/>
      <c r="AF13" s="1415">
        <f>面积表!R4</f>
        <v>252.72</v>
      </c>
      <c r="AG13" s="1415"/>
      <c r="AH13" s="1415"/>
      <c r="AI13" s="1415"/>
      <c r="AJ13" s="1415"/>
      <c r="AK13" s="1415"/>
      <c r="AL13" s="1415">
        <f>面积表!S4+面积表!T4</f>
        <v>209.57999999999998</v>
      </c>
      <c r="AM13" s="1415"/>
      <c r="AN13" s="1415"/>
      <c r="AO13" s="1415"/>
      <c r="AP13" s="1415"/>
      <c r="AQ13" s="1415"/>
      <c r="AR13" s="1415"/>
      <c r="AS13" s="1415"/>
      <c r="AT13" s="1416"/>
      <c r="AU13" s="215"/>
      <c r="AV13" s="82">
        <f t="shared" ref="AV13:AX17" si="6">A13</f>
        <v>0</v>
      </c>
      <c r="AW13" s="82">
        <f t="shared" si="6"/>
        <v>0</v>
      </c>
      <c r="AX13" s="82" t="str">
        <f t="shared" si="6"/>
        <v>C3-01#住宅</v>
      </c>
      <c r="AY13" s="304">
        <f>ROUND($AY$6*AZ13/$AZ$5,2)</f>
        <v>1991.92</v>
      </c>
      <c r="AZ13" s="305">
        <f>BA13+BL13</f>
        <v>3979.8</v>
      </c>
      <c r="BA13" s="305">
        <f>SUM(BB13:BK13)</f>
        <v>3517.5</v>
      </c>
      <c r="BB13" s="305">
        <f>IF($D13="是",I13-J13,0)</f>
        <v>3517.5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462.29999999999995</v>
      </c>
      <c r="BM13" s="305">
        <f>IF($D13="是",AD13-AE13,0)</f>
        <v>0</v>
      </c>
      <c r="BN13" s="305">
        <f>IF($D13="是",AF13-AG13,0)</f>
        <v>252.72</v>
      </c>
      <c r="BO13" s="305">
        <f>IF($D13="是",AH13-AI13,0)</f>
        <v>0</v>
      </c>
      <c r="BP13" s="305">
        <f>IF($D13="是",AJ13-AK13,0)</f>
        <v>0</v>
      </c>
      <c r="BQ13" s="305">
        <f>IF($D13="是",AL13-AM13,0)</f>
        <v>209.57999999999998</v>
      </c>
      <c r="BR13" s="305">
        <f>IF($D13="是",AN13-AO13,0)</f>
        <v>0</v>
      </c>
      <c r="BS13" s="305">
        <f>IF($D13="是",AP13-AQ13,0)</f>
        <v>0</v>
      </c>
      <c r="BT13" s="311">
        <f>IF($D13="是",AR13-AS13,0)</f>
        <v>0</v>
      </c>
    </row>
    <row r="14" spans="1:72" s="1162" customFormat="1" ht="15" customHeight="1">
      <c r="A14" s="216"/>
      <c r="B14" s="216"/>
      <c r="C14" s="216" t="str">
        <f>[1]面积表!E5</f>
        <v>C3-02#住宅</v>
      </c>
      <c r="D14" s="217" t="s">
        <v>3051</v>
      </c>
      <c r="E14" s="305">
        <f>IF($C$3="是",ROUND($A$3*G14/$B$3,2),ROUND($A$3*(G14-AT14)/$B$3,2))</f>
        <v>1991.92</v>
      </c>
      <c r="F14" s="321"/>
      <c r="G14" s="322">
        <f>H14+AC14+AT14</f>
        <v>3979.8</v>
      </c>
      <c r="H14" s="309">
        <f>SUMIF(I$12:AB$12,"总值",I14:AB14)</f>
        <v>3517.5</v>
      </c>
      <c r="I14" s="1414">
        <f>面积表!H5</f>
        <v>3517.5</v>
      </c>
      <c r="J14" s="1414"/>
      <c r="K14" s="1414">
        <f>面积表!I5</f>
        <v>0</v>
      </c>
      <c r="L14" s="1414"/>
      <c r="M14" s="1414">
        <f>面积表!O5</f>
        <v>0</v>
      </c>
      <c r="N14" s="1414"/>
      <c r="O14" s="1414"/>
      <c r="P14" s="1414"/>
      <c r="Q14" s="1414"/>
      <c r="R14" s="1414"/>
      <c r="S14" s="1414"/>
      <c r="T14" s="1414"/>
      <c r="U14" s="1414"/>
      <c r="V14" s="1414"/>
      <c r="W14" s="1414"/>
      <c r="X14" s="1414"/>
      <c r="Y14" s="1414"/>
      <c r="Z14" s="1414"/>
      <c r="AA14" s="1414"/>
      <c r="AB14" s="1414"/>
      <c r="AC14" s="305">
        <f>SUMIF(AD$12:AS$12,"总值",AD14:AS14)</f>
        <v>462.29999999999995</v>
      </c>
      <c r="AD14" s="1415"/>
      <c r="AE14" s="1415"/>
      <c r="AF14" s="1415">
        <f>面积表!R5</f>
        <v>252.72</v>
      </c>
      <c r="AG14" s="1415"/>
      <c r="AH14" s="1415"/>
      <c r="AI14" s="1415"/>
      <c r="AJ14" s="1415"/>
      <c r="AK14" s="1415"/>
      <c r="AL14" s="1415">
        <f>面积表!S5+面积表!T5</f>
        <v>209.57999999999998</v>
      </c>
      <c r="AM14" s="1415"/>
      <c r="AN14" s="1415"/>
      <c r="AO14" s="1415"/>
      <c r="AP14" s="1415"/>
      <c r="AQ14" s="1415"/>
      <c r="AR14" s="1415"/>
      <c r="AS14" s="1415"/>
      <c r="AT14" s="1416"/>
      <c r="AU14" s="215"/>
      <c r="AV14" s="82">
        <f t="shared" si="6"/>
        <v>0</v>
      </c>
      <c r="AW14" s="82">
        <f t="shared" si="6"/>
        <v>0</v>
      </c>
      <c r="AX14" s="82" t="str">
        <f t="shared" si="6"/>
        <v>C3-02#住宅</v>
      </c>
      <c r="AY14" s="304">
        <f>ROUND($AY$6*AZ14/$AZ$5,2)</f>
        <v>1991.92</v>
      </c>
      <c r="AZ14" s="305">
        <f>BA14+BL14</f>
        <v>3979.8</v>
      </c>
      <c r="BA14" s="305">
        <f>SUM(BB14:BK14)</f>
        <v>3517.5</v>
      </c>
      <c r="BB14" s="305">
        <f>IF($D14="是",I14-J14,0)</f>
        <v>3517.5</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462.29999999999995</v>
      </c>
      <c r="BM14" s="305">
        <f>IF($D14="是",AD14-AE14,0)</f>
        <v>0</v>
      </c>
      <c r="BN14" s="305">
        <f>IF($D14="是",AF14-AG14,0)</f>
        <v>252.72</v>
      </c>
      <c r="BO14" s="305">
        <f>IF($D14="是",AH14-AI14,0)</f>
        <v>0</v>
      </c>
      <c r="BP14" s="305">
        <f>IF($D14="是",AJ14-AK14,0)</f>
        <v>0</v>
      </c>
      <c r="BQ14" s="305">
        <f>IF($D14="是",AL14-AM14,0)</f>
        <v>209.57999999999998</v>
      </c>
      <c r="BR14" s="305">
        <f>IF($D14="是",AN14-AO14,0)</f>
        <v>0</v>
      </c>
      <c r="BS14" s="305">
        <f>IF($D14="是",AP14-AQ14,0)</f>
        <v>0</v>
      </c>
      <c r="BT14" s="311">
        <f>IF($D14="是",AR14-AS14,0)</f>
        <v>0</v>
      </c>
    </row>
    <row r="15" spans="1:72" s="1162" customFormat="1" ht="15" customHeight="1">
      <c r="A15" s="216"/>
      <c r="B15" s="216"/>
      <c r="C15" s="216" t="str">
        <f>[1]面积表!E6</f>
        <v>C3-03#住宅</v>
      </c>
      <c r="D15" s="217" t="s">
        <v>3051</v>
      </c>
      <c r="E15" s="305">
        <f>IF($C$3="是",ROUND($A$3*G15/$B$3,2),ROUND($A$3*(G15-AT15)/$B$3,2))</f>
        <v>1991.92</v>
      </c>
      <c r="F15" s="321"/>
      <c r="G15" s="322">
        <f>H15+AC15+AT15</f>
        <v>3979.8</v>
      </c>
      <c r="H15" s="309">
        <f>SUMIF(I$12:AB$12,"总值",I15:AB15)</f>
        <v>3517.5</v>
      </c>
      <c r="I15" s="1414">
        <f>面积表!H6</f>
        <v>3517.5</v>
      </c>
      <c r="J15" s="1414"/>
      <c r="K15" s="1414">
        <f>面积表!I6</f>
        <v>0</v>
      </c>
      <c r="L15" s="1414"/>
      <c r="M15" s="1414">
        <f>面积表!O6</f>
        <v>0</v>
      </c>
      <c r="N15" s="1414"/>
      <c r="O15" s="1414"/>
      <c r="P15" s="1414"/>
      <c r="Q15" s="1414"/>
      <c r="R15" s="1414"/>
      <c r="S15" s="1414"/>
      <c r="T15" s="1414"/>
      <c r="U15" s="1414"/>
      <c r="V15" s="1414"/>
      <c r="W15" s="1414"/>
      <c r="X15" s="1414"/>
      <c r="Y15" s="1414"/>
      <c r="Z15" s="1414"/>
      <c r="AA15" s="1414"/>
      <c r="AB15" s="1414"/>
      <c r="AC15" s="305">
        <f>SUMIF(AD$12:AS$12,"总值",AD15:AS15)</f>
        <v>462.29999999999995</v>
      </c>
      <c r="AD15" s="1415"/>
      <c r="AE15" s="1415"/>
      <c r="AF15" s="1415">
        <f>面积表!R6</f>
        <v>252.72</v>
      </c>
      <c r="AG15" s="1415"/>
      <c r="AH15" s="1415"/>
      <c r="AI15" s="1415"/>
      <c r="AJ15" s="1415"/>
      <c r="AK15" s="1415"/>
      <c r="AL15" s="1415">
        <f>面积表!S6+面积表!T6</f>
        <v>209.57999999999998</v>
      </c>
      <c r="AM15" s="1415"/>
      <c r="AN15" s="1415"/>
      <c r="AO15" s="1415"/>
      <c r="AP15" s="1415"/>
      <c r="AQ15" s="1415"/>
      <c r="AR15" s="1415"/>
      <c r="AS15" s="1415"/>
      <c r="AT15" s="1416"/>
      <c r="AU15" s="215"/>
      <c r="AV15" s="82">
        <f t="shared" si="6"/>
        <v>0</v>
      </c>
      <c r="AW15" s="82">
        <f t="shared" si="6"/>
        <v>0</v>
      </c>
      <c r="AX15" s="82" t="str">
        <f t="shared" si="6"/>
        <v>C3-03#住宅</v>
      </c>
      <c r="AY15" s="304">
        <f>ROUND($AY$6*AZ15/$AZ$5,2)</f>
        <v>1991.92</v>
      </c>
      <c r="AZ15" s="305">
        <f>BA15+BL15</f>
        <v>3979.8</v>
      </c>
      <c r="BA15" s="305">
        <f>SUM(BB15:BK15)</f>
        <v>3517.5</v>
      </c>
      <c r="BB15" s="305">
        <f>IF($D15="是",I15-J15,0)</f>
        <v>3517.5</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462.29999999999995</v>
      </c>
      <c r="BM15" s="305">
        <f>IF($D15="是",AD15-AE15,0)</f>
        <v>0</v>
      </c>
      <c r="BN15" s="305">
        <f>IF($D15="是",AF15-AG15,0)</f>
        <v>252.72</v>
      </c>
      <c r="BO15" s="305">
        <f>IF($D15="是",AH15-AI15,0)</f>
        <v>0</v>
      </c>
      <c r="BP15" s="305">
        <f>IF($D15="是",AJ15-AK15,0)</f>
        <v>0</v>
      </c>
      <c r="BQ15" s="305">
        <f>IF($D15="是",AL15-AM15,0)</f>
        <v>209.57999999999998</v>
      </c>
      <c r="BR15" s="305">
        <f>IF($D15="是",AN15-AO15,0)</f>
        <v>0</v>
      </c>
      <c r="BS15" s="305">
        <f>IF($D15="是",AP15-AQ15,0)</f>
        <v>0</v>
      </c>
      <c r="BT15" s="311">
        <f>IF($D15="是",AR15-AS15,0)</f>
        <v>0</v>
      </c>
    </row>
    <row r="16" spans="1:72" s="1162" customFormat="1" ht="15" customHeight="1">
      <c r="A16" s="216"/>
      <c r="B16" s="216"/>
      <c r="C16" s="216" t="str">
        <f>[1]面积表!E7</f>
        <v>C3-04#住宅</v>
      </c>
      <c r="D16" s="217" t="s">
        <v>3051</v>
      </c>
      <c r="E16" s="305">
        <f>IF($C$3="是",ROUND($A$3*G16/$B$3,2),ROUND($A$3*(G16-AT16)/$B$3,2))</f>
        <v>3614.74</v>
      </c>
      <c r="F16" s="321"/>
      <c r="G16" s="322">
        <f>H16+AC16+AT16</f>
        <v>7222.16</v>
      </c>
      <c r="H16" s="309">
        <f>SUMIF(I$12:AB$12,"总值",I16:AB16)</f>
        <v>6354.08</v>
      </c>
      <c r="I16" s="1414">
        <f>面积表!H7</f>
        <v>6354.08</v>
      </c>
      <c r="J16" s="1414"/>
      <c r="K16" s="1414">
        <f>面积表!I7</f>
        <v>0</v>
      </c>
      <c r="L16" s="1414"/>
      <c r="M16" s="1414">
        <f>面积表!O7</f>
        <v>0</v>
      </c>
      <c r="N16" s="1414"/>
      <c r="O16" s="1414"/>
      <c r="P16" s="1414"/>
      <c r="Q16" s="1414"/>
      <c r="R16" s="1414"/>
      <c r="S16" s="1414"/>
      <c r="T16" s="1414"/>
      <c r="U16" s="1414"/>
      <c r="V16" s="1414"/>
      <c r="W16" s="1414"/>
      <c r="X16" s="1414"/>
      <c r="Y16" s="1414"/>
      <c r="Z16" s="1414"/>
      <c r="AA16" s="1414"/>
      <c r="AB16" s="1414"/>
      <c r="AC16" s="305">
        <f>SUMIF(AD$12:AS$12,"总值",AD16:AS16)</f>
        <v>868.08</v>
      </c>
      <c r="AD16" s="1415"/>
      <c r="AE16" s="1415"/>
      <c r="AF16" s="1415">
        <f>面积表!R7</f>
        <v>471.41</v>
      </c>
      <c r="AG16" s="1415"/>
      <c r="AH16" s="1415"/>
      <c r="AI16" s="1415"/>
      <c r="AJ16" s="1415"/>
      <c r="AK16" s="1415"/>
      <c r="AL16" s="1415">
        <f>面积表!S7+面积表!T7</f>
        <v>396.67</v>
      </c>
      <c r="AM16" s="1415"/>
      <c r="AN16" s="1415"/>
      <c r="AO16" s="1415"/>
      <c r="AP16" s="1415"/>
      <c r="AQ16" s="1415"/>
      <c r="AR16" s="1415"/>
      <c r="AS16" s="1415"/>
      <c r="AT16" s="1416"/>
      <c r="AU16" s="215"/>
      <c r="AV16" s="82">
        <f t="shared" si="6"/>
        <v>0</v>
      </c>
      <c r="AW16" s="82">
        <f t="shared" si="6"/>
        <v>0</v>
      </c>
      <c r="AX16" s="82" t="str">
        <f t="shared" si="6"/>
        <v>C3-04#住宅</v>
      </c>
      <c r="AY16" s="304">
        <f>ROUND($AY$6*AZ16/$AZ$5,2)</f>
        <v>3614.74</v>
      </c>
      <c r="AZ16" s="305">
        <f>BA16+BL16</f>
        <v>7222.16</v>
      </c>
      <c r="BA16" s="305">
        <f>SUM(BB16:BK16)</f>
        <v>6354.08</v>
      </c>
      <c r="BB16" s="305">
        <f>IF($D16="是",I16-J16,0)</f>
        <v>6354.08</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868.08</v>
      </c>
      <c r="BM16" s="305">
        <f>IF($D16="是",AD16-AE16,0)</f>
        <v>0</v>
      </c>
      <c r="BN16" s="305">
        <f>IF($D16="是",AF16-AG16,0)</f>
        <v>471.41</v>
      </c>
      <c r="BO16" s="305">
        <f>IF($D16="是",AH16-AI16,0)</f>
        <v>0</v>
      </c>
      <c r="BP16" s="305">
        <f>IF($D16="是",AJ16-AK16,0)</f>
        <v>0</v>
      </c>
      <c r="BQ16" s="305">
        <f>IF($D16="是",AL16-AM16,0)</f>
        <v>396.67</v>
      </c>
      <c r="BR16" s="305">
        <f>IF($D16="是",AN16-AO16,0)</f>
        <v>0</v>
      </c>
      <c r="BS16" s="305">
        <f>IF($D16="是",AP16-AQ16,0)</f>
        <v>0</v>
      </c>
      <c r="BT16" s="311">
        <f>IF($D16="是",AR16-AS16,0)</f>
        <v>0</v>
      </c>
    </row>
    <row r="17" spans="1:72" s="1162" customFormat="1" ht="15" customHeight="1">
      <c r="A17" s="216"/>
      <c r="B17" s="216"/>
      <c r="C17" s="216" t="str">
        <f>[1]面积表!E8</f>
        <v>C3-05#住宅</v>
      </c>
      <c r="D17" s="217" t="s">
        <v>3051</v>
      </c>
      <c r="E17" s="305">
        <f>IF($C$3="是",ROUND($A$3*G17/$B$3,2),ROUND($A$3*(G17-AT17)/$B$3,2))</f>
        <v>3616.39</v>
      </c>
      <c r="F17" s="321"/>
      <c r="G17" s="305">
        <f>H17+AC17+AT17</f>
        <v>7225.45</v>
      </c>
      <c r="H17" s="305">
        <f>SUMIF(I$12:AB$12,"总值",I17:AB17)</f>
        <v>6354.08</v>
      </c>
      <c r="I17" s="1414">
        <f>面积表!H8</f>
        <v>6354.08</v>
      </c>
      <c r="J17" s="1414"/>
      <c r="K17" s="1414">
        <f>面积表!I8</f>
        <v>0</v>
      </c>
      <c r="L17" s="1414"/>
      <c r="M17" s="1414">
        <f>面积表!O8</f>
        <v>0</v>
      </c>
      <c r="N17" s="1414"/>
      <c r="O17" s="1414"/>
      <c r="P17" s="1414"/>
      <c r="Q17" s="1414"/>
      <c r="R17" s="1414"/>
      <c r="S17" s="1414"/>
      <c r="T17" s="1414"/>
      <c r="U17" s="1414"/>
      <c r="V17" s="1414"/>
      <c r="W17" s="1414"/>
      <c r="X17" s="1414"/>
      <c r="Y17" s="1414"/>
      <c r="Z17" s="1414"/>
      <c r="AA17" s="1414"/>
      <c r="AB17" s="1414"/>
      <c r="AC17" s="305">
        <f>SUMIF(AD$12:AS$12,"总值",AD17:AS17)</f>
        <v>871.37</v>
      </c>
      <c r="AD17" s="1415"/>
      <c r="AE17" s="1415"/>
      <c r="AF17" s="1415">
        <f>面积表!R8</f>
        <v>474.7</v>
      </c>
      <c r="AG17" s="1415"/>
      <c r="AH17" s="1415"/>
      <c r="AI17" s="1415"/>
      <c r="AJ17" s="1415"/>
      <c r="AK17" s="1415"/>
      <c r="AL17" s="1415">
        <f>面积表!S8+面积表!T8</f>
        <v>396.67</v>
      </c>
      <c r="AM17" s="1415"/>
      <c r="AN17" s="1415"/>
      <c r="AO17" s="1415"/>
      <c r="AP17" s="1415"/>
      <c r="AQ17" s="1415"/>
      <c r="AR17" s="1415"/>
      <c r="AS17" s="1415"/>
      <c r="AT17" s="1416"/>
      <c r="AU17" s="215"/>
      <c r="AV17" s="82">
        <f t="shared" si="6"/>
        <v>0</v>
      </c>
      <c r="AW17" s="82">
        <f t="shared" si="6"/>
        <v>0</v>
      </c>
      <c r="AX17" s="82" t="str">
        <f t="shared" si="6"/>
        <v>C3-05#住宅</v>
      </c>
      <c r="AY17" s="304">
        <f>ROUND($AY$6*AZ17/$AZ$5,2)</f>
        <v>3616.39</v>
      </c>
      <c r="AZ17" s="305">
        <f>BA17+BL17</f>
        <v>7225.45</v>
      </c>
      <c r="BA17" s="305">
        <f>SUM(BB17:BK17)</f>
        <v>6354.08</v>
      </c>
      <c r="BB17" s="305">
        <f>IF($D17="是",I17-J17,0)</f>
        <v>6354.08</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871.37</v>
      </c>
      <c r="BM17" s="305">
        <f>IF($D17="是",AD17-AE17,0)</f>
        <v>0</v>
      </c>
      <c r="BN17" s="305">
        <f>IF($D17="是",AF17-AG17,0)</f>
        <v>474.7</v>
      </c>
      <c r="BO17" s="305">
        <f>IF($D17="是",AH17-AI17,0)</f>
        <v>0</v>
      </c>
      <c r="BP17" s="305">
        <f>IF($D17="是",AJ17-AK17,0)</f>
        <v>0</v>
      </c>
      <c r="BQ17" s="305">
        <f>IF($D17="是",AL17-AM17,0)</f>
        <v>396.67</v>
      </c>
      <c r="BR17" s="305">
        <f>IF($D17="是",AN17-AO17,0)</f>
        <v>0</v>
      </c>
      <c r="BS17" s="305">
        <f>IF($D17="是",AP17-AQ17,0)</f>
        <v>0</v>
      </c>
      <c r="BT17" s="311">
        <f>IF($D17="是",AR17-AS17,0)</f>
        <v>0</v>
      </c>
    </row>
    <row r="18" spans="1:72" ht="15" customHeight="1">
      <c r="A18" s="297"/>
      <c r="B18" s="323"/>
      <c r="C18" s="216" t="str">
        <f>[1]面积表!E9</f>
        <v>C3-06#住宅</v>
      </c>
      <c r="D18" s="217" t="s">
        <v>3051</v>
      </c>
      <c r="E18" s="305">
        <f t="shared" ref="E18:E112" si="7">IF($C$3="是",ROUND($A$3*G18/$B$3,2),ROUND($A$3*(G18-AT18)/$B$3,2))</f>
        <v>1994.92</v>
      </c>
      <c r="F18" s="325"/>
      <c r="G18" s="305">
        <f t="shared" ref="G18:G109" si="8">H18+AC18+AT18</f>
        <v>3985.8</v>
      </c>
      <c r="H18" s="305">
        <f t="shared" ref="H18:H109" si="9">SUMIF(I$12:AB$12,"总值",I18:AB18)</f>
        <v>3517.5</v>
      </c>
      <c r="I18" s="1414">
        <f>面积表!H9</f>
        <v>3517.5</v>
      </c>
      <c r="J18" s="328"/>
      <c r="K18" s="1414">
        <f>面积表!I9</f>
        <v>0</v>
      </c>
      <c r="L18" s="328"/>
      <c r="M18" s="1414">
        <f>面积表!O9</f>
        <v>0</v>
      </c>
      <c r="N18" s="328"/>
      <c r="O18" s="328"/>
      <c r="P18" s="328"/>
      <c r="Q18" s="328"/>
      <c r="R18" s="328"/>
      <c r="S18" s="328"/>
      <c r="T18" s="328"/>
      <c r="U18" s="328"/>
      <c r="V18" s="328"/>
      <c r="W18" s="328"/>
      <c r="X18" s="328"/>
      <c r="Y18" s="328"/>
      <c r="Z18" s="328"/>
      <c r="AA18" s="328"/>
      <c r="AB18" s="328"/>
      <c r="AC18" s="324">
        <f t="shared" ref="AC18:AC109" si="10">SUMIF(AD$12:AS$12,"总值",AD18:AS18)</f>
        <v>468.3</v>
      </c>
      <c r="AD18" s="329"/>
      <c r="AE18" s="329"/>
      <c r="AF18" s="1415">
        <f>面积表!R9</f>
        <v>266.72000000000003</v>
      </c>
      <c r="AG18" s="329"/>
      <c r="AH18" s="329"/>
      <c r="AI18" s="329"/>
      <c r="AJ18" s="329"/>
      <c r="AK18" s="329"/>
      <c r="AL18" s="1415">
        <f>面积表!S9+面积表!T9</f>
        <v>201.57999999999998</v>
      </c>
      <c r="AM18" s="329"/>
      <c r="AN18" s="329"/>
      <c r="AO18" s="329"/>
      <c r="AP18" s="329"/>
      <c r="AQ18" s="329"/>
      <c r="AR18" s="329"/>
      <c r="AS18" s="329"/>
      <c r="AT18" s="330"/>
      <c r="AU18" s="8"/>
      <c r="AV18" s="2208">
        <f t="shared" ref="AV18:AV112" si="11">A18</f>
        <v>0</v>
      </c>
      <c r="AW18" s="2208">
        <f t="shared" ref="AW18:AW112" si="12">B18</f>
        <v>0</v>
      </c>
      <c r="AX18" s="2208" t="str">
        <f t="shared" ref="AX18:AX112" si="13">C18</f>
        <v>C3-06#住宅</v>
      </c>
      <c r="AY18" s="331">
        <f t="shared" ref="AY18:AY109" si="14">ROUND($AY$6*AZ18/$AZ$5,2)</f>
        <v>1994.92</v>
      </c>
      <c r="AZ18" s="324">
        <f t="shared" ref="AZ18:AZ109" si="15">BA18+BL18</f>
        <v>3985.8</v>
      </c>
      <c r="BA18" s="324">
        <f t="shared" ref="BA18:BA109" si="16">SUM(BB18:BK18)</f>
        <v>3517.5</v>
      </c>
      <c r="BB18" s="324">
        <f t="shared" ref="BB18:BB109" si="17">IF($D18="是",I18-J18,0)</f>
        <v>3517.5</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468.3</v>
      </c>
      <c r="BM18" s="324">
        <f t="shared" ref="BM18:BM109" si="28">IF($D18="是",AD18-AE18,0)</f>
        <v>0</v>
      </c>
      <c r="BN18" s="324">
        <f t="shared" ref="BN18:BN109" si="29">IF($D18="是",AF18-AG18,0)</f>
        <v>266.72000000000003</v>
      </c>
      <c r="BO18" s="324">
        <f t="shared" ref="BO18:BO109" si="30">IF($D18="是",AH18-AI18,0)</f>
        <v>0</v>
      </c>
      <c r="BP18" s="324">
        <f t="shared" ref="BP18:BP109" si="31">IF($D18="是",AJ18-AK18,0)</f>
        <v>0</v>
      </c>
      <c r="BQ18" s="324">
        <f t="shared" ref="BQ18:BQ109" si="32">IF($D18="是",AL18-AM18,0)</f>
        <v>201.57999999999998</v>
      </c>
      <c r="BR18" s="324">
        <f t="shared" ref="BR18:BR109" si="33">IF($D18="是",AN18-AO18,0)</f>
        <v>0</v>
      </c>
      <c r="BS18" s="324">
        <f t="shared" ref="BS18:BS109" si="34">IF($D18="是",AP18-AQ18,0)</f>
        <v>0</v>
      </c>
      <c r="BT18" s="332">
        <f t="shared" ref="BT18:BT109" si="35">IF($D18="是",AR18-AS18,0)</f>
        <v>0</v>
      </c>
    </row>
    <row r="19" spans="1:72" ht="15" customHeight="1">
      <c r="A19" s="297"/>
      <c r="B19" s="323"/>
      <c r="C19" s="216" t="str">
        <f>[1]面积表!E10</f>
        <v>C3-07#住宅</v>
      </c>
      <c r="D19" s="217" t="s">
        <v>3051</v>
      </c>
      <c r="E19" s="305">
        <f t="shared" si="7"/>
        <v>1386.93</v>
      </c>
      <c r="F19" s="325"/>
      <c r="G19" s="305">
        <f t="shared" si="8"/>
        <v>2771.06</v>
      </c>
      <c r="H19" s="305">
        <f t="shared" si="9"/>
        <v>2771.06</v>
      </c>
      <c r="I19" s="1414">
        <f>面积表!H10</f>
        <v>2397.2199999999998</v>
      </c>
      <c r="J19" s="328"/>
      <c r="K19" s="1414">
        <f>面积表!I10</f>
        <v>0</v>
      </c>
      <c r="L19" s="328"/>
      <c r="M19" s="1414">
        <f>面积表!O10</f>
        <v>373.84</v>
      </c>
      <c r="N19" s="328"/>
      <c r="O19" s="328"/>
      <c r="P19" s="328"/>
      <c r="Q19" s="328"/>
      <c r="R19" s="328"/>
      <c r="S19" s="328"/>
      <c r="T19" s="328"/>
      <c r="U19" s="328"/>
      <c r="V19" s="328"/>
      <c r="W19" s="328"/>
      <c r="X19" s="328"/>
      <c r="Y19" s="328"/>
      <c r="Z19" s="328"/>
      <c r="AA19" s="328"/>
      <c r="AB19" s="328"/>
      <c r="AC19" s="324">
        <f t="shared" si="10"/>
        <v>0</v>
      </c>
      <c r="AD19" s="1414"/>
      <c r="AE19" s="1414"/>
      <c r="AF19" s="1415">
        <f>面积表!R10</f>
        <v>0</v>
      </c>
      <c r="AG19" s="1414"/>
      <c r="AH19" s="1414"/>
      <c r="AI19" s="1414"/>
      <c r="AJ19" s="1414"/>
      <c r="AK19" s="1414"/>
      <c r="AL19" s="1415">
        <f>面积表!S10+面积表!T10</f>
        <v>0</v>
      </c>
      <c r="AM19" s="1414"/>
      <c r="AN19" s="1415"/>
      <c r="AO19" s="1414"/>
      <c r="AP19" s="329"/>
      <c r="AQ19" s="329"/>
      <c r="AR19" s="329"/>
      <c r="AS19" s="329"/>
      <c r="AT19" s="330"/>
      <c r="AU19" s="8"/>
      <c r="AV19" s="2208">
        <f t="shared" si="11"/>
        <v>0</v>
      </c>
      <c r="AW19" s="2208">
        <f t="shared" si="12"/>
        <v>0</v>
      </c>
      <c r="AX19" s="2208" t="str">
        <f t="shared" si="13"/>
        <v>C3-07#住宅</v>
      </c>
      <c r="AY19" s="331">
        <f t="shared" si="14"/>
        <v>1386.93</v>
      </c>
      <c r="AZ19" s="324">
        <f t="shared" si="15"/>
        <v>2771.06</v>
      </c>
      <c r="BA19" s="324">
        <f t="shared" si="16"/>
        <v>2771.06</v>
      </c>
      <c r="BB19" s="324">
        <f t="shared" si="17"/>
        <v>2397.2199999999998</v>
      </c>
      <c r="BC19" s="324">
        <f t="shared" si="18"/>
        <v>0</v>
      </c>
      <c r="BD19" s="324">
        <f t="shared" si="19"/>
        <v>373.84</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5" customHeight="1">
      <c r="A20" s="297"/>
      <c r="B20" s="323"/>
      <c r="C20" s="216" t="str">
        <f>[1]面积表!E11</f>
        <v>C3-08#住宅</v>
      </c>
      <c r="D20" s="217" t="s">
        <v>3051</v>
      </c>
      <c r="E20" s="305">
        <f t="shared" si="7"/>
        <v>1386.93</v>
      </c>
      <c r="F20" s="325"/>
      <c r="G20" s="305">
        <f t="shared" si="8"/>
        <v>2771.06</v>
      </c>
      <c r="H20" s="305">
        <f t="shared" si="9"/>
        <v>2771.06</v>
      </c>
      <c r="I20" s="1414">
        <f>面积表!H11</f>
        <v>2397.2199999999998</v>
      </c>
      <c r="J20" s="328"/>
      <c r="K20" s="1414">
        <f>面积表!I11</f>
        <v>0</v>
      </c>
      <c r="L20" s="328"/>
      <c r="M20" s="1414">
        <f>面积表!O11</f>
        <v>373.84</v>
      </c>
      <c r="N20" s="328"/>
      <c r="O20" s="328"/>
      <c r="P20" s="328"/>
      <c r="Q20" s="328"/>
      <c r="R20" s="328"/>
      <c r="S20" s="328"/>
      <c r="T20" s="328"/>
      <c r="U20" s="328"/>
      <c r="V20" s="328"/>
      <c r="W20" s="328"/>
      <c r="X20" s="328"/>
      <c r="Y20" s="328"/>
      <c r="Z20" s="328"/>
      <c r="AA20" s="328"/>
      <c r="AB20" s="328"/>
      <c r="AC20" s="324">
        <f t="shared" si="10"/>
        <v>0</v>
      </c>
      <c r="AD20" s="1414"/>
      <c r="AE20" s="1414"/>
      <c r="AF20" s="1415">
        <f>面积表!R11</f>
        <v>0</v>
      </c>
      <c r="AG20" s="1414"/>
      <c r="AH20" s="1414"/>
      <c r="AI20" s="1414"/>
      <c r="AJ20" s="1414"/>
      <c r="AK20" s="1414"/>
      <c r="AL20" s="1415">
        <f>面积表!S11+面积表!T11</f>
        <v>0</v>
      </c>
      <c r="AM20" s="1414"/>
      <c r="AN20" s="1415"/>
      <c r="AO20" s="1414"/>
      <c r="AP20" s="329"/>
      <c r="AQ20" s="329"/>
      <c r="AR20" s="329"/>
      <c r="AS20" s="329"/>
      <c r="AT20" s="330"/>
      <c r="AU20" s="8"/>
      <c r="AV20" s="2208">
        <f t="shared" si="11"/>
        <v>0</v>
      </c>
      <c r="AW20" s="2208">
        <f t="shared" si="12"/>
        <v>0</v>
      </c>
      <c r="AX20" s="2208" t="str">
        <f t="shared" si="13"/>
        <v>C3-08#住宅</v>
      </c>
      <c r="AY20" s="331">
        <f t="shared" si="14"/>
        <v>1386.93</v>
      </c>
      <c r="AZ20" s="324">
        <f t="shared" si="15"/>
        <v>2771.06</v>
      </c>
      <c r="BA20" s="324">
        <f t="shared" si="16"/>
        <v>2771.06</v>
      </c>
      <c r="BB20" s="324">
        <f t="shared" si="17"/>
        <v>2397.2199999999998</v>
      </c>
      <c r="BC20" s="324">
        <f t="shared" si="18"/>
        <v>0</v>
      </c>
      <c r="BD20" s="324">
        <f t="shared" si="19"/>
        <v>373.84</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5" customHeight="1">
      <c r="A21" s="297"/>
      <c r="B21" s="323"/>
      <c r="C21" s="216" t="str">
        <f>[1]面积表!E12</f>
        <v>C3-09#住宅</v>
      </c>
      <c r="D21" s="217" t="s">
        <v>3051</v>
      </c>
      <c r="E21" s="305">
        <f t="shared" si="7"/>
        <v>1386.93</v>
      </c>
      <c r="F21" s="325"/>
      <c r="G21" s="305">
        <f t="shared" si="8"/>
        <v>2771.06</v>
      </c>
      <c r="H21" s="305">
        <f t="shared" si="9"/>
        <v>2771.06</v>
      </c>
      <c r="I21" s="1414">
        <f>面积表!H12</f>
        <v>2397.2199999999998</v>
      </c>
      <c r="J21" s="328"/>
      <c r="K21" s="1414">
        <f>面积表!I12</f>
        <v>0</v>
      </c>
      <c r="L21" s="328"/>
      <c r="M21" s="1414">
        <f>面积表!O12</f>
        <v>373.84</v>
      </c>
      <c r="N21" s="328"/>
      <c r="O21" s="328"/>
      <c r="P21" s="328"/>
      <c r="Q21" s="328"/>
      <c r="R21" s="328"/>
      <c r="S21" s="328"/>
      <c r="T21" s="328"/>
      <c r="U21" s="328"/>
      <c r="V21" s="328"/>
      <c r="W21" s="328"/>
      <c r="X21" s="328"/>
      <c r="Y21" s="328"/>
      <c r="Z21" s="328"/>
      <c r="AA21" s="328"/>
      <c r="AB21" s="328"/>
      <c r="AC21" s="324">
        <f t="shared" si="10"/>
        <v>0</v>
      </c>
      <c r="AD21" s="1414"/>
      <c r="AE21" s="1414"/>
      <c r="AF21" s="1415">
        <f>面积表!R12</f>
        <v>0</v>
      </c>
      <c r="AG21" s="1414"/>
      <c r="AH21" s="1414"/>
      <c r="AI21" s="1414"/>
      <c r="AJ21" s="1414"/>
      <c r="AK21" s="1414"/>
      <c r="AL21" s="1415">
        <f>面积表!S12+面积表!T12</f>
        <v>0</v>
      </c>
      <c r="AM21" s="1414"/>
      <c r="AN21" s="1415"/>
      <c r="AO21" s="1414"/>
      <c r="AP21" s="329"/>
      <c r="AQ21" s="329"/>
      <c r="AR21" s="329"/>
      <c r="AS21" s="329"/>
      <c r="AT21" s="330"/>
      <c r="AU21" s="8"/>
      <c r="AV21" s="2208">
        <f t="shared" si="11"/>
        <v>0</v>
      </c>
      <c r="AW21" s="2208">
        <f t="shared" si="12"/>
        <v>0</v>
      </c>
      <c r="AX21" s="2208" t="str">
        <f t="shared" si="13"/>
        <v>C3-09#住宅</v>
      </c>
      <c r="AY21" s="331">
        <f t="shared" si="14"/>
        <v>1386.93</v>
      </c>
      <c r="AZ21" s="324">
        <f t="shared" si="15"/>
        <v>2771.06</v>
      </c>
      <c r="BA21" s="324">
        <f t="shared" si="16"/>
        <v>2771.06</v>
      </c>
      <c r="BB21" s="324">
        <f t="shared" si="17"/>
        <v>2397.2199999999998</v>
      </c>
      <c r="BC21" s="324">
        <f t="shared" si="18"/>
        <v>0</v>
      </c>
      <c r="BD21" s="324">
        <f t="shared" si="19"/>
        <v>373.84</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5" customHeight="1">
      <c r="A22" s="297"/>
      <c r="B22" s="323"/>
      <c r="C22" s="216" t="str">
        <f>[1]面积表!E13</f>
        <v>C3-10#住宅</v>
      </c>
      <c r="D22" s="217" t="s">
        <v>3051</v>
      </c>
      <c r="E22" s="305">
        <f t="shared" si="7"/>
        <v>1224.26</v>
      </c>
      <c r="F22" s="325"/>
      <c r="G22" s="305">
        <f t="shared" si="8"/>
        <v>2446.04</v>
      </c>
      <c r="H22" s="305">
        <f t="shared" si="9"/>
        <v>2446.04</v>
      </c>
      <c r="I22" s="1414">
        <f>面积表!H13</f>
        <v>0</v>
      </c>
      <c r="J22" s="328"/>
      <c r="K22" s="1414">
        <f>面积表!I13</f>
        <v>2138.56</v>
      </c>
      <c r="L22" s="328"/>
      <c r="M22" s="1414">
        <f>面积表!O13</f>
        <v>307.48</v>
      </c>
      <c r="N22" s="328"/>
      <c r="O22" s="328"/>
      <c r="P22" s="328"/>
      <c r="Q22" s="328"/>
      <c r="R22" s="328"/>
      <c r="S22" s="328"/>
      <c r="T22" s="328"/>
      <c r="U22" s="328"/>
      <c r="V22" s="328"/>
      <c r="W22" s="328"/>
      <c r="X22" s="328"/>
      <c r="Y22" s="328"/>
      <c r="Z22" s="328"/>
      <c r="AA22" s="328"/>
      <c r="AB22" s="328"/>
      <c r="AC22" s="324">
        <f t="shared" si="10"/>
        <v>0</v>
      </c>
      <c r="AD22" s="1414"/>
      <c r="AE22" s="1414"/>
      <c r="AF22" s="1415">
        <f>面积表!R13</f>
        <v>0</v>
      </c>
      <c r="AG22" s="1414"/>
      <c r="AH22" s="1414"/>
      <c r="AI22" s="1414"/>
      <c r="AJ22" s="1414"/>
      <c r="AK22" s="1414"/>
      <c r="AL22" s="1415">
        <f>面积表!S13+面积表!T13</f>
        <v>0</v>
      </c>
      <c r="AM22" s="1414"/>
      <c r="AN22" s="1414"/>
      <c r="AO22" s="1414"/>
      <c r="AP22" s="329"/>
      <c r="AQ22" s="329"/>
      <c r="AR22" s="329"/>
      <c r="AS22" s="329"/>
      <c r="AT22" s="330"/>
      <c r="AU22" s="8"/>
      <c r="AV22" s="2208">
        <f t="shared" si="11"/>
        <v>0</v>
      </c>
      <c r="AW22" s="2208">
        <f t="shared" si="12"/>
        <v>0</v>
      </c>
      <c r="AX22" s="2208" t="str">
        <f t="shared" si="13"/>
        <v>C3-10#住宅</v>
      </c>
      <c r="AY22" s="331">
        <f t="shared" si="14"/>
        <v>1224.26</v>
      </c>
      <c r="AZ22" s="324">
        <f t="shared" si="15"/>
        <v>2446.04</v>
      </c>
      <c r="BA22" s="324">
        <f t="shared" si="16"/>
        <v>2446.04</v>
      </c>
      <c r="BB22" s="324">
        <f t="shared" si="17"/>
        <v>0</v>
      </c>
      <c r="BC22" s="324">
        <f t="shared" si="18"/>
        <v>2138.56</v>
      </c>
      <c r="BD22" s="324">
        <f t="shared" si="19"/>
        <v>307.48</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5" customHeight="1">
      <c r="A23" s="297"/>
      <c r="B23" s="323"/>
      <c r="C23" s="216" t="str">
        <f>[1]面积表!E14</f>
        <v>C3-11#住宅</v>
      </c>
      <c r="D23" s="217" t="s">
        <v>3051</v>
      </c>
      <c r="E23" s="305">
        <f t="shared" si="7"/>
        <v>1289.27</v>
      </c>
      <c r="F23" s="325"/>
      <c r="G23" s="305">
        <f t="shared" si="8"/>
        <v>2575.9299999999998</v>
      </c>
      <c r="H23" s="305">
        <f t="shared" si="9"/>
        <v>2575.9299999999998</v>
      </c>
      <c r="I23" s="1414">
        <f>面积表!H14</f>
        <v>0</v>
      </c>
      <c r="J23" s="328"/>
      <c r="K23" s="1414">
        <f>面积表!I14</f>
        <v>2138.56</v>
      </c>
      <c r="L23" s="328"/>
      <c r="M23" s="1414">
        <f>面积表!O14</f>
        <v>437.37</v>
      </c>
      <c r="N23" s="328"/>
      <c r="O23" s="328"/>
      <c r="P23" s="328"/>
      <c r="Q23" s="328"/>
      <c r="R23" s="328"/>
      <c r="S23" s="328"/>
      <c r="T23" s="328"/>
      <c r="U23" s="328"/>
      <c r="V23" s="328"/>
      <c r="W23" s="328"/>
      <c r="X23" s="328"/>
      <c r="Y23" s="328"/>
      <c r="Z23" s="328"/>
      <c r="AA23" s="328"/>
      <c r="AB23" s="328"/>
      <c r="AC23" s="324">
        <f t="shared" si="10"/>
        <v>0</v>
      </c>
      <c r="AD23" s="1414"/>
      <c r="AE23" s="1414"/>
      <c r="AF23" s="1415">
        <f>面积表!R14</f>
        <v>0</v>
      </c>
      <c r="AG23" s="1414"/>
      <c r="AH23" s="1414"/>
      <c r="AI23" s="1414"/>
      <c r="AJ23" s="1414"/>
      <c r="AK23" s="1414"/>
      <c r="AL23" s="1415">
        <f>面积表!S14+面积表!T14</f>
        <v>0</v>
      </c>
      <c r="AM23" s="1414"/>
      <c r="AN23" s="1414"/>
      <c r="AO23" s="1414"/>
      <c r="AP23" s="329"/>
      <c r="AQ23" s="329"/>
      <c r="AR23" s="329"/>
      <c r="AS23" s="329"/>
      <c r="AT23" s="330"/>
      <c r="AU23" s="8"/>
      <c r="AV23" s="2208">
        <f t="shared" si="11"/>
        <v>0</v>
      </c>
      <c r="AW23" s="2208">
        <f t="shared" si="12"/>
        <v>0</v>
      </c>
      <c r="AX23" s="2208" t="str">
        <f t="shared" si="13"/>
        <v>C3-11#住宅</v>
      </c>
      <c r="AY23" s="331">
        <f t="shared" si="14"/>
        <v>1289.27</v>
      </c>
      <c r="AZ23" s="324">
        <f t="shared" si="15"/>
        <v>2575.9299999999998</v>
      </c>
      <c r="BA23" s="324">
        <f t="shared" si="16"/>
        <v>2575.9299999999998</v>
      </c>
      <c r="BB23" s="324">
        <f t="shared" si="17"/>
        <v>0</v>
      </c>
      <c r="BC23" s="324">
        <f t="shared" si="18"/>
        <v>2138.56</v>
      </c>
      <c r="BD23" s="324">
        <f t="shared" si="19"/>
        <v>437.37</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5" customHeight="1">
      <c r="A24" s="297"/>
      <c r="B24" s="323"/>
      <c r="C24" s="216" t="str">
        <f>[1]面积表!E15</f>
        <v>C3-12#住宅</v>
      </c>
      <c r="D24" s="217" t="s">
        <v>3051</v>
      </c>
      <c r="E24" s="305">
        <f t="shared" si="7"/>
        <v>1224.26</v>
      </c>
      <c r="F24" s="325"/>
      <c r="G24" s="305">
        <f t="shared" si="8"/>
        <v>2446.04</v>
      </c>
      <c r="H24" s="305">
        <f t="shared" si="9"/>
        <v>2446.04</v>
      </c>
      <c r="I24" s="1414">
        <f>面积表!H15</f>
        <v>0</v>
      </c>
      <c r="J24" s="328"/>
      <c r="K24" s="1414">
        <f>面积表!I15</f>
        <v>2138.56</v>
      </c>
      <c r="L24" s="328"/>
      <c r="M24" s="1414">
        <f>面积表!O15</f>
        <v>307.48</v>
      </c>
      <c r="N24" s="328"/>
      <c r="O24" s="328"/>
      <c r="P24" s="328"/>
      <c r="Q24" s="328"/>
      <c r="R24" s="328"/>
      <c r="S24" s="328"/>
      <c r="T24" s="328"/>
      <c r="U24" s="328"/>
      <c r="V24" s="328"/>
      <c r="W24" s="328"/>
      <c r="X24" s="328"/>
      <c r="Y24" s="328"/>
      <c r="Z24" s="328"/>
      <c r="AA24" s="328"/>
      <c r="AB24" s="328"/>
      <c r="AC24" s="324">
        <f t="shared" si="10"/>
        <v>0</v>
      </c>
      <c r="AD24" s="1414"/>
      <c r="AE24" s="1414"/>
      <c r="AF24" s="1415">
        <f>面积表!R15</f>
        <v>0</v>
      </c>
      <c r="AG24" s="1414"/>
      <c r="AH24" s="1414"/>
      <c r="AI24" s="1414"/>
      <c r="AJ24" s="1414"/>
      <c r="AK24" s="1414"/>
      <c r="AL24" s="1415">
        <f>面积表!S15+面积表!T15</f>
        <v>0</v>
      </c>
      <c r="AM24" s="1414"/>
      <c r="AN24" s="1414"/>
      <c r="AO24" s="1414"/>
      <c r="AP24" s="329"/>
      <c r="AQ24" s="329"/>
      <c r="AR24" s="329"/>
      <c r="AS24" s="329"/>
      <c r="AT24" s="330"/>
      <c r="AU24" s="8"/>
      <c r="AV24" s="2208">
        <f t="shared" si="11"/>
        <v>0</v>
      </c>
      <c r="AW24" s="2208">
        <f t="shared" si="12"/>
        <v>0</v>
      </c>
      <c r="AX24" s="2208" t="str">
        <f t="shared" si="13"/>
        <v>C3-12#住宅</v>
      </c>
      <c r="AY24" s="331">
        <f t="shared" si="14"/>
        <v>1224.26</v>
      </c>
      <c r="AZ24" s="324">
        <f t="shared" si="15"/>
        <v>2446.04</v>
      </c>
      <c r="BA24" s="324">
        <f t="shared" si="16"/>
        <v>2446.04</v>
      </c>
      <c r="BB24" s="324">
        <f t="shared" si="17"/>
        <v>0</v>
      </c>
      <c r="BC24" s="324">
        <f t="shared" si="18"/>
        <v>2138.56</v>
      </c>
      <c r="BD24" s="324">
        <f t="shared" si="19"/>
        <v>307.48</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5" customHeight="1">
      <c r="A25" s="297"/>
      <c r="B25" s="323"/>
      <c r="C25" s="216" t="str">
        <f>[1]面积表!E16</f>
        <v>C3-13#住宅</v>
      </c>
      <c r="D25" s="217" t="s">
        <v>3051</v>
      </c>
      <c r="E25" s="305">
        <f t="shared" si="7"/>
        <v>1289.27</v>
      </c>
      <c r="F25" s="325"/>
      <c r="G25" s="305">
        <f t="shared" si="8"/>
        <v>2575.9299999999998</v>
      </c>
      <c r="H25" s="305">
        <f t="shared" si="9"/>
        <v>2575.9299999999998</v>
      </c>
      <c r="I25" s="1414">
        <f>面积表!H16</f>
        <v>0</v>
      </c>
      <c r="J25" s="328"/>
      <c r="K25" s="1414">
        <f>面积表!I16</f>
        <v>2138.56</v>
      </c>
      <c r="L25" s="328"/>
      <c r="M25" s="1414">
        <f>面积表!O16</f>
        <v>437.37</v>
      </c>
      <c r="N25" s="328"/>
      <c r="O25" s="328"/>
      <c r="P25" s="328"/>
      <c r="Q25" s="328"/>
      <c r="R25" s="328"/>
      <c r="S25" s="328"/>
      <c r="T25" s="328"/>
      <c r="U25" s="328"/>
      <c r="V25" s="328"/>
      <c r="W25" s="328"/>
      <c r="X25" s="328"/>
      <c r="Y25" s="328"/>
      <c r="Z25" s="328"/>
      <c r="AA25" s="328"/>
      <c r="AB25" s="328"/>
      <c r="AC25" s="324">
        <f t="shared" si="10"/>
        <v>0</v>
      </c>
      <c r="AD25" s="1414"/>
      <c r="AE25" s="1414"/>
      <c r="AF25" s="1414"/>
      <c r="AG25" s="1414"/>
      <c r="AH25" s="1414"/>
      <c r="AI25" s="1414"/>
      <c r="AJ25" s="1414"/>
      <c r="AK25" s="1414"/>
      <c r="AL25" s="1414"/>
      <c r="AM25" s="1414"/>
      <c r="AN25" s="1414"/>
      <c r="AO25" s="1414"/>
      <c r="AP25" s="329"/>
      <c r="AQ25" s="329"/>
      <c r="AR25" s="329"/>
      <c r="AS25" s="329"/>
      <c r="AT25" s="330"/>
      <c r="AU25" s="8"/>
      <c r="AV25" s="2208">
        <f t="shared" si="11"/>
        <v>0</v>
      </c>
      <c r="AW25" s="2208">
        <f t="shared" si="12"/>
        <v>0</v>
      </c>
      <c r="AX25" s="2208" t="str">
        <f t="shared" si="13"/>
        <v>C3-13#住宅</v>
      </c>
      <c r="AY25" s="331">
        <f t="shared" si="14"/>
        <v>1289.27</v>
      </c>
      <c r="AZ25" s="324">
        <f t="shared" si="15"/>
        <v>2575.9299999999998</v>
      </c>
      <c r="BA25" s="324">
        <f t="shared" si="16"/>
        <v>2575.9299999999998</v>
      </c>
      <c r="BB25" s="324">
        <f t="shared" si="17"/>
        <v>0</v>
      </c>
      <c r="BC25" s="324">
        <f t="shared" si="18"/>
        <v>2138.56</v>
      </c>
      <c r="BD25" s="324">
        <f t="shared" si="19"/>
        <v>437.37</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33" customHeight="1">
      <c r="A26" s="297"/>
      <c r="B26" s="323"/>
      <c r="C26" s="216" t="str">
        <f>[1]面积表!E18</f>
        <v>C3-14#居住公共服务设施（物业服务用房）</v>
      </c>
      <c r="D26" s="217" t="s">
        <v>3051</v>
      </c>
      <c r="E26" s="305">
        <f t="shared" si="7"/>
        <v>75.08</v>
      </c>
      <c r="F26" s="325"/>
      <c r="G26" s="305">
        <f t="shared" si="8"/>
        <v>150</v>
      </c>
      <c r="H26" s="305">
        <f t="shared" si="9"/>
        <v>0</v>
      </c>
      <c r="I26" s="328"/>
      <c r="J26" s="328"/>
      <c r="K26" s="328"/>
      <c r="L26" s="328"/>
      <c r="M26" s="328"/>
      <c r="N26" s="328"/>
      <c r="O26" s="1414"/>
      <c r="P26" s="328"/>
      <c r="Q26" s="328"/>
      <c r="R26" s="328"/>
      <c r="S26" s="328"/>
      <c r="T26" s="328"/>
      <c r="U26" s="328"/>
      <c r="V26" s="328"/>
      <c r="W26" s="328"/>
      <c r="X26" s="328"/>
      <c r="Y26" s="328"/>
      <c r="Z26" s="328"/>
      <c r="AA26" s="328"/>
      <c r="AB26" s="328"/>
      <c r="AC26" s="324">
        <f t="shared" si="10"/>
        <v>150</v>
      </c>
      <c r="AD26" s="1414"/>
      <c r="AE26" s="1414"/>
      <c r="AF26" s="1414"/>
      <c r="AG26" s="1414"/>
      <c r="AH26" s="1414">
        <f>面积表!K18</f>
        <v>150</v>
      </c>
      <c r="AI26" s="1414"/>
      <c r="AJ26" s="1414"/>
      <c r="AK26" s="1414"/>
      <c r="AL26" s="1414"/>
      <c r="AM26" s="1414"/>
      <c r="AN26" s="1414"/>
      <c r="AO26" s="1414"/>
      <c r="AP26" s="329"/>
      <c r="AQ26" s="329"/>
      <c r="AR26" s="329"/>
      <c r="AS26" s="329"/>
      <c r="AT26" s="1414"/>
      <c r="AU26" s="8"/>
      <c r="AV26" s="2208">
        <f t="shared" si="11"/>
        <v>0</v>
      </c>
      <c r="AW26" s="2208">
        <f t="shared" si="12"/>
        <v>0</v>
      </c>
      <c r="AX26" s="2208" t="str">
        <f t="shared" si="13"/>
        <v>C3-14#居住公共服务设施（物业服务用房）</v>
      </c>
      <c r="AY26" s="331">
        <f t="shared" si="14"/>
        <v>75.08</v>
      </c>
      <c r="AZ26" s="324">
        <f t="shared" si="15"/>
        <v>150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150</v>
      </c>
      <c r="BM26" s="324">
        <f t="shared" si="28"/>
        <v>0</v>
      </c>
      <c r="BN26" s="324">
        <f t="shared" si="29"/>
        <v>0</v>
      </c>
      <c r="BO26" s="324">
        <f t="shared" si="30"/>
        <v>150</v>
      </c>
      <c r="BP26" s="324">
        <f t="shared" si="31"/>
        <v>0</v>
      </c>
      <c r="BQ26" s="324">
        <f t="shared" si="32"/>
        <v>0</v>
      </c>
      <c r="BR26" s="324">
        <f t="shared" si="33"/>
        <v>0</v>
      </c>
      <c r="BS26" s="324">
        <f t="shared" si="34"/>
        <v>0</v>
      </c>
      <c r="BT26" s="332">
        <f t="shared" si="35"/>
        <v>0</v>
      </c>
    </row>
    <row r="27" spans="1:72" ht="15" customHeight="1">
      <c r="A27" s="297"/>
      <c r="B27" s="323"/>
      <c r="C27" s="216" t="str">
        <f>[1]面积表!E19</f>
        <v>C3-15#配电室</v>
      </c>
      <c r="D27" s="217" t="s">
        <v>3051</v>
      </c>
      <c r="E27" s="305">
        <f t="shared" si="7"/>
        <v>112.61</v>
      </c>
      <c r="F27" s="325"/>
      <c r="G27" s="305">
        <f t="shared" si="8"/>
        <v>225</v>
      </c>
      <c r="H27" s="305">
        <f t="shared" si="9"/>
        <v>0</v>
      </c>
      <c r="I27" s="328"/>
      <c r="J27" s="328"/>
      <c r="K27" s="328"/>
      <c r="L27" s="328"/>
      <c r="M27" s="328"/>
      <c r="N27" s="328"/>
      <c r="O27" s="1414"/>
      <c r="P27" s="328"/>
      <c r="Q27" s="328"/>
      <c r="R27" s="328"/>
      <c r="S27" s="328"/>
      <c r="T27" s="328"/>
      <c r="U27" s="328"/>
      <c r="V27" s="328"/>
      <c r="W27" s="328"/>
      <c r="X27" s="328"/>
      <c r="Y27" s="328"/>
      <c r="Z27" s="328"/>
      <c r="AA27" s="328"/>
      <c r="AB27" s="328"/>
      <c r="AC27" s="324">
        <f t="shared" si="10"/>
        <v>225</v>
      </c>
      <c r="AD27" s="1414"/>
      <c r="AE27" s="1414"/>
      <c r="AF27" s="1414"/>
      <c r="AG27" s="1414"/>
      <c r="AH27" s="1414"/>
      <c r="AI27" s="1414"/>
      <c r="AJ27" s="1414"/>
      <c r="AK27" s="1414"/>
      <c r="AL27" s="1414">
        <f>面积表!M19</f>
        <v>150</v>
      </c>
      <c r="AM27" s="3365">
        <v>150</v>
      </c>
      <c r="AN27" s="1414">
        <f>面积表!S19</f>
        <v>75</v>
      </c>
      <c r="AO27" s="1414"/>
      <c r="AP27" s="329"/>
      <c r="AQ27" s="329"/>
      <c r="AR27" s="329"/>
      <c r="AS27" s="329"/>
      <c r="AT27" s="1414"/>
      <c r="AU27" s="8"/>
      <c r="AV27" s="2208">
        <f t="shared" si="11"/>
        <v>0</v>
      </c>
      <c r="AW27" s="2208">
        <f t="shared" si="12"/>
        <v>0</v>
      </c>
      <c r="AX27" s="2208" t="str">
        <f t="shared" si="13"/>
        <v>C3-15#配电室</v>
      </c>
      <c r="AY27" s="331">
        <f t="shared" si="14"/>
        <v>37.54</v>
      </c>
      <c r="AZ27" s="324">
        <f t="shared" si="15"/>
        <v>75</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75</v>
      </c>
      <c r="BM27" s="324">
        <f t="shared" si="28"/>
        <v>0</v>
      </c>
      <c r="BN27" s="324">
        <f t="shared" si="29"/>
        <v>0</v>
      </c>
      <c r="BO27" s="324">
        <f t="shared" si="30"/>
        <v>0</v>
      </c>
      <c r="BP27" s="324">
        <f t="shared" si="31"/>
        <v>0</v>
      </c>
      <c r="BQ27" s="324">
        <f t="shared" si="32"/>
        <v>0</v>
      </c>
      <c r="BR27" s="324">
        <f t="shared" si="33"/>
        <v>75</v>
      </c>
      <c r="BS27" s="324">
        <f t="shared" si="34"/>
        <v>0</v>
      </c>
      <c r="BT27" s="332">
        <f t="shared" si="35"/>
        <v>0</v>
      </c>
    </row>
    <row r="28" spans="1:72" ht="15" customHeight="1">
      <c r="A28" s="297"/>
      <c r="B28" s="323"/>
      <c r="C28" s="216" t="str">
        <f>[1]面积表!E20</f>
        <v>C3-A#车库</v>
      </c>
      <c r="D28" s="217" t="s">
        <v>3051</v>
      </c>
      <c r="E28" s="305">
        <f t="shared" si="7"/>
        <v>4902.6000000000004</v>
      </c>
      <c r="F28" s="325"/>
      <c r="G28" s="305">
        <f t="shared" si="8"/>
        <v>9795.27</v>
      </c>
      <c r="H28" s="305">
        <f t="shared" si="9"/>
        <v>3533.36</v>
      </c>
      <c r="I28" s="328"/>
      <c r="J28" s="328"/>
      <c r="K28" s="328"/>
      <c r="L28" s="328"/>
      <c r="M28" s="328"/>
      <c r="N28" s="328"/>
      <c r="O28" s="1414">
        <f>面积表!Q20</f>
        <v>3533.36</v>
      </c>
      <c r="P28" s="328"/>
      <c r="Q28" s="328"/>
      <c r="R28" s="328"/>
      <c r="S28" s="328"/>
      <c r="T28" s="328"/>
      <c r="U28" s="328"/>
      <c r="V28" s="328"/>
      <c r="W28" s="328"/>
      <c r="X28" s="328"/>
      <c r="Y28" s="328"/>
      <c r="Z28" s="328"/>
      <c r="AA28" s="328"/>
      <c r="AB28" s="328"/>
      <c r="AC28" s="324">
        <f t="shared" si="10"/>
        <v>89.63</v>
      </c>
      <c r="AD28" s="1414"/>
      <c r="AE28" s="1414"/>
      <c r="AF28" s="1414"/>
      <c r="AG28" s="1414"/>
      <c r="AH28" s="1414"/>
      <c r="AI28" s="1414"/>
      <c r="AJ28" s="1414"/>
      <c r="AK28" s="1414"/>
      <c r="AL28" s="1414">
        <f>面积表!M20</f>
        <v>77.63</v>
      </c>
      <c r="AM28" s="1414"/>
      <c r="AN28" s="1414">
        <f>面积表!S20</f>
        <v>12</v>
      </c>
      <c r="AO28" s="1414"/>
      <c r="AP28" s="329"/>
      <c r="AQ28" s="329"/>
      <c r="AR28" s="329"/>
      <c r="AS28" s="329"/>
      <c r="AT28" s="1414">
        <f>面积表!U20</f>
        <v>6172.2800000000007</v>
      </c>
      <c r="AU28" s="8"/>
      <c r="AV28" s="2208">
        <f t="shared" si="11"/>
        <v>0</v>
      </c>
      <c r="AW28" s="2208">
        <f t="shared" si="12"/>
        <v>0</v>
      </c>
      <c r="AX28" s="2208" t="str">
        <f t="shared" si="13"/>
        <v>C3-A#车库</v>
      </c>
      <c r="AY28" s="331">
        <f t="shared" si="14"/>
        <v>1813.33</v>
      </c>
      <c r="AZ28" s="324">
        <f t="shared" si="15"/>
        <v>3622.9900000000002</v>
      </c>
      <c r="BA28" s="324">
        <f t="shared" si="16"/>
        <v>3533.36</v>
      </c>
      <c r="BB28" s="324">
        <f t="shared" si="17"/>
        <v>0</v>
      </c>
      <c r="BC28" s="324">
        <f t="shared" si="18"/>
        <v>0</v>
      </c>
      <c r="BD28" s="324">
        <f t="shared" si="19"/>
        <v>0</v>
      </c>
      <c r="BE28" s="324">
        <f t="shared" si="20"/>
        <v>3533.36</v>
      </c>
      <c r="BF28" s="324">
        <f t="shared" si="21"/>
        <v>0</v>
      </c>
      <c r="BG28" s="324">
        <f t="shared" si="22"/>
        <v>0</v>
      </c>
      <c r="BH28" s="324">
        <f t="shared" si="23"/>
        <v>0</v>
      </c>
      <c r="BI28" s="324">
        <f t="shared" si="24"/>
        <v>0</v>
      </c>
      <c r="BJ28" s="324">
        <f t="shared" si="25"/>
        <v>0</v>
      </c>
      <c r="BK28" s="324">
        <f t="shared" si="26"/>
        <v>0</v>
      </c>
      <c r="BL28" s="324">
        <f t="shared" si="27"/>
        <v>89.63</v>
      </c>
      <c r="BM28" s="324">
        <f t="shared" si="28"/>
        <v>0</v>
      </c>
      <c r="BN28" s="324">
        <f t="shared" si="29"/>
        <v>0</v>
      </c>
      <c r="BO28" s="324">
        <f t="shared" si="30"/>
        <v>0</v>
      </c>
      <c r="BP28" s="324">
        <f t="shared" si="31"/>
        <v>0</v>
      </c>
      <c r="BQ28" s="324">
        <f t="shared" si="32"/>
        <v>77.63</v>
      </c>
      <c r="BR28" s="324">
        <f t="shared" si="33"/>
        <v>12</v>
      </c>
      <c r="BS28" s="324">
        <f t="shared" si="34"/>
        <v>0</v>
      </c>
      <c r="BT28" s="332">
        <f t="shared" si="35"/>
        <v>0</v>
      </c>
    </row>
    <row r="29" spans="1:72" ht="15" customHeight="1">
      <c r="A29" s="297"/>
      <c r="B29" s="323"/>
      <c r="C29" s="216" t="str">
        <f>[1]面积表!E21</f>
        <v>C3-B#车库</v>
      </c>
      <c r="D29" s="217" t="s">
        <v>3051</v>
      </c>
      <c r="E29" s="305">
        <f t="shared" si="7"/>
        <v>605.33000000000004</v>
      </c>
      <c r="F29" s="325"/>
      <c r="G29" s="305">
        <f t="shared" si="8"/>
        <v>1209.44</v>
      </c>
      <c r="H29" s="305">
        <f t="shared" si="9"/>
        <v>1209.44</v>
      </c>
      <c r="I29" s="328"/>
      <c r="J29" s="328"/>
      <c r="K29" s="328"/>
      <c r="L29" s="328"/>
      <c r="M29" s="328"/>
      <c r="N29" s="328"/>
      <c r="O29" s="1414">
        <f>面积表!Q21</f>
        <v>1209.44</v>
      </c>
      <c r="P29" s="328"/>
      <c r="Q29" s="328"/>
      <c r="R29" s="328"/>
      <c r="S29" s="328"/>
      <c r="T29" s="328"/>
      <c r="U29" s="328"/>
      <c r="V29" s="328"/>
      <c r="W29" s="328"/>
      <c r="X29" s="328"/>
      <c r="Y29" s="328"/>
      <c r="Z29" s="328"/>
      <c r="AA29" s="328"/>
      <c r="AB29" s="328"/>
      <c r="AC29" s="324">
        <f t="shared" si="10"/>
        <v>0</v>
      </c>
      <c r="AD29" s="1414"/>
      <c r="AE29" s="1414"/>
      <c r="AF29" s="1414"/>
      <c r="AG29" s="1414"/>
      <c r="AH29" s="1414"/>
      <c r="AI29" s="1414"/>
      <c r="AJ29" s="1414"/>
      <c r="AK29" s="1414"/>
      <c r="AL29" s="1414"/>
      <c r="AM29" s="1414"/>
      <c r="AN29" s="1414"/>
      <c r="AO29" s="1414"/>
      <c r="AP29" s="329"/>
      <c r="AQ29" s="329"/>
      <c r="AR29" s="329"/>
      <c r="AS29" s="329"/>
      <c r="AT29" s="1414"/>
      <c r="AU29" s="8"/>
      <c r="AV29" s="2208">
        <f t="shared" si="11"/>
        <v>0</v>
      </c>
      <c r="AW29" s="2208">
        <f t="shared" si="12"/>
        <v>0</v>
      </c>
      <c r="AX29" s="2208" t="str">
        <f t="shared" si="13"/>
        <v>C3-B#车库</v>
      </c>
      <c r="AY29" s="331">
        <f t="shared" si="14"/>
        <v>605.33000000000004</v>
      </c>
      <c r="AZ29" s="324">
        <f t="shared" si="15"/>
        <v>1209.44</v>
      </c>
      <c r="BA29" s="324">
        <f t="shared" si="16"/>
        <v>1209.44</v>
      </c>
      <c r="BB29" s="324">
        <f t="shared" si="17"/>
        <v>0</v>
      </c>
      <c r="BC29" s="324">
        <f t="shared" si="18"/>
        <v>0</v>
      </c>
      <c r="BD29" s="324">
        <f t="shared" si="19"/>
        <v>0</v>
      </c>
      <c r="BE29" s="324">
        <f t="shared" si="20"/>
        <v>1209.44</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5" customHeight="1">
      <c r="A30" s="297"/>
      <c r="B30" s="323"/>
      <c r="C30" s="216" t="str">
        <f>[1]面积表!E22</f>
        <v>C3-C#车库</v>
      </c>
      <c r="D30" s="217" t="s">
        <v>3051</v>
      </c>
      <c r="E30" s="305">
        <f t="shared" si="7"/>
        <v>605.33000000000004</v>
      </c>
      <c r="F30" s="325"/>
      <c r="G30" s="305">
        <f t="shared" si="8"/>
        <v>1209.44</v>
      </c>
      <c r="H30" s="305">
        <f t="shared" si="9"/>
        <v>1209.44</v>
      </c>
      <c r="I30" s="328"/>
      <c r="J30" s="328"/>
      <c r="K30" s="328"/>
      <c r="L30" s="328"/>
      <c r="M30" s="328"/>
      <c r="N30" s="328"/>
      <c r="O30" s="1414">
        <f>面积表!Q22</f>
        <v>1209.44</v>
      </c>
      <c r="P30" s="328"/>
      <c r="Q30" s="328"/>
      <c r="R30" s="328"/>
      <c r="S30" s="328"/>
      <c r="T30" s="328"/>
      <c r="U30" s="328"/>
      <c r="V30" s="328"/>
      <c r="W30" s="328"/>
      <c r="X30" s="328"/>
      <c r="Y30" s="328"/>
      <c r="Z30" s="328"/>
      <c r="AA30" s="328"/>
      <c r="AB30" s="328"/>
      <c r="AC30" s="324">
        <f t="shared" si="10"/>
        <v>0</v>
      </c>
      <c r="AD30" s="1414"/>
      <c r="AE30" s="1414"/>
      <c r="AF30" s="1414"/>
      <c r="AG30" s="1414"/>
      <c r="AH30" s="1414"/>
      <c r="AI30" s="1414"/>
      <c r="AJ30" s="1414"/>
      <c r="AK30" s="1414"/>
      <c r="AL30" s="1414"/>
      <c r="AM30" s="1414"/>
      <c r="AN30" s="1414"/>
      <c r="AO30" s="1414"/>
      <c r="AP30" s="329"/>
      <c r="AQ30" s="329"/>
      <c r="AR30" s="329"/>
      <c r="AS30" s="329"/>
      <c r="AT30" s="330"/>
      <c r="AU30" s="8"/>
      <c r="AV30" s="2208">
        <f t="shared" si="11"/>
        <v>0</v>
      </c>
      <c r="AW30" s="2208">
        <f t="shared" si="12"/>
        <v>0</v>
      </c>
      <c r="AX30" s="2208" t="str">
        <f t="shared" si="13"/>
        <v>C3-C#车库</v>
      </c>
      <c r="AY30" s="331">
        <f t="shared" si="14"/>
        <v>605.33000000000004</v>
      </c>
      <c r="AZ30" s="324">
        <f t="shared" si="15"/>
        <v>1209.44</v>
      </c>
      <c r="BA30" s="324">
        <f t="shared" si="16"/>
        <v>1209.44</v>
      </c>
      <c r="BB30" s="324">
        <f t="shared" si="17"/>
        <v>0</v>
      </c>
      <c r="BC30" s="324">
        <f t="shared" si="18"/>
        <v>0</v>
      </c>
      <c r="BD30" s="324">
        <f t="shared" si="19"/>
        <v>0</v>
      </c>
      <c r="BE30" s="324">
        <f t="shared" si="20"/>
        <v>1209.44</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c r="E31" s="305">
        <f t="shared" si="7"/>
        <v>0</v>
      </c>
      <c r="F31" s="325"/>
      <c r="G31" s="305">
        <f t="shared" si="8"/>
        <v>0</v>
      </c>
      <c r="H31" s="305">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c r="E32" s="305">
        <f t="shared" si="7"/>
        <v>0</v>
      </c>
      <c r="F32" s="325"/>
      <c r="G32" s="305">
        <f t="shared" si="8"/>
        <v>0</v>
      </c>
      <c r="H32" s="305">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c r="E33" s="305">
        <f t="shared" si="7"/>
        <v>0</v>
      </c>
      <c r="F33" s="325"/>
      <c r="G33" s="305">
        <f t="shared" si="8"/>
        <v>0</v>
      </c>
      <c r="H33" s="305">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c r="E34" s="305">
        <f t="shared" si="7"/>
        <v>0</v>
      </c>
      <c r="F34" s="325"/>
      <c r="G34" s="305">
        <f t="shared" si="8"/>
        <v>0</v>
      </c>
      <c r="H34" s="305">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c r="E35" s="305">
        <f t="shared" si="7"/>
        <v>0</v>
      </c>
      <c r="F35" s="325"/>
      <c r="G35" s="305">
        <f t="shared" si="8"/>
        <v>0</v>
      </c>
      <c r="H35" s="305">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c r="E36" s="305">
        <f t="shared" si="7"/>
        <v>0</v>
      </c>
      <c r="F36" s="325"/>
      <c r="G36" s="305">
        <f t="shared" si="8"/>
        <v>0</v>
      </c>
      <c r="H36" s="305">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c r="E37" s="305">
        <f t="shared" si="7"/>
        <v>0</v>
      </c>
      <c r="F37" s="325"/>
      <c r="G37" s="305">
        <f t="shared" si="8"/>
        <v>0</v>
      </c>
      <c r="H37" s="305">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c r="E38" s="305">
        <f t="shared" si="7"/>
        <v>0</v>
      </c>
      <c r="F38" s="325"/>
      <c r="G38" s="305">
        <f t="shared" si="8"/>
        <v>0</v>
      </c>
      <c r="H38" s="305">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05">
        <f t="shared" si="7"/>
        <v>0</v>
      </c>
      <c r="F39" s="325"/>
      <c r="G39" s="305">
        <f t="shared" si="8"/>
        <v>0</v>
      </c>
      <c r="H39" s="305">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05">
        <f t="shared" si="7"/>
        <v>0</v>
      </c>
      <c r="F40" s="325"/>
      <c r="G40" s="305">
        <f t="shared" si="8"/>
        <v>0</v>
      </c>
      <c r="H40" s="305">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05">
        <f t="shared" si="7"/>
        <v>0</v>
      </c>
      <c r="F41" s="325"/>
      <c r="G41" s="305">
        <f t="shared" si="8"/>
        <v>0</v>
      </c>
      <c r="H41" s="305">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05">
        <f t="shared" si="7"/>
        <v>0</v>
      </c>
      <c r="F42" s="325"/>
      <c r="G42" s="305">
        <f t="shared" si="8"/>
        <v>0</v>
      </c>
      <c r="H42" s="305">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05">
        <f t="shared" si="7"/>
        <v>0</v>
      </c>
      <c r="F43" s="325"/>
      <c r="G43" s="305">
        <f t="shared" si="8"/>
        <v>0</v>
      </c>
      <c r="H43" s="305">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05">
        <f t="shared" si="7"/>
        <v>0</v>
      </c>
      <c r="F44" s="325"/>
      <c r="G44" s="305">
        <f t="shared" si="8"/>
        <v>0</v>
      </c>
      <c r="H44" s="305">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05">
        <f t="shared" si="7"/>
        <v>0</v>
      </c>
      <c r="F45" s="325"/>
      <c r="G45" s="305">
        <f t="shared" si="8"/>
        <v>0</v>
      </c>
      <c r="H45" s="305">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05">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36" t="s">
        <v>2</v>
      </c>
      <c r="B1" s="3436" t="s">
        <v>37</v>
      </c>
      <c r="C1" s="3436" t="s">
        <v>38</v>
      </c>
      <c r="D1" s="3536" t="s">
        <v>199</v>
      </c>
      <c r="E1" s="3536" t="s">
        <v>200</v>
      </c>
      <c r="F1" s="3536"/>
      <c r="G1" s="3536"/>
      <c r="H1" s="3536"/>
      <c r="I1" s="3536"/>
      <c r="J1" s="3536"/>
      <c r="K1" s="3536"/>
      <c r="L1" s="3536"/>
      <c r="M1" s="3536"/>
    </row>
    <row r="2" spans="1:13" ht="27" customHeight="1">
      <c r="A2" s="3436"/>
      <c r="B2" s="3436"/>
      <c r="C2" s="3436"/>
      <c r="D2" s="3536"/>
      <c r="E2" s="3536" t="s">
        <v>183</v>
      </c>
      <c r="F2" s="3536" t="s">
        <v>184</v>
      </c>
      <c r="G2" s="3536"/>
      <c r="H2" s="3536"/>
      <c r="I2" s="3536"/>
      <c r="J2" s="3536" t="s">
        <v>185</v>
      </c>
      <c r="K2" s="3536"/>
      <c r="L2" s="3536"/>
      <c r="M2" s="3536"/>
    </row>
    <row r="3" spans="1:13" ht="28.5">
      <c r="A3" s="3436"/>
      <c r="B3" s="3436"/>
      <c r="C3" s="3436"/>
      <c r="D3" s="3536"/>
      <c r="E3" s="3536"/>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36" t="s">
        <v>201</v>
      </c>
      <c r="B9" s="3536"/>
      <c r="C9" s="353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7" sqref="L7"/>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639</v>
      </c>
      <c r="B1" s="2222"/>
      <c r="C1" s="2222"/>
      <c r="D1" s="2222"/>
      <c r="E1" s="2222"/>
      <c r="F1" s="2222"/>
      <c r="G1" s="2222"/>
      <c r="H1" s="2222"/>
      <c r="I1" s="2222"/>
      <c r="J1" s="2222"/>
      <c r="K1" s="2222"/>
      <c r="L1" s="2222"/>
      <c r="M1" s="2222"/>
      <c r="N1" s="2222"/>
      <c r="O1" s="2222"/>
      <c r="P1" s="2222"/>
    </row>
    <row r="2" spans="1:16">
      <c r="A2" s="3546" t="s">
        <v>640</v>
      </c>
      <c r="B2" s="3546"/>
      <c r="C2" s="3546"/>
      <c r="D2" s="2206" t="s">
        <v>641</v>
      </c>
      <c r="E2" s="19" t="s">
        <v>642</v>
      </c>
      <c r="F2" s="2222"/>
      <c r="G2" s="1177"/>
      <c r="H2" s="1178"/>
      <c r="I2" s="2214" t="s">
        <v>643</v>
      </c>
      <c r="J2" s="2222"/>
      <c r="K2" s="2222"/>
      <c r="L2" s="2222"/>
      <c r="M2" s="2222"/>
      <c r="N2" s="2231"/>
      <c r="O2" s="2222"/>
      <c r="P2" s="2222"/>
    </row>
    <row r="3" spans="1:16" ht="15.75" thickBot="1">
      <c r="A3" s="3547" t="s">
        <v>644</v>
      </c>
      <c r="B3" s="3547"/>
      <c r="C3" s="3547"/>
      <c r="D3" s="335">
        <f>'数据-基础表'!AY6</f>
        <v>27526.28</v>
      </c>
      <c r="E3" s="335">
        <f>'数据-基础表'!AZ5</f>
        <v>54996.800000000003</v>
      </c>
      <c r="F3" s="2222"/>
      <c r="G3" s="442"/>
      <c r="H3" s="440" t="s">
        <v>645</v>
      </c>
      <c r="I3" s="344">
        <f>ROUND('数据-基础表'!B3/'数据-基础表'!A3,2)</f>
        <v>2</v>
      </c>
      <c r="J3" s="2222"/>
      <c r="K3" s="2222"/>
      <c r="L3" s="2222"/>
      <c r="M3" s="2222"/>
      <c r="N3" s="2231"/>
      <c r="O3" s="2222"/>
      <c r="P3" s="2222"/>
    </row>
    <row r="4" spans="1:16" ht="14.25">
      <c r="A4" s="3548"/>
      <c r="B4" s="3549"/>
      <c r="C4" s="3550"/>
      <c r="D4" s="20" t="s">
        <v>641</v>
      </c>
      <c r="E4" s="21" t="s">
        <v>642</v>
      </c>
      <c r="F4" s="2222"/>
      <c r="G4" s="1179" t="s">
        <v>1786</v>
      </c>
      <c r="H4" s="440" t="s">
        <v>646</v>
      </c>
      <c r="I4" s="344">
        <f>ROUND(SUMIF('数据-基础表'!I9:AS9,"地上",'数据-基础表'!I5:AS5)/'数据-基础表'!A3,2)</f>
        <v>1.45</v>
      </c>
      <c r="J4" s="2222"/>
      <c r="K4" s="2222"/>
      <c r="L4" s="2222"/>
      <c r="M4" s="2222"/>
      <c r="N4" s="2231"/>
      <c r="O4" s="2222"/>
      <c r="P4" s="2222"/>
    </row>
    <row r="5" spans="1:16" ht="14.25">
      <c r="A5" s="22" t="s">
        <v>647</v>
      </c>
      <c r="B5" s="3551" t="s">
        <v>648</v>
      </c>
      <c r="C5" s="3551"/>
      <c r="D5" s="337">
        <f>ROUND($D$3*E5/$E$3,2)</f>
        <v>21283.59</v>
      </c>
      <c r="E5" s="338">
        <f>SUMIF('数据-基础表'!$11:$11,"住宅",'数据-基础表'!$5:$5)</f>
        <v>42524.060000000005</v>
      </c>
      <c r="F5" s="2222"/>
      <c r="G5" s="442"/>
      <c r="H5" s="440" t="s">
        <v>645</v>
      </c>
      <c r="I5" s="344">
        <f>ROUND(E31/D31,2)</f>
        <v>2</v>
      </c>
      <c r="J5" s="2222"/>
      <c r="K5" s="2222"/>
      <c r="L5" s="2222"/>
      <c r="M5" s="2222"/>
      <c r="N5" s="2222"/>
      <c r="O5" s="2222"/>
      <c r="P5" s="2222"/>
    </row>
    <row r="6" spans="1:16" ht="15" thickBot="1">
      <c r="A6" s="24"/>
      <c r="B6" s="3551" t="s">
        <v>649</v>
      </c>
      <c r="C6" s="3551"/>
      <c r="D6" s="337">
        <f>ROUND($D$3*E6/$E$3,2)</f>
        <v>6242.69</v>
      </c>
      <c r="E6" s="338">
        <f>E3-E5</f>
        <v>12472.739999999998</v>
      </c>
      <c r="F6" s="2222"/>
      <c r="G6" s="1757" t="s">
        <v>1787</v>
      </c>
      <c r="H6" s="442" t="s">
        <v>646</v>
      </c>
      <c r="I6" s="1758">
        <f>ROUND(F31/D31,2)</f>
        <v>1.61</v>
      </c>
      <c r="J6" s="2222"/>
      <c r="K6" s="2222"/>
      <c r="L6" s="2222"/>
      <c r="M6" s="2222"/>
      <c r="N6" s="2222"/>
      <c r="O6" s="2222"/>
      <c r="P6" s="2222"/>
    </row>
    <row r="7" spans="1:16" ht="14.25">
      <c r="A7" s="3543"/>
      <c r="B7" s="3544"/>
      <c r="C7" s="3545"/>
      <c r="D7" s="20" t="s">
        <v>641</v>
      </c>
      <c r="E7" s="25" t="s">
        <v>642</v>
      </c>
      <c r="F7" s="2222"/>
      <c r="G7" s="1177" t="s">
        <v>1866</v>
      </c>
      <c r="H7" s="38"/>
      <c r="I7" s="762">
        <f>I6</f>
        <v>1.61</v>
      </c>
      <c r="J7" s="2222"/>
      <c r="K7" s="2222"/>
      <c r="L7" s="2222"/>
      <c r="M7" s="2222"/>
      <c r="N7" s="2222"/>
      <c r="O7" s="2222"/>
      <c r="P7" s="2222"/>
    </row>
    <row r="8" spans="1:16" ht="14.25">
      <c r="A8" s="22" t="s">
        <v>650</v>
      </c>
      <c r="B8" s="26" t="s">
        <v>651</v>
      </c>
      <c r="C8" s="23" t="s">
        <v>652</v>
      </c>
      <c r="D8" s="337">
        <f t="shared" ref="D8:D15" si="0">ROUND($D$3*E8/$E$3,2)</f>
        <v>21283.59</v>
      </c>
      <c r="E8" s="340">
        <f>SUMIF('数据-基础表'!BB10:BK10,"地上",'数据-基础表'!BB5:BK5)</f>
        <v>42524.060000000005</v>
      </c>
      <c r="F8" s="2222"/>
      <c r="G8" s="2223"/>
      <c r="H8" s="2223"/>
      <c r="I8" s="2222"/>
      <c r="J8" s="2222"/>
      <c r="K8" s="2222"/>
      <c r="L8" s="2222"/>
      <c r="M8" s="2222"/>
      <c r="N8" s="2222"/>
      <c r="O8" s="2222"/>
      <c r="P8" s="2222"/>
    </row>
    <row r="9" spans="1:16" ht="14.25">
      <c r="A9" s="27"/>
      <c r="B9" s="28"/>
      <c r="C9" s="23" t="s">
        <v>653</v>
      </c>
      <c r="D9" s="337">
        <f t="shared" si="0"/>
        <v>75.08</v>
      </c>
      <c r="E9" s="341">
        <f>'数据-基础表'!AH26</f>
        <v>150</v>
      </c>
      <c r="F9" s="2222"/>
      <c r="G9" s="2223"/>
      <c r="H9" s="2223"/>
      <c r="I9" s="2222"/>
      <c r="J9" s="2222"/>
      <c r="K9" s="2222"/>
      <c r="L9" s="2222"/>
      <c r="M9" s="2222"/>
      <c r="N9" s="2222"/>
      <c r="O9" s="2222"/>
      <c r="P9" s="2222"/>
    </row>
    <row r="10" spans="1:16" ht="14.25">
      <c r="A10" s="27"/>
      <c r="B10" s="28"/>
      <c r="C10" s="23" t="s">
        <v>654</v>
      </c>
      <c r="D10" s="337">
        <f t="shared" si="0"/>
        <v>0</v>
      </c>
      <c r="E10" s="340">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2394</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655</v>
      </c>
      <c r="D12" s="337">
        <f t="shared" si="0"/>
        <v>1306.93</v>
      </c>
      <c r="E12" s="340">
        <f>SUMPRODUCT(('数据-基础表'!BB10:BK10="地下")*('数据-基础表'!BB11:BK11="仓储")*('数据-基础表'!BB5:BK5))</f>
        <v>2611.2199999999998</v>
      </c>
      <c r="F12" s="2222"/>
      <c r="G12" s="2223"/>
      <c r="H12" s="2223"/>
      <c r="I12" s="2222"/>
      <c r="J12" s="2222"/>
      <c r="K12" s="2222"/>
      <c r="L12" s="2222"/>
      <c r="M12" s="2222"/>
      <c r="N12" s="2222"/>
      <c r="O12" s="2222"/>
      <c r="P12" s="2222"/>
    </row>
    <row r="13" spans="1:16" ht="14.25">
      <c r="A13" s="27"/>
      <c r="B13" s="28"/>
      <c r="C13" s="23" t="s">
        <v>656</v>
      </c>
      <c r="D13" s="337">
        <f t="shared" si="0"/>
        <v>2979.14</v>
      </c>
      <c r="E13" s="340">
        <f>SUMPRODUCT(('数据-基础表'!BB10:BK10="地下")*('数据-基础表'!BB11:BK11="车库")*('数据-基础表'!BB5:BK5))</f>
        <v>5952.24</v>
      </c>
      <c r="F13" s="2222"/>
      <c r="G13" s="2223"/>
      <c r="H13" s="2223"/>
      <c r="I13" s="2222"/>
      <c r="J13" s="2222"/>
      <c r="K13" s="2222"/>
      <c r="L13" s="2222"/>
      <c r="M13" s="2222"/>
      <c r="N13" s="2222"/>
      <c r="O13" s="2222"/>
      <c r="P13" s="2222"/>
    </row>
    <row r="14" spans="1:16" ht="14.25">
      <c r="A14" s="27"/>
      <c r="B14" s="28"/>
      <c r="C14" s="23" t="s">
        <v>657</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658</v>
      </c>
      <c r="D15" s="337">
        <f t="shared" si="0"/>
        <v>0</v>
      </c>
      <c r="E15" s="340">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659</v>
      </c>
      <c r="D16" s="339">
        <f>SUM(D8:D15)</f>
        <v>25644.74</v>
      </c>
      <c r="E16" s="342">
        <f>SUM(E8:E15)</f>
        <v>51237.520000000004</v>
      </c>
      <c r="F16" s="2222"/>
      <c r="G16" s="2223"/>
      <c r="H16" s="1176" t="s">
        <v>531</v>
      </c>
      <c r="I16" s="1180"/>
      <c r="J16" s="2222"/>
      <c r="K16" s="3540" t="s">
        <v>531</v>
      </c>
      <c r="L16" s="3541"/>
      <c r="M16" s="3541"/>
      <c r="N16" s="3541"/>
      <c r="O16" s="3541"/>
      <c r="P16" s="3542"/>
    </row>
    <row r="17" spans="1:19" ht="14.25">
      <c r="A17" s="29" t="s">
        <v>660</v>
      </c>
      <c r="B17" s="30" t="s">
        <v>661</v>
      </c>
      <c r="C17" s="34" t="s">
        <v>2385</v>
      </c>
      <c r="D17" s="2072" t="s">
        <v>641</v>
      </c>
      <c r="E17" s="2070" t="s">
        <v>642</v>
      </c>
      <c r="F17" s="36"/>
      <c r="G17" s="37"/>
      <c r="H17" s="1181" t="s">
        <v>662</v>
      </c>
      <c r="I17" s="1182" t="s">
        <v>204</v>
      </c>
      <c r="J17" s="2222"/>
      <c r="K17" s="3537" t="s">
        <v>668</v>
      </c>
      <c r="L17" s="3538"/>
      <c r="M17" s="3539"/>
      <c r="N17" s="3537" t="s">
        <v>2687</v>
      </c>
      <c r="O17" s="3538"/>
      <c r="P17" s="3539"/>
      <c r="R17" s="2482" t="s">
        <v>2386</v>
      </c>
      <c r="S17" s="354"/>
    </row>
    <row r="18" spans="1:19">
      <c r="A18" s="27"/>
      <c r="B18" s="31"/>
      <c r="C18" s="35"/>
      <c r="D18" s="2073"/>
      <c r="E18" s="2071" t="s">
        <v>663</v>
      </c>
      <c r="F18" s="15" t="s">
        <v>664</v>
      </c>
      <c r="G18" s="16" t="s">
        <v>665</v>
      </c>
      <c r="H18" s="1183" t="s">
        <v>666</v>
      </c>
      <c r="I18" s="1184" t="s">
        <v>667</v>
      </c>
      <c r="J18" s="2222"/>
      <c r="K18" s="1183" t="s">
        <v>2680</v>
      </c>
      <c r="L18" s="6" t="s">
        <v>2688</v>
      </c>
      <c r="M18" s="2800" t="s">
        <v>2686</v>
      </c>
      <c r="N18" s="1183" t="s">
        <v>2680</v>
      </c>
      <c r="O18" s="6" t="s">
        <v>2688</v>
      </c>
      <c r="P18" s="2800" t="s">
        <v>2686</v>
      </c>
      <c r="R18" s="2483" t="s">
        <v>2387</v>
      </c>
      <c r="S18" s="2483" t="s">
        <v>2388</v>
      </c>
    </row>
    <row r="19" spans="1:19" ht="14.25">
      <c r="A19" s="32"/>
      <c r="B19" s="26" t="s">
        <v>119</v>
      </c>
      <c r="C19" s="1417" t="s">
        <v>3161</v>
      </c>
      <c r="D19" s="337">
        <f>ROUND($D$3*E19/$E$3,2)</f>
        <v>17002.13</v>
      </c>
      <c r="E19" s="345">
        <f t="shared" ref="E19:E26" si="1">SUM(F19:G19)</f>
        <v>33969.820000000007</v>
      </c>
      <c r="F19" s="346">
        <f>'[1]数据-基础表'!I5</f>
        <v>33969.820000000007</v>
      </c>
      <c r="G19" s="347"/>
      <c r="H19" s="1130">
        <f>ROUND($D$3*I19/$E$3,2)</f>
        <v>595.15</v>
      </c>
      <c r="I19" s="340">
        <f t="shared" ref="I19:I26" si="2">IF($I$17="自定义",P19,M19)</f>
        <v>1189.0899999999999</v>
      </c>
      <c r="J19" s="2222"/>
      <c r="K19" s="2801">
        <f t="shared" ref="K19:K26" si="3">ROUND(E$28*E19/E$27,2)</f>
        <v>1189.0899999999999</v>
      </c>
      <c r="L19" s="2484">
        <f t="shared" ref="L19:L26" si="4">ROUND(IF(COUNTIF(C19,"*住宅*")&gt;0,E$29*E19/E$32,0),2)</f>
        <v>0</v>
      </c>
      <c r="M19" s="2819">
        <f>K19+L19</f>
        <v>1189.0899999999999</v>
      </c>
      <c r="N19" s="2817"/>
      <c r="O19" s="2799"/>
      <c r="P19" s="2802">
        <f>N19+O19</f>
        <v>0</v>
      </c>
      <c r="R19" s="2484">
        <f t="shared" ref="R19:S26" si="5">D19+H19</f>
        <v>17597.280000000002</v>
      </c>
      <c r="S19" s="2485">
        <f t="shared" si="5"/>
        <v>35158.910000000003</v>
      </c>
    </row>
    <row r="20" spans="1:19" ht="14.25">
      <c r="A20" s="33"/>
      <c r="B20" s="26" t="s">
        <v>634</v>
      </c>
      <c r="C20" s="1417" t="s">
        <v>3244</v>
      </c>
      <c r="D20" s="337">
        <f t="shared" ref="D20:D26" si="6">ROUND($D$3*E20/$E$3,2)</f>
        <v>4281.46</v>
      </c>
      <c r="E20" s="345">
        <f t="shared" si="1"/>
        <v>8554.24</v>
      </c>
      <c r="F20" s="346">
        <f>'[1]数据-基础表'!K5</f>
        <v>8554.24</v>
      </c>
      <c r="G20" s="347"/>
      <c r="H20" s="1130">
        <f t="shared" ref="H20:H26" si="7">ROUND($D$3*I20/$E$3,2)</f>
        <v>149.87</v>
      </c>
      <c r="I20" s="340">
        <f t="shared" si="2"/>
        <v>299.44</v>
      </c>
      <c r="J20" s="2222"/>
      <c r="K20" s="2801">
        <f t="shared" si="3"/>
        <v>299.44</v>
      </c>
      <c r="L20" s="2484">
        <f t="shared" si="4"/>
        <v>0</v>
      </c>
      <c r="M20" s="2819">
        <f t="shared" ref="M20:M26" si="8">K20+L20</f>
        <v>299.44</v>
      </c>
      <c r="N20" s="2817"/>
      <c r="O20" s="2799"/>
      <c r="P20" s="2802">
        <f t="shared" ref="P20:P26" si="9">N20+O20</f>
        <v>0</v>
      </c>
      <c r="R20" s="2484">
        <f t="shared" si="5"/>
        <v>4431.33</v>
      </c>
      <c r="S20" s="2485">
        <f t="shared" si="5"/>
        <v>8853.68</v>
      </c>
    </row>
    <row r="21" spans="1:19" ht="14.25">
      <c r="A21" s="33"/>
      <c r="B21" s="26" t="s">
        <v>634</v>
      </c>
      <c r="C21" s="1417" t="s">
        <v>3169</v>
      </c>
      <c r="D21" s="337">
        <f t="shared" si="6"/>
        <v>2979.14</v>
      </c>
      <c r="E21" s="345">
        <f t="shared" si="1"/>
        <v>5952.24</v>
      </c>
      <c r="F21" s="346"/>
      <c r="G21" s="347">
        <f>'[1]数据-基础表'!O5</f>
        <v>5952.24</v>
      </c>
      <c r="H21" s="1130">
        <f t="shared" si="7"/>
        <v>104.28</v>
      </c>
      <c r="I21" s="340">
        <f t="shared" si="2"/>
        <v>208.35</v>
      </c>
      <c r="J21" s="2222"/>
      <c r="K21" s="2801">
        <f t="shared" si="3"/>
        <v>208.35</v>
      </c>
      <c r="L21" s="2484">
        <f t="shared" si="4"/>
        <v>0</v>
      </c>
      <c r="M21" s="2819">
        <f t="shared" si="8"/>
        <v>208.35</v>
      </c>
      <c r="N21" s="2817"/>
      <c r="O21" s="2799"/>
      <c r="P21" s="2802">
        <f t="shared" si="9"/>
        <v>0</v>
      </c>
      <c r="R21" s="2484">
        <f t="shared" si="5"/>
        <v>3083.42</v>
      </c>
      <c r="S21" s="2485">
        <f t="shared" si="5"/>
        <v>6160.59</v>
      </c>
    </row>
    <row r="22" spans="1:19" ht="14.25">
      <c r="A22" s="33"/>
      <c r="B22" s="26" t="s">
        <v>634</v>
      </c>
      <c r="C22" s="1417" t="s">
        <v>3245</v>
      </c>
      <c r="D22" s="337">
        <f t="shared" si="6"/>
        <v>1306.93</v>
      </c>
      <c r="E22" s="345">
        <f t="shared" si="1"/>
        <v>2611.2199999999998</v>
      </c>
      <c r="F22" s="350"/>
      <c r="G22" s="351">
        <f>'[1]数据-基础表'!M5</f>
        <v>2611.2199999999998</v>
      </c>
      <c r="H22" s="1130">
        <f t="shared" si="7"/>
        <v>45.75</v>
      </c>
      <c r="I22" s="340">
        <f t="shared" si="2"/>
        <v>91.4</v>
      </c>
      <c r="J22" s="2222"/>
      <c r="K22" s="2801">
        <f t="shared" si="3"/>
        <v>91.4</v>
      </c>
      <c r="L22" s="2484">
        <f t="shared" si="4"/>
        <v>0</v>
      </c>
      <c r="M22" s="2819">
        <f t="shared" si="8"/>
        <v>91.4</v>
      </c>
      <c r="N22" s="2817"/>
      <c r="O22" s="2799"/>
      <c r="P22" s="2802">
        <f t="shared" si="9"/>
        <v>0</v>
      </c>
      <c r="R22" s="2484">
        <f t="shared" si="5"/>
        <v>1352.68</v>
      </c>
      <c r="S22" s="2485">
        <f t="shared" si="5"/>
        <v>2702.62</v>
      </c>
    </row>
    <row r="23" spans="1:19" ht="14.25">
      <c r="A23" s="33"/>
      <c r="B23" s="26" t="s">
        <v>634</v>
      </c>
      <c r="C23" s="349"/>
      <c r="D23" s="337">
        <f>ROUND($D$3*E23/$E$3,2)</f>
        <v>0</v>
      </c>
      <c r="E23" s="345">
        <f>SUM(F23:G23)</f>
        <v>0</v>
      </c>
      <c r="F23" s="350"/>
      <c r="G23" s="351"/>
      <c r="H23" s="1130">
        <f>ROUND($D$3*I23/$E$3,2)</f>
        <v>0</v>
      </c>
      <c r="I23" s="340">
        <f t="shared" si="2"/>
        <v>0</v>
      </c>
      <c r="J23" s="2222"/>
      <c r="K23" s="2801">
        <f t="shared" si="3"/>
        <v>0</v>
      </c>
      <c r="L23" s="2484">
        <f t="shared" si="4"/>
        <v>0</v>
      </c>
      <c r="M23" s="2819">
        <f t="shared" si="8"/>
        <v>0</v>
      </c>
      <c r="N23" s="2817"/>
      <c r="O23" s="2799"/>
      <c r="P23" s="2802">
        <f t="shared" si="9"/>
        <v>0</v>
      </c>
      <c r="R23" s="2484">
        <f t="shared" si="5"/>
        <v>0</v>
      </c>
      <c r="S23" s="2485">
        <f t="shared" si="5"/>
        <v>0</v>
      </c>
    </row>
    <row r="24" spans="1:19" ht="14.25">
      <c r="A24" s="33"/>
      <c r="B24" s="26" t="s">
        <v>634</v>
      </c>
      <c r="C24" s="349"/>
      <c r="D24" s="337">
        <f>ROUND($D$3*E24/$E$3,2)</f>
        <v>0</v>
      </c>
      <c r="E24" s="345">
        <f>SUM(F24:G24)</f>
        <v>0</v>
      </c>
      <c r="F24" s="350"/>
      <c r="G24" s="351"/>
      <c r="H24" s="1130">
        <f>ROUND($D$3*I24/$E$3,2)</f>
        <v>0</v>
      </c>
      <c r="I24" s="340">
        <f t="shared" si="2"/>
        <v>0</v>
      </c>
      <c r="J24" s="2222"/>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634</v>
      </c>
      <c r="C25" s="349"/>
      <c r="D25" s="337">
        <f t="shared" si="6"/>
        <v>0</v>
      </c>
      <c r="E25" s="345">
        <f t="shared" si="1"/>
        <v>0</v>
      </c>
      <c r="F25" s="350"/>
      <c r="G25" s="351"/>
      <c r="H25" s="336">
        <f t="shared" si="7"/>
        <v>0</v>
      </c>
      <c r="I25" s="340">
        <f t="shared" si="2"/>
        <v>0</v>
      </c>
      <c r="J25" s="2222"/>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634</v>
      </c>
      <c r="C26" s="353"/>
      <c r="D26" s="337">
        <f t="shared" si="6"/>
        <v>0</v>
      </c>
      <c r="E26" s="345">
        <f t="shared" si="1"/>
        <v>0</v>
      </c>
      <c r="F26" s="350"/>
      <c r="G26" s="351"/>
      <c r="H26" s="336">
        <f t="shared" si="7"/>
        <v>0</v>
      </c>
      <c r="I26" s="340">
        <f t="shared" si="2"/>
        <v>0</v>
      </c>
      <c r="J26" s="2222"/>
      <c r="K26" s="2810">
        <f t="shared" si="3"/>
        <v>0</v>
      </c>
      <c r="L26" s="2811">
        <f t="shared" si="4"/>
        <v>0</v>
      </c>
      <c r="M26" s="357">
        <f t="shared" si="8"/>
        <v>0</v>
      </c>
      <c r="N26" s="2818"/>
      <c r="O26" s="2812"/>
      <c r="P26" s="2813">
        <f t="shared" si="9"/>
        <v>0</v>
      </c>
      <c r="R26" s="2484">
        <f t="shared" si="5"/>
        <v>0</v>
      </c>
      <c r="S26" s="2485">
        <f t="shared" si="5"/>
        <v>0</v>
      </c>
    </row>
    <row r="27" spans="1:19" ht="43.5" thickBot="1">
      <c r="A27" s="33"/>
      <c r="B27" s="23"/>
      <c r="C27" s="2775" t="s">
        <v>635</v>
      </c>
      <c r="D27" s="2804">
        <f>SUM(D19:D26)</f>
        <v>25569.66</v>
      </c>
      <c r="E27" s="2805">
        <f>IF(SUM(E19:E26)='数据-基础表'!BA5,SUM(E19:E26),IF(F27="地上面积有误","面积有误","地下面积有误"))</f>
        <v>51087.520000000004</v>
      </c>
      <c r="F27" s="2804">
        <f>IF(SUM(F19:F26)=E8,SUM(F19:F26),"地上面积有误")</f>
        <v>42524.060000000005</v>
      </c>
      <c r="G27" s="2806">
        <f>SUM(G19:G26)</f>
        <v>8563.4599999999991</v>
      </c>
      <c r="H27" s="2807">
        <f>SUM(H19:H26)</f>
        <v>895.05</v>
      </c>
      <c r="I27" s="2808">
        <f>SUM(I19:I26)</f>
        <v>1788.28</v>
      </c>
      <c r="J27" s="2222"/>
      <c r="K27" s="2814">
        <f>SUM(K19:K26)</f>
        <v>1788.28</v>
      </c>
      <c r="L27" s="2815">
        <f>SUM(L19:L26)</f>
        <v>0</v>
      </c>
      <c r="M27" s="2820">
        <f>SUM(M19:M26)</f>
        <v>1788.28</v>
      </c>
      <c r="N27" s="2814">
        <f t="shared" ref="N27:O27" si="10">SUM(N19:N26)</f>
        <v>0</v>
      </c>
      <c r="O27" s="2815">
        <f t="shared" si="10"/>
        <v>0</v>
      </c>
      <c r="P27" s="2816">
        <f>SUM(P19:P26)</f>
        <v>0</v>
      </c>
      <c r="R27" s="2486" t="str">
        <f>IF(SUM(R19:R26)=$D$3,SUM(R19:R26),SUM(R19:R26)&amp;"误差"&amp;ROUND(SUM(R19:R26)-$D$3,2))</f>
        <v>26464.71误差-1061.57</v>
      </c>
      <c r="S27" s="2484" t="str">
        <f>IF(SUM(S19:S26)=$E$3,SUM(S19:S26),SUM(S19:S26)&amp;"误差"&amp;ROUND(SUM(S19:S26)-E3,2))</f>
        <v>52875.8误差-2121</v>
      </c>
    </row>
    <row r="28" spans="1:19" ht="14.25">
      <c r="A28" s="33"/>
      <c r="B28" s="26" t="s">
        <v>636</v>
      </c>
      <c r="C28" s="5" t="s">
        <v>637</v>
      </c>
      <c r="D28" s="337">
        <f>ROUND($D$3*E28/$E$3,2)</f>
        <v>895.05</v>
      </c>
      <c r="E28" s="345">
        <f>SUM(F28:G28)</f>
        <v>1788.29</v>
      </c>
      <c r="F28" s="354">
        <f>'数据-基础表'!BQ5+'数据-基础表'!BS5</f>
        <v>1701.29</v>
      </c>
      <c r="G28" s="355">
        <f>'数据-基础表'!BR5+'数据-基础表'!BT5</f>
        <v>87</v>
      </c>
      <c r="H28" s="2222"/>
      <c r="I28" s="2222"/>
      <c r="J28" s="2222"/>
      <c r="K28" s="2222"/>
      <c r="L28" s="2222"/>
      <c r="M28" s="2222"/>
      <c r="N28" s="2803"/>
      <c r="O28" s="2803"/>
      <c r="P28" s="2222"/>
    </row>
    <row r="29" spans="1:19" ht="14.25">
      <c r="A29" s="33"/>
      <c r="B29" s="26" t="s">
        <v>636</v>
      </c>
      <c r="C29" s="13" t="s">
        <v>2389</v>
      </c>
      <c r="D29" s="337">
        <f>ROUND($D$3*E29/$E$3,2)</f>
        <v>1061.57</v>
      </c>
      <c r="E29" s="345">
        <f>SUM(F29:G29)</f>
        <v>2120.9899999999998</v>
      </c>
      <c r="F29" s="356">
        <f>'数据-基础表'!BM5+'数据-基础表'!BO5</f>
        <v>150</v>
      </c>
      <c r="G29" s="357">
        <f>'数据-基础表'!BN5+'数据-基础表'!BP5</f>
        <v>1970.99</v>
      </c>
      <c r="H29" s="2222"/>
      <c r="I29" s="2222"/>
      <c r="J29" s="2222"/>
      <c r="K29" s="2222"/>
      <c r="L29" s="2222"/>
      <c r="M29" s="2222"/>
      <c r="N29" s="2803"/>
      <c r="O29" s="2803"/>
      <c r="P29" s="2222"/>
    </row>
    <row r="30" spans="1:19" ht="15">
      <c r="A30" s="33"/>
      <c r="B30" s="26"/>
      <c r="C30" s="2809" t="s">
        <v>635</v>
      </c>
      <c r="D30" s="2804">
        <f>SUM(D28:D29)</f>
        <v>1956.62</v>
      </c>
      <c r="E30" s="2804">
        <f>SUM(E28:E29)</f>
        <v>3909.2799999999997</v>
      </c>
      <c r="F30" s="2804">
        <f>SUM(F28:F29)</f>
        <v>1851.29</v>
      </c>
      <c r="G30" s="2806">
        <f>SUM(G28:G29)</f>
        <v>2057.9899999999998</v>
      </c>
      <c r="H30" s="2222"/>
      <c r="I30" s="2222"/>
      <c r="J30" s="2222"/>
      <c r="K30" s="2222"/>
      <c r="L30" s="2222"/>
      <c r="M30" s="2222"/>
      <c r="N30" s="2803"/>
      <c r="O30" s="2803"/>
      <c r="P30" s="2222"/>
    </row>
    <row r="31" spans="1:19" ht="15.75" thickBot="1">
      <c r="A31" s="1185"/>
      <c r="B31" s="2523"/>
      <c r="C31" s="2524" t="s">
        <v>638</v>
      </c>
      <c r="D31" s="1186">
        <f>D27+D30</f>
        <v>27526.28</v>
      </c>
      <c r="E31" s="1186">
        <f>E27+E30</f>
        <v>54996.800000000003</v>
      </c>
      <c r="F31" s="1187">
        <f>F27+F30</f>
        <v>44375.350000000006</v>
      </c>
      <c r="G31" s="1188">
        <f>G27+G30</f>
        <v>10621.449999999999</v>
      </c>
      <c r="H31" s="2222"/>
      <c r="I31" s="2222"/>
      <c r="J31" s="2222"/>
      <c r="K31" s="2222"/>
      <c r="L31" s="2222"/>
      <c r="M31" s="2222"/>
      <c r="N31" s="2222"/>
      <c r="O31" s="2222"/>
      <c r="P31" s="2222"/>
    </row>
    <row r="32" spans="1:19" ht="14.25">
      <c r="A32" s="1179"/>
      <c r="B32" s="1179" t="s">
        <v>2701</v>
      </c>
      <c r="C32" s="1179"/>
      <c r="D32" s="1179"/>
      <c r="E32" s="2522">
        <f>SUMIF(C19:C26,"*住宅*",E19:E26)</f>
        <v>0</v>
      </c>
      <c r="F32" s="1179"/>
      <c r="G32" s="1179"/>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N18" sqref="AN18"/>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3" width="7.25" style="1191" customWidth="1"/>
    <col min="34" max="34" width="10" style="1191" customWidth="1"/>
    <col min="35" max="39" width="8" style="1191" customWidth="1"/>
    <col min="40" max="40" width="13.75" style="2235"/>
    <col min="41" max="41" width="11.625" style="2235" customWidth="1"/>
    <col min="42" max="42" width="9.75" style="2235" customWidth="1"/>
    <col min="43" max="67" width="13.75" style="2235"/>
    <col min="68" max="16384" width="13.75" style="1191"/>
  </cols>
  <sheetData>
    <row r="1" spans="1:67" ht="19.5" thickBot="1">
      <c r="A1" s="44" t="s">
        <v>669</v>
      </c>
      <c r="B1" s="1190"/>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3" customFormat="1" ht="15" thickBot="1">
      <c r="A2" s="45" t="s">
        <v>670</v>
      </c>
      <c r="B2" s="2513">
        <f>项目基本情况!D3</f>
        <v>42975</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3" customFormat="1" ht="14.25" thickBot="1">
      <c r="A3" s="1194"/>
      <c r="B3" s="1192"/>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3" customFormat="1" ht="14.25" thickBot="1">
      <c r="A4" s="46" t="s">
        <v>671</v>
      </c>
      <c r="B4" s="275"/>
      <c r="C4" s="276"/>
      <c r="D4" s="1195"/>
      <c r="E4" s="276" t="s">
        <v>534</v>
      </c>
      <c r="F4" s="276"/>
      <c r="G4" s="276"/>
      <c r="H4" s="276"/>
      <c r="I4" s="276"/>
      <c r="J4" s="277"/>
      <c r="K4" s="1196"/>
      <c r="L4" s="1197"/>
      <c r="M4" s="276"/>
      <c r="N4" s="276" t="s">
        <v>535</v>
      </c>
      <c r="O4" s="276"/>
      <c r="P4" s="276"/>
      <c r="Q4" s="276"/>
      <c r="R4" s="276"/>
      <c r="S4" s="277"/>
      <c r="T4" s="1198"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0" customFormat="1" ht="40.5">
      <c r="A5" s="47" t="s">
        <v>2391</v>
      </c>
      <c r="B5" s="48" t="s">
        <v>675</v>
      </c>
      <c r="C5" s="49" t="s">
        <v>676</v>
      </c>
      <c r="D5" s="50" t="s">
        <v>677</v>
      </c>
      <c r="E5" s="51" t="s">
        <v>678</v>
      </c>
      <c r="F5" s="52" t="s">
        <v>679</v>
      </c>
      <c r="G5" s="51" t="s">
        <v>680</v>
      </c>
      <c r="H5" s="51" t="s">
        <v>681</v>
      </c>
      <c r="I5" s="51" t="s">
        <v>682</v>
      </c>
      <c r="J5" s="53" t="s">
        <v>683</v>
      </c>
      <c r="K5" s="54" t="s">
        <v>684</v>
      </c>
      <c r="L5" s="55" t="s">
        <v>685</v>
      </c>
      <c r="M5" s="56" t="s">
        <v>686</v>
      </c>
      <c r="N5" s="1199" t="s">
        <v>3246</v>
      </c>
      <c r="O5" s="55" t="s">
        <v>687</v>
      </c>
      <c r="P5" s="57" t="s">
        <v>688</v>
      </c>
      <c r="Q5" s="58" t="s">
        <v>689</v>
      </c>
      <c r="R5" s="273" t="s">
        <v>690</v>
      </c>
      <c r="S5" s="59" t="s">
        <v>2681</v>
      </c>
      <c r="T5" s="274" t="s">
        <v>691</v>
      </c>
      <c r="U5" s="2514" t="s">
        <v>2397</v>
      </c>
      <c r="V5" s="51" t="s">
        <v>692</v>
      </c>
      <c r="W5" s="2515" t="s">
        <v>2398</v>
      </c>
      <c r="X5" s="62"/>
      <c r="Y5" s="60" t="s">
        <v>693</v>
      </c>
      <c r="Z5" s="61" t="s">
        <v>694</v>
      </c>
      <c r="AA5" s="51" t="s">
        <v>692</v>
      </c>
      <c r="AB5" s="2515" t="s">
        <v>2398</v>
      </c>
      <c r="AC5" s="62"/>
      <c r="AD5" s="62" t="s">
        <v>693</v>
      </c>
      <c r="AE5" s="14" t="s">
        <v>536</v>
      </c>
      <c r="AF5" s="51" t="s">
        <v>695</v>
      </c>
      <c r="AG5" s="60" t="s">
        <v>696</v>
      </c>
      <c r="AH5" s="14" t="s">
        <v>2402</v>
      </c>
      <c r="AI5" s="61" t="s">
        <v>2319</v>
      </c>
      <c r="AJ5" s="61" t="s">
        <v>697</v>
      </c>
      <c r="AK5" s="2515" t="s">
        <v>2399</v>
      </c>
      <c r="AL5" s="2515" t="s">
        <v>2400</v>
      </c>
      <c r="AM5" s="360" t="s">
        <v>2401</v>
      </c>
      <c r="AN5" s="2572" t="s">
        <v>2441</v>
      </c>
      <c r="AO5" s="2009" t="s">
        <v>2673</v>
      </c>
      <c r="AP5" s="2888" t="s">
        <v>2682</v>
      </c>
      <c r="AQ5" s="2889" t="s">
        <v>2792</v>
      </c>
      <c r="AR5" s="2889" t="s">
        <v>2793</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3" customFormat="1" ht="14.25">
      <c r="A6" s="2512" t="str">
        <f>'数据-汇总表'!C19</f>
        <v>洋房</v>
      </c>
      <c r="B6" s="2490" t="str">
        <f>IF(A6=0,"","经营性")</f>
        <v>经营性</v>
      </c>
      <c r="C6" s="39" t="s">
        <v>40</v>
      </c>
      <c r="D6" s="2053">
        <f>SUMIF(项目基本情况!D$12:I$12,C6,项目基本情况!D$14:I$14)</f>
        <v>70</v>
      </c>
      <c r="E6" s="2047">
        <f>IF(B6="","",SUMIF(项目基本情况!D$12:I$12,C6,项目基本情况!D$13:I$13))</f>
        <v>67515</v>
      </c>
      <c r="F6" s="362">
        <f>SUMIF(项目基本情况!D$12:I$12,C6,项目基本情况!D$15:I$15)</f>
        <v>67.23</v>
      </c>
      <c r="G6" s="363">
        <f>IF(ISERROR(ROUND(POWER(1+H6,D6-F6)*(POWER(1+H6,F6)-1)/(POWER(1+H6,D6)-1),3)),0,ROUND(POWER(1+H6,D6-F6)*(POWER(1+H6,F6)-1)/(POWER(1+H6,D6)-1),3))</f>
        <v>0.99399999999999999</v>
      </c>
      <c r="H6" s="1472">
        <v>4.4999999999999998E-2</v>
      </c>
      <c r="I6" s="1472">
        <v>0.05</v>
      </c>
      <c r="J6" s="364">
        <v>0.08</v>
      </c>
      <c r="K6" s="2493">
        <f>SUMIF('数据-汇总表'!C$19:C$33,A6,'数据-汇总表'!E$19:E$33)</f>
        <v>33969.820000000007</v>
      </c>
      <c r="L6" s="1473">
        <v>2700</v>
      </c>
      <c r="M6" s="365">
        <f t="shared" ref="M6:M14" si="0">ROUND(K6*L6/10000,0)</f>
        <v>9172</v>
      </c>
      <c r="N6" s="1471">
        <f>面积表!Y9</f>
        <v>0.65</v>
      </c>
      <c r="O6" s="365">
        <f>IF($N$5="成新度","——",ROUND(M6*N6,0))</f>
        <v>5962</v>
      </c>
      <c r="P6" s="366">
        <f>IF($N$5="成新度","——",M6-O6)</f>
        <v>3210</v>
      </c>
      <c r="Q6" s="1474">
        <v>0.2</v>
      </c>
      <c r="R6" s="367">
        <f ca="1">SUMIF('数据-汇总表'!C$19:C$33,A6,'数据-汇总表'!R$19:R$27)</f>
        <v>17597.280000000002</v>
      </c>
      <c r="S6" s="343">
        <f>IF('数据-汇总表'!$I$17="按面积比例",SUMIF('数据-汇总表'!C$19:C$33,A6,'数据-汇总表'!K$19:K$33),SUMIF('数据-汇总表'!C$19:C$33,A6,'数据-汇总表'!N$19:N$33))</f>
        <v>1189.0899999999999</v>
      </c>
      <c r="T6" s="2887">
        <f>ROUND($L$14*S6/10000,0)</f>
        <v>273</v>
      </c>
      <c r="U6" s="368"/>
      <c r="V6" s="369"/>
      <c r="W6" s="369"/>
      <c r="X6" s="2503"/>
      <c r="Y6" s="370"/>
      <c r="Z6" s="371"/>
      <c r="AA6" s="364"/>
      <c r="AB6" s="364"/>
      <c r="AC6" s="2503"/>
      <c r="AD6" s="372"/>
      <c r="AE6" s="2504">
        <f ca="1">IF(AN6="",0,SUMIF(INDIRECT("'"&amp;AN6&amp;"'"&amp;"!E:E"),$AE$5,INDIRECT("'"&amp;AN6&amp;"'"&amp;"!F:F")))</f>
        <v>0</v>
      </c>
      <c r="AF6" s="352"/>
      <c r="AG6" s="478">
        <f>IF(AF6="",0,AE6-AF6)</f>
        <v>0</v>
      </c>
      <c r="AH6" s="373"/>
      <c r="AI6" s="375"/>
      <c r="AJ6" s="376"/>
      <c r="AK6" s="377"/>
      <c r="AL6" s="378"/>
      <c r="AM6" s="379"/>
      <c r="AN6" s="2573"/>
      <c r="AO6" s="344" t="e">
        <f ca="1">SUMIF(INDIRECT("'"&amp;AN6&amp;"'"&amp;"!A:A"),"总价",INDIRECT("'"&amp;AN6&amp;"'"&amp;"!B:B"))</f>
        <v>#REF!</v>
      </c>
      <c r="AP6" s="2890">
        <f>IF(C6="住宅",K6*L6,0)</f>
        <v>91718514.000000015</v>
      </c>
      <c r="AQ6" s="344">
        <f>ROUND($L$14*$N$14*S6/10000,0)</f>
        <v>109</v>
      </c>
      <c r="AR6" s="344">
        <f>ROUND($L$14*(1-$N$14)*S6/10000,0)</f>
        <v>164</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3" customFormat="1" ht="14.25">
      <c r="A7" s="2512" t="str">
        <f>'数据-汇总表'!C20</f>
        <v>联排别墅</v>
      </c>
      <c r="B7" s="2490" t="str">
        <f t="shared" ref="B7:B13" si="1">IF(A7=0,"","经营性")</f>
        <v>经营性</v>
      </c>
      <c r="C7" s="39" t="s">
        <v>40</v>
      </c>
      <c r="D7" s="2053">
        <f>SUMIF(项目基本情况!D$12:I$12,C7,项目基本情况!D$14:I$14)</f>
        <v>70</v>
      </c>
      <c r="E7" s="2047">
        <f>IF(B7="","",SUMIF(项目基本情况!D$12:I$12,C7,项目基本情况!D$13:I$13))</f>
        <v>67515</v>
      </c>
      <c r="F7" s="362">
        <f>SUMIF(项目基本情况!D$12:I$12,C7,项目基本情况!D$15:I$15)</f>
        <v>67.23</v>
      </c>
      <c r="G7" s="363">
        <f t="shared" ref="G7:G11" si="2">IF(ISERROR(ROUND(POWER(1+H7,D7-F7)*(POWER(1+H7,F7)-1)/(POWER(1+H7,D7)-1),3)),0,ROUND(POWER(1+H7,D7-F7)*(POWER(1+H7,F7)-1)/(POWER(1+H7,D7)-1),3))</f>
        <v>0.99399999999999999</v>
      </c>
      <c r="H7" s="1472">
        <v>4.4999999999999998E-2</v>
      </c>
      <c r="I7" s="1472">
        <v>0.05</v>
      </c>
      <c r="J7" s="364">
        <v>0.08</v>
      </c>
      <c r="K7" s="2493">
        <f>SUMIF('数据-汇总表'!C$19:C$33,A7,'数据-汇总表'!E$19:E$33)</f>
        <v>8554.24</v>
      </c>
      <c r="L7" s="1473">
        <v>2700</v>
      </c>
      <c r="M7" s="365">
        <f t="shared" si="0"/>
        <v>2310</v>
      </c>
      <c r="N7" s="1471">
        <f>面积表!Y10</f>
        <v>0.4</v>
      </c>
      <c r="O7" s="365">
        <f t="shared" ref="O7:O14" si="3">IF($N$5="成新度","——",ROUND(M7*N7,0))</f>
        <v>924</v>
      </c>
      <c r="P7" s="366">
        <f t="shared" ref="P7:P14" si="4">IF($N$5="成新度","——",M7-O7)</f>
        <v>1386</v>
      </c>
      <c r="Q7" s="1474">
        <v>0.25</v>
      </c>
      <c r="R7" s="367">
        <f ca="1">SUMIF('数据-汇总表'!C$19:C$33,A7,'数据-汇总表'!R$19:R$27)</f>
        <v>4431.33</v>
      </c>
      <c r="S7" s="343">
        <f>IF('数据-汇总表'!$I$17="按面积比例",SUMIF('数据-汇总表'!C$19:C$33,A7,'数据-汇总表'!K$19:K$33),SUMIF('数据-汇总表'!C$19:C$33,A7,'数据-汇总表'!N$19:N$33))</f>
        <v>299.44</v>
      </c>
      <c r="T7" s="2887">
        <f t="shared" ref="T7:T13" si="5">ROUND($L$14*S7/10000,0)</f>
        <v>69</v>
      </c>
      <c r="U7" s="368"/>
      <c r="V7" s="369"/>
      <c r="W7" s="369"/>
      <c r="X7" s="2503"/>
      <c r="Y7" s="370"/>
      <c r="Z7" s="371"/>
      <c r="AA7" s="364"/>
      <c r="AB7" s="364"/>
      <c r="AC7" s="2503"/>
      <c r="AD7" s="372"/>
      <c r="AE7" s="2504">
        <f t="shared" ref="AE7:AE13" ca="1" si="6">IF(AN7="",0,SUMIF(INDIRECT("'"&amp;AN7&amp;"'"&amp;"!E:E"),$AE$5,INDIRECT("'"&amp;AN7&amp;"'"&amp;"!F:F")))</f>
        <v>0</v>
      </c>
      <c r="AF7" s="352"/>
      <c r="AG7" s="478">
        <f t="shared" ref="AG7:AG13" si="7">IF(AF7="",0,AE7-AF7)</f>
        <v>0</v>
      </c>
      <c r="AH7" s="373"/>
      <c r="AI7" s="375"/>
      <c r="AJ7" s="376"/>
      <c r="AK7" s="377"/>
      <c r="AL7" s="378"/>
      <c r="AM7" s="379"/>
      <c r="AN7" s="2573"/>
      <c r="AO7" s="344" t="e">
        <f t="shared" ref="AO7:AO13" ca="1" si="8">SUMIF(INDIRECT("'"&amp;AN7&amp;"'"&amp;"!A:A"),"总价",INDIRECT("'"&amp;AN7&amp;"'"&amp;"!B:B"))</f>
        <v>#REF!</v>
      </c>
      <c r="AP7" s="2890">
        <f t="shared" ref="AP7:AP13" si="9">IF(C7="住宅",K7*L7,0)</f>
        <v>23096448</v>
      </c>
      <c r="AQ7" s="344">
        <f t="shared" ref="AQ7:AQ13" si="10">ROUND($L$14*$N$14*S7/10000,0)</f>
        <v>28</v>
      </c>
      <c r="AR7" s="344">
        <f t="shared" ref="AR7:AR13" si="11">ROUND($L$14*(1-$N$14)*S7/10000,0)</f>
        <v>41</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3" customFormat="1" ht="14.25">
      <c r="A8" s="2512" t="str">
        <f>'数据-汇总表'!C21</f>
        <v>地下车库</v>
      </c>
      <c r="B8" s="2490" t="str">
        <f t="shared" si="1"/>
        <v>经营性</v>
      </c>
      <c r="C8" s="39" t="s">
        <v>3108</v>
      </c>
      <c r="D8" s="2053">
        <f>SUMIF(项目基本情况!D$12:I$12,C8,项目基本情况!D$14:I$14)</f>
        <v>50</v>
      </c>
      <c r="E8" s="2047">
        <f>IF(B8="","",SUMIF(项目基本情况!D$12:I$12,C8,项目基本情况!D$13:I$13))</f>
        <v>60210</v>
      </c>
      <c r="F8" s="362">
        <f>SUMIF(项目基本情况!D$12:I$12,C8,项目基本情况!D$15:I$15)</f>
        <v>47.21</v>
      </c>
      <c r="G8" s="363">
        <f t="shared" si="2"/>
        <v>0.98599999999999999</v>
      </c>
      <c r="H8" s="1472">
        <v>0.05</v>
      </c>
      <c r="I8" s="1472">
        <v>5.5E-2</v>
      </c>
      <c r="J8" s="364">
        <v>0.08</v>
      </c>
      <c r="K8" s="2493">
        <f>SUMIF('数据-汇总表'!C$19:C$33,A8,'数据-汇总表'!E$19:E$33)</f>
        <v>5952.24</v>
      </c>
      <c r="L8" s="1473">
        <v>2300</v>
      </c>
      <c r="M8" s="365">
        <f>ROUND(K8*L8/10000,0)</f>
        <v>1369</v>
      </c>
      <c r="N8" s="1471">
        <f>面积表!Y11</f>
        <v>0.6</v>
      </c>
      <c r="O8" s="365">
        <f t="shared" si="3"/>
        <v>821</v>
      </c>
      <c r="P8" s="366">
        <f t="shared" si="4"/>
        <v>548</v>
      </c>
      <c r="Q8" s="1474">
        <v>0.05</v>
      </c>
      <c r="R8" s="367">
        <f ca="1">SUMIF('数据-汇总表'!C$19:C$33,A8,'数据-汇总表'!R$19:R$27)</f>
        <v>3083.42</v>
      </c>
      <c r="S8" s="343">
        <f>IF('数据-汇总表'!$I$17="按面积比例",SUMIF('数据-汇总表'!C$19:C$33,A8,'数据-汇总表'!K$19:K$33),SUMIF('数据-汇总表'!C$19:C$33,A8,'数据-汇总表'!N$19:N$33))</f>
        <v>208.35</v>
      </c>
      <c r="T8" s="2887">
        <f t="shared" si="5"/>
        <v>48</v>
      </c>
      <c r="U8" s="1475">
        <v>900</v>
      </c>
      <c r="V8" s="1476">
        <v>2.5000000000000001E-2</v>
      </c>
      <c r="W8" s="1476">
        <v>0.1</v>
      </c>
      <c r="X8" s="2503"/>
      <c r="Y8" s="1477">
        <v>1</v>
      </c>
      <c r="Z8" s="371"/>
      <c r="AA8" s="364"/>
      <c r="AB8" s="364"/>
      <c r="AC8" s="2503"/>
      <c r="AD8" s="372"/>
      <c r="AE8" s="2504">
        <f t="shared" ca="1" si="6"/>
        <v>47.21</v>
      </c>
      <c r="AF8" s="352"/>
      <c r="AG8" s="478">
        <f t="shared" si="7"/>
        <v>0</v>
      </c>
      <c r="AH8" s="1478">
        <v>170</v>
      </c>
      <c r="AI8" s="375">
        <v>12</v>
      </c>
      <c r="AJ8" s="376"/>
      <c r="AK8" s="1479">
        <v>1.4999999999999999E-2</v>
      </c>
      <c r="AL8" s="1480">
        <v>1.5E-3</v>
      </c>
      <c r="AM8" s="1481">
        <v>0.01</v>
      </c>
      <c r="AN8" s="2573" t="s">
        <v>3372</v>
      </c>
      <c r="AO8" s="344">
        <f t="shared" ca="1" si="8"/>
        <v>2628</v>
      </c>
      <c r="AP8" s="2890">
        <f t="shared" si="9"/>
        <v>0</v>
      </c>
      <c r="AQ8" s="344">
        <f t="shared" si="10"/>
        <v>19</v>
      </c>
      <c r="AR8" s="344">
        <f t="shared" si="11"/>
        <v>29</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3" customFormat="1" ht="14.25">
      <c r="A9" s="2512" t="str">
        <f>'数据-汇总表'!C22</f>
        <v>仓储</v>
      </c>
      <c r="B9" s="2490" t="str">
        <f t="shared" si="1"/>
        <v>经营性</v>
      </c>
      <c r="C9" s="39" t="s">
        <v>3106</v>
      </c>
      <c r="D9" s="2053">
        <f>SUMIF(项目基本情况!D$12:I$12,C9,项目基本情况!D$14:I$14)</f>
        <v>50</v>
      </c>
      <c r="E9" s="2047">
        <f>IF(B9="","",SUMIF(项目基本情况!D$12:I$12,C9,项目基本情况!D$13:I$13))</f>
        <v>60210</v>
      </c>
      <c r="F9" s="362">
        <f>SUMIF(项目基本情况!D$12:I$12,C9,项目基本情况!D$15:I$15)</f>
        <v>47.21</v>
      </c>
      <c r="G9" s="363">
        <f t="shared" si="2"/>
        <v>0.98599999999999999</v>
      </c>
      <c r="H9" s="1472">
        <v>0.05</v>
      </c>
      <c r="I9" s="1472">
        <v>5.5E-2</v>
      </c>
      <c r="J9" s="364">
        <v>0.08</v>
      </c>
      <c r="K9" s="2493">
        <f>SUMIF('数据-汇总表'!C$19:C$33,A9,'数据-汇总表'!E$19:E$33)</f>
        <v>2611.2199999999998</v>
      </c>
      <c r="L9" s="1473">
        <v>2300</v>
      </c>
      <c r="M9" s="365">
        <f t="shared" si="0"/>
        <v>601</v>
      </c>
      <c r="N9" s="1471">
        <f>面积表!Y12</f>
        <v>0.6</v>
      </c>
      <c r="O9" s="365">
        <f t="shared" si="3"/>
        <v>361</v>
      </c>
      <c r="P9" s="366">
        <f t="shared" si="4"/>
        <v>240</v>
      </c>
      <c r="Q9" s="380">
        <v>0.05</v>
      </c>
      <c r="R9" s="367">
        <f ca="1">SUMIF('数据-汇总表'!C$19:C$33,A9,'数据-汇总表'!R$19:R$27)</f>
        <v>1352.68</v>
      </c>
      <c r="S9" s="343">
        <f>IF('数据-汇总表'!$I$17="按面积比例",SUMIF('数据-汇总表'!C$19:C$33,A9,'数据-汇总表'!K$19:K$33),SUMIF('数据-汇总表'!C$19:C$33,A9,'数据-汇总表'!N$19:N$33))</f>
        <v>91.4</v>
      </c>
      <c r="T9" s="2887">
        <f t="shared" si="5"/>
        <v>21</v>
      </c>
      <c r="U9" s="368">
        <v>1.2</v>
      </c>
      <c r="V9" s="1476">
        <v>2.5000000000000001E-2</v>
      </c>
      <c r="W9" s="1476">
        <v>0.1</v>
      </c>
      <c r="X9" s="2503"/>
      <c r="Y9" s="1477">
        <v>1</v>
      </c>
      <c r="Z9" s="371"/>
      <c r="AA9" s="364"/>
      <c r="AB9" s="364"/>
      <c r="AC9" s="2503"/>
      <c r="AD9" s="372"/>
      <c r="AE9" s="2504">
        <f t="shared" ca="1" si="6"/>
        <v>47.21</v>
      </c>
      <c r="AF9" s="352"/>
      <c r="AG9" s="478">
        <f t="shared" si="7"/>
        <v>0</v>
      </c>
      <c r="AH9" s="3410">
        <f>K9</f>
        <v>2611.2199999999998</v>
      </c>
      <c r="AI9" s="375">
        <v>365</v>
      </c>
      <c r="AJ9" s="376"/>
      <c r="AK9" s="1479">
        <v>1.4999999999999999E-2</v>
      </c>
      <c r="AL9" s="1480">
        <v>1.5E-3</v>
      </c>
      <c r="AM9" s="1481">
        <v>0.01</v>
      </c>
      <c r="AN9" s="2573" t="s">
        <v>3374</v>
      </c>
      <c r="AO9" s="344">
        <f t="shared" ca="1" si="8"/>
        <v>1860</v>
      </c>
      <c r="AP9" s="2890">
        <f t="shared" si="9"/>
        <v>0</v>
      </c>
      <c r="AQ9" s="344">
        <f t="shared" si="10"/>
        <v>8</v>
      </c>
      <c r="AR9" s="344">
        <f t="shared" si="11"/>
        <v>13</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3" customFormat="1" ht="14.25">
      <c r="A10" s="2512">
        <f>'数据-汇总表'!C23</f>
        <v>0</v>
      </c>
      <c r="B10" s="2490" t="str">
        <f t="shared" si="1"/>
        <v/>
      </c>
      <c r="C10" s="39"/>
      <c r="D10" s="2053">
        <f>SUMIF(项目基本情况!D$12:I$12,C10,项目基本情况!D$14:I$14)</f>
        <v>0</v>
      </c>
      <c r="E10" s="2047"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3"/>
      <c r="M10" s="365">
        <f t="shared" si="0"/>
        <v>0</v>
      </c>
      <c r="N10" s="1471"/>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7">
        <f t="shared" si="5"/>
        <v>0</v>
      </c>
      <c r="U10" s="368"/>
      <c r="V10" s="369"/>
      <c r="W10" s="369"/>
      <c r="X10" s="2503"/>
      <c r="Y10" s="370"/>
      <c r="Z10" s="371"/>
      <c r="AA10" s="364"/>
      <c r="AB10" s="364"/>
      <c r="AC10" s="2503"/>
      <c r="AD10" s="372"/>
      <c r="AE10" s="2504">
        <f t="shared" ca="1" si="6"/>
        <v>0</v>
      </c>
      <c r="AF10" s="352"/>
      <c r="AG10" s="478">
        <f t="shared" si="7"/>
        <v>0</v>
      </c>
      <c r="AH10" s="373"/>
      <c r="AI10" s="375"/>
      <c r="AJ10" s="376"/>
      <c r="AK10" s="377"/>
      <c r="AL10" s="378"/>
      <c r="AM10" s="379"/>
      <c r="AN10" s="2573"/>
      <c r="AO10" s="344" t="e">
        <f t="shared" ca="1" si="8"/>
        <v>#REF!</v>
      </c>
      <c r="AP10" s="2890">
        <f t="shared" si="9"/>
        <v>0</v>
      </c>
      <c r="AQ10" s="344">
        <f t="shared" si="10"/>
        <v>0</v>
      </c>
      <c r="AR10" s="344">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3" customFormat="1" ht="14.25">
      <c r="A11" s="2512">
        <f>'数据-汇总表'!C24</f>
        <v>0</v>
      </c>
      <c r="B11" s="2490"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0">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3" customFormat="1" ht="14.25">
      <c r="A12" s="2512">
        <f>'数据-汇总表'!C25</f>
        <v>0</v>
      </c>
      <c r="B12" s="2490"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0">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3" customFormat="1" ht="14.25">
      <c r="A13" s="2512">
        <f>'数据-汇总表'!C26</f>
        <v>0</v>
      </c>
      <c r="B13" s="2490"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0">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3" customFormat="1" ht="14.25">
      <c r="A14" s="2487" t="s">
        <v>533</v>
      </c>
      <c r="B14" s="2490" t="s">
        <v>532</v>
      </c>
      <c r="C14" s="2491" t="s">
        <v>533</v>
      </c>
      <c r="D14" s="2053"/>
      <c r="E14" s="2047"/>
      <c r="F14" s="362"/>
      <c r="G14" s="363"/>
      <c r="H14" s="2492"/>
      <c r="I14" s="2492"/>
      <c r="J14" s="2492"/>
      <c r="K14" s="2493">
        <f>SUMIF('数据-汇总表'!C$19:C$33,A14,'数据-汇总表'!E$19:E$33)</f>
        <v>1788.29</v>
      </c>
      <c r="L14" s="381">
        <f>L9</f>
        <v>2300</v>
      </c>
      <c r="M14" s="365">
        <f t="shared" si="0"/>
        <v>411</v>
      </c>
      <c r="N14" s="382">
        <f>面积表!W18</f>
        <v>0.4</v>
      </c>
      <c r="O14" s="365">
        <f t="shared" si="3"/>
        <v>164</v>
      </c>
      <c r="P14" s="366">
        <f t="shared" si="4"/>
        <v>247</v>
      </c>
      <c r="Q14" s="2496"/>
      <c r="R14" s="367"/>
      <c r="S14" s="343"/>
      <c r="T14" s="2887"/>
      <c r="U14" s="1130"/>
      <c r="V14" s="2498"/>
      <c r="W14" s="2498"/>
      <c r="X14" s="2499"/>
      <c r="Y14" s="2500"/>
      <c r="Z14" s="2501"/>
      <c r="AA14" s="2502"/>
      <c r="AB14" s="2502"/>
      <c r="AC14" s="2503"/>
      <c r="AD14" s="2499"/>
      <c r="AE14" s="2504"/>
      <c r="AF14" s="344"/>
      <c r="AG14" s="478"/>
      <c r="AH14" s="2504"/>
      <c r="AI14" s="2508"/>
      <c r="AJ14" s="1319"/>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3" customFormat="1" ht="27">
      <c r="A15" s="2487" t="s">
        <v>2390</v>
      </c>
      <c r="B15" s="2490" t="s">
        <v>532</v>
      </c>
      <c r="C15" s="2491" t="s">
        <v>2094</v>
      </c>
      <c r="D15" s="2053"/>
      <c r="E15" s="2047"/>
      <c r="F15" s="362"/>
      <c r="G15" s="363"/>
      <c r="H15" s="2492"/>
      <c r="I15" s="2492"/>
      <c r="J15" s="2492"/>
      <c r="K15" s="2493">
        <f>SUMIF('数据-汇总表'!C$19:C$33,A15,'数据-汇总表'!E$19:E$33)</f>
        <v>2120.9899999999998</v>
      </c>
      <c r="L15" s="2494"/>
      <c r="M15" s="365"/>
      <c r="N15" s="2495"/>
      <c r="O15" s="365"/>
      <c r="P15" s="366"/>
      <c r="Q15" s="2496"/>
      <c r="R15" s="367"/>
      <c r="S15" s="343"/>
      <c r="T15" s="2887"/>
      <c r="U15" s="1130"/>
      <c r="V15" s="2498"/>
      <c r="W15" s="2498"/>
      <c r="X15" s="2499"/>
      <c r="Y15" s="2500"/>
      <c r="Z15" s="2501"/>
      <c r="AA15" s="2502"/>
      <c r="AB15" s="2502"/>
      <c r="AC15" s="2503"/>
      <c r="AD15" s="2499"/>
      <c r="AE15" s="2504"/>
      <c r="AF15" s="344"/>
      <c r="AG15" s="478"/>
      <c r="AH15" s="2504"/>
      <c r="AI15" s="2508"/>
      <c r="AJ15" s="1319"/>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3" customFormat="1" ht="15.75" thickBot="1">
      <c r="A16" s="64" t="s">
        <v>4</v>
      </c>
      <c r="B16" s="65"/>
      <c r="C16" s="66"/>
      <c r="D16" s="67"/>
      <c r="E16" s="65"/>
      <c r="F16" s="387"/>
      <c r="G16" s="388">
        <f>ROUND(SUMPRODUCT(G6:G13,K6:K13)/SUMPRODUCT((G6:G13&gt;0)*(K6:K13)),3)</f>
        <v>0.99299999999999999</v>
      </c>
      <c r="H16" s="389">
        <f>ROUND(SUMPRODUCT(H6:H13,K6:K13)/SUMPRODUCT((H6:H13&gt;0)*(K6:K13)),3)</f>
        <v>4.5999999999999999E-2</v>
      </c>
      <c r="I16" s="390"/>
      <c r="J16" s="390"/>
      <c r="K16" s="391">
        <f>SUM(K6:K15)</f>
        <v>54996.800000000003</v>
      </c>
      <c r="L16" s="392">
        <f>ROUND(M16*10000/SUM(K6:K14),0)</f>
        <v>2622</v>
      </c>
      <c r="M16" s="392">
        <f>SUM(M6:M14)</f>
        <v>13863</v>
      </c>
      <c r="N16" s="393">
        <f>ROUND(SUMPRODUCT(M6:M14,N6:N14)/M16,3)</f>
        <v>0.59399999999999997</v>
      </c>
      <c r="O16" s="392">
        <f>SUM(O6:O14)</f>
        <v>8232</v>
      </c>
      <c r="P16" s="392">
        <f>SUM(P6:P14)</f>
        <v>5631</v>
      </c>
      <c r="Q16" s="394">
        <f>ROUND(SUMPRODUCT(Q6:Q13,K6:K13)/SUMPRODUCT((Q6:Q13&gt;0)*(K6:K13)),2)</f>
        <v>0.18</v>
      </c>
      <c r="R16" s="2497">
        <f ca="1">SUM(R6:R13)</f>
        <v>26464.71</v>
      </c>
      <c r="S16" s="395">
        <f>SUM(S6:S13)</f>
        <v>1788.28</v>
      </c>
      <c r="T16" s="396">
        <f>IF(SUMIF(T6:T13,"&lt;9E307")=M14,SUMIF(T6:T13,"&lt;9E307"),"有误，请检查")</f>
        <v>411</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1"/>
      <c r="B17" s="1190"/>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2"/>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2406</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698</v>
      </c>
      <c r="B20" s="403">
        <v>2</v>
      </c>
      <c r="C20" s="2229" t="s">
        <v>2407</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699</v>
      </c>
      <c r="B21" s="403">
        <v>1.2</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700</v>
      </c>
      <c r="B22" s="404">
        <f>B19+B20</f>
        <v>2</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701</v>
      </c>
      <c r="B23" s="404">
        <f>B19+B21</f>
        <v>1.2</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702</v>
      </c>
      <c r="B24" s="405">
        <f>B20-B21</f>
        <v>0.8</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4"/>
      <c r="B25" s="1192"/>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703</v>
      </c>
      <c r="B26" s="72" t="s">
        <v>704</v>
      </c>
      <c r="C26" s="2232" t="s">
        <v>705</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2" customFormat="1" ht="27">
      <c r="A27" s="73" t="s">
        <v>706</v>
      </c>
      <c r="B27" s="406">
        <v>120</v>
      </c>
      <c r="C27" s="2525" t="s">
        <v>707</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2" customFormat="1" ht="27">
      <c r="A28" s="74" t="s">
        <v>708</v>
      </c>
      <c r="B28" s="409">
        <v>160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2" customFormat="1" ht="27.75" thickBot="1">
      <c r="A29" s="280" t="s">
        <v>2684</v>
      </c>
      <c r="B29" s="411">
        <v>710</v>
      </c>
      <c r="C29" s="2525" t="s">
        <v>2685</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2" customFormat="1" ht="27">
      <c r="A30" s="279" t="s">
        <v>709</v>
      </c>
      <c r="B30" s="1131">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2" customFormat="1" ht="27">
      <c r="A31" s="74" t="s">
        <v>710</v>
      </c>
      <c r="B31" s="410">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2" customFormat="1" ht="27.75" thickBot="1">
      <c r="A32" s="76" t="s">
        <v>711</v>
      </c>
      <c r="B32" s="1132"/>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2" customFormat="1" ht="13.5">
      <c r="A33" s="73" t="s">
        <v>712</v>
      </c>
      <c r="B33" s="1133">
        <v>0.03</v>
      </c>
      <c r="C33" s="3284" t="s">
        <v>2996</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2" customFormat="1" ht="13.5">
      <c r="A34" s="74" t="s">
        <v>713</v>
      </c>
      <c r="B34" s="412">
        <v>0.05</v>
      </c>
      <c r="C34" s="3284" t="s">
        <v>2997</v>
      </c>
      <c r="D34" s="2230" t="s">
        <v>714</v>
      </c>
      <c r="E34" s="1190"/>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2" customFormat="1" ht="13.5">
      <c r="A35" s="74" t="s">
        <v>715</v>
      </c>
      <c r="B35" s="409">
        <v>200</v>
      </c>
      <c r="C35" s="3284" t="s">
        <v>2998</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716</v>
      </c>
      <c r="B36" s="413">
        <v>1.4999999999999999E-2</v>
      </c>
      <c r="C36" s="3284" t="s">
        <v>2999</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717</v>
      </c>
      <c r="B37" s="414">
        <v>0.02</v>
      </c>
      <c r="C37" s="3284" t="s">
        <v>3000</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718</v>
      </c>
      <c r="B38" s="412">
        <v>0.02</v>
      </c>
      <c r="C38" s="3284" t="s">
        <v>3000</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2535</v>
      </c>
      <c r="B39" s="3411">
        <v>4.7500000000000001E-2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2611</v>
      </c>
      <c r="B40" s="2633">
        <f ca="1">存贷款利率!G1</f>
        <v>4.7500000000000001E-2</v>
      </c>
      <c r="C40" s="2527" t="s">
        <v>537</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719</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3" t="s">
        <v>720</v>
      </c>
      <c r="B42" s="416">
        <v>0.05</v>
      </c>
      <c r="C42" s="3306">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3" t="s">
        <v>721</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722</v>
      </c>
      <c r="B44" s="418">
        <v>7.0000000000000007E-2</v>
      </c>
      <c r="C44" s="3284" t="s">
        <v>3002</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723</v>
      </c>
      <c r="B45" s="416">
        <v>0.03</v>
      </c>
      <c r="C45" s="3285" t="s">
        <v>3001</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724</v>
      </c>
      <c r="B46" s="416">
        <v>0.02</v>
      </c>
      <c r="C46" s="3285" t="s">
        <v>3030</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725</v>
      </c>
      <c r="B47" s="419">
        <v>0</v>
      </c>
      <c r="C47" s="2525" t="s">
        <v>726</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727</v>
      </c>
      <c r="B48" s="420">
        <v>0.03</v>
      </c>
      <c r="C48" s="3304" t="s">
        <v>3031</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728</v>
      </c>
      <c r="B49" s="416">
        <v>5.0000000000000001E-4</v>
      </c>
      <c r="C49" s="3304" t="s">
        <v>3032</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729</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730</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731</v>
      </c>
      <c r="B52" s="423">
        <f>SUMIF(A54:A63,B53,B54:B63)</f>
        <v>1.5</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732</v>
      </c>
      <c r="B53" s="41" t="s">
        <v>202</v>
      </c>
      <c r="C53" s="2231" t="s">
        <v>3003</v>
      </c>
      <c r="D53" s="2234" t="s">
        <v>3007</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164</v>
      </c>
      <c r="B54" s="374">
        <v>30</v>
      </c>
      <c r="C54" s="2849">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165</v>
      </c>
      <c r="B55" s="374">
        <v>24</v>
      </c>
      <c r="C55" s="2849">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160</v>
      </c>
      <c r="B56" s="374">
        <v>18</v>
      </c>
      <c r="C56" s="2849">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161</v>
      </c>
      <c r="B57" s="374">
        <v>12</v>
      </c>
      <c r="C57" s="2849">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162</v>
      </c>
      <c r="B58" s="374">
        <v>3</v>
      </c>
      <c r="C58" s="2849">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163</v>
      </c>
      <c r="B59" s="374">
        <v>1.5</v>
      </c>
      <c r="C59" s="2849">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1171</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3004</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3005</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3006</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9"/>
      <c r="D64" s="2240"/>
      <c r="K64" s="2241"/>
      <c r="L64" s="2241"/>
    </row>
    <row r="65" spans="1:12" s="2239" customFormat="1">
      <c r="A65" s="1449"/>
      <c r="D65" s="2240"/>
      <c r="K65" s="2241"/>
      <c r="L65" s="2241"/>
    </row>
    <row r="66" spans="1:12" s="2239" customFormat="1">
      <c r="A66" s="1449"/>
      <c r="D66" s="2240"/>
      <c r="K66" s="2241"/>
      <c r="L66" s="2241"/>
    </row>
    <row r="67" spans="1:12" s="2239" customFormat="1">
      <c r="A67" s="1449"/>
      <c r="D67" s="2240"/>
      <c r="K67" s="2241"/>
      <c r="L67" s="2241"/>
    </row>
    <row r="68" spans="1:12" s="2239" customFormat="1">
      <c r="A68" s="1449"/>
      <c r="D68" s="2240"/>
      <c r="K68" s="2241"/>
      <c r="L68" s="2241"/>
    </row>
    <row r="69" spans="1:12" s="2239" customFormat="1">
      <c r="A69" s="1449"/>
      <c r="D69" s="2240"/>
      <c r="K69" s="2241"/>
      <c r="L69" s="2241"/>
    </row>
    <row r="70" spans="1:12" s="2239" customFormat="1">
      <c r="A70" s="1449"/>
      <c r="D70" s="2240"/>
      <c r="K70" s="2241"/>
      <c r="L70" s="2241"/>
    </row>
    <row r="71" spans="1:12" s="2239" customFormat="1">
      <c r="A71" s="1449"/>
      <c r="D71" s="2240"/>
      <c r="K71" s="2241"/>
      <c r="L71" s="2241"/>
    </row>
    <row r="72" spans="1:12" s="2239" customFormat="1">
      <c r="A72" s="1449"/>
      <c r="D72" s="2240"/>
      <c r="K72" s="2241"/>
      <c r="L72" s="2241"/>
    </row>
    <row r="73" spans="1:12" s="2239" customFormat="1">
      <c r="A73" s="1449"/>
      <c r="D73" s="2240"/>
      <c r="K73" s="2241"/>
      <c r="L73" s="2241"/>
    </row>
    <row r="74" spans="1:12" s="2239" customFormat="1">
      <c r="A74" s="1449"/>
      <c r="D74" s="2240"/>
      <c r="K74" s="2241"/>
      <c r="L74" s="2241"/>
    </row>
    <row r="75" spans="1:12" s="2239" customFormat="1">
      <c r="A75" s="1449"/>
      <c r="D75" s="2240"/>
      <c r="K75" s="2241"/>
      <c r="L75" s="2241"/>
    </row>
    <row r="76" spans="1:12" s="2239" customFormat="1">
      <c r="A76" s="1449"/>
      <c r="D76" s="2240"/>
      <c r="K76" s="2241"/>
      <c r="L76" s="2241"/>
    </row>
    <row r="77" spans="1:12" s="2239" customFormat="1">
      <c r="A77" s="1449"/>
      <c r="D77" s="2240"/>
      <c r="K77" s="2241"/>
      <c r="L77" s="2241"/>
    </row>
    <row r="78" spans="1:12" s="2239" customFormat="1">
      <c r="A78" s="1449"/>
      <c r="D78" s="2240"/>
      <c r="K78" s="2241"/>
      <c r="L78" s="2241"/>
    </row>
    <row r="79" spans="1:12" s="2239" customFormat="1">
      <c r="A79" s="1449"/>
      <c r="D79" s="2240"/>
      <c r="K79" s="2241"/>
      <c r="L79" s="2241"/>
    </row>
    <row r="80" spans="1:12" s="2239" customFormat="1">
      <c r="A80" s="1449"/>
      <c r="D80" s="2240"/>
      <c r="K80" s="2241"/>
      <c r="L80" s="2241"/>
    </row>
    <row r="81" spans="1:12" s="2239" customFormat="1">
      <c r="A81" s="1449"/>
      <c r="D81" s="2240"/>
      <c r="K81" s="2241"/>
      <c r="L81" s="2241"/>
    </row>
    <row r="82" spans="1:12" s="2239" customFormat="1">
      <c r="A82" s="1449"/>
      <c r="D82" s="2240"/>
      <c r="K82" s="2241"/>
      <c r="L82" s="2241"/>
    </row>
    <row r="83" spans="1:12" s="2239" customFormat="1">
      <c r="A83" s="1449"/>
      <c r="D83" s="2240"/>
      <c r="K83" s="2241"/>
      <c r="L83" s="2241"/>
    </row>
    <row r="84" spans="1:12" s="2239" customFormat="1">
      <c r="A84" s="1449"/>
      <c r="D84" s="2240"/>
      <c r="K84" s="2241"/>
      <c r="L84" s="2241"/>
    </row>
    <row r="85" spans="1:12" s="2239" customFormat="1">
      <c r="A85" s="1449"/>
      <c r="D85" s="2240"/>
      <c r="K85" s="2241"/>
      <c r="L85" s="2241"/>
    </row>
    <row r="86" spans="1:12" s="2239" customFormat="1">
      <c r="A86" s="1449"/>
      <c r="D86" s="2240"/>
      <c r="K86" s="2241"/>
      <c r="L86" s="2241"/>
    </row>
    <row r="87" spans="1:12" s="2239" customFormat="1">
      <c r="A87" s="1449"/>
      <c r="D87" s="2240"/>
      <c r="K87" s="2241"/>
      <c r="L87" s="2241"/>
    </row>
    <row r="88" spans="1:12" s="2239" customFormat="1">
      <c r="A88" s="1449"/>
      <c r="D88" s="2240"/>
      <c r="K88" s="2241"/>
      <c r="L88" s="2241"/>
    </row>
    <row r="89" spans="1:12" s="2239" customFormat="1">
      <c r="A89" s="1449"/>
      <c r="D89" s="2240"/>
      <c r="K89" s="2241"/>
      <c r="L89" s="2241"/>
    </row>
    <row r="90" spans="1:12" s="2239" customFormat="1">
      <c r="A90" s="1449"/>
      <c r="D90" s="2240"/>
      <c r="K90" s="2241"/>
      <c r="L90" s="2241"/>
    </row>
    <row r="91" spans="1:12" s="2239" customFormat="1">
      <c r="A91" s="1449"/>
      <c r="D91" s="2240"/>
      <c r="K91" s="2241"/>
      <c r="L91" s="2241"/>
    </row>
    <row r="92" spans="1:12" s="2239" customFormat="1">
      <c r="A92" s="1449"/>
      <c r="D92" s="2240"/>
      <c r="K92" s="2241"/>
      <c r="L92" s="2241"/>
    </row>
    <row r="93" spans="1:12" s="2239" customFormat="1">
      <c r="A93" s="1449"/>
      <c r="D93" s="2240"/>
      <c r="K93" s="2241"/>
      <c r="L93" s="2241"/>
    </row>
    <row r="94" spans="1:12" s="2239" customFormat="1">
      <c r="A94" s="1449"/>
      <c r="D94" s="2240"/>
      <c r="K94" s="2241"/>
      <c r="L94" s="2241"/>
    </row>
    <row r="95" spans="1:12" s="2239" customFormat="1">
      <c r="A95" s="1449"/>
      <c r="D95" s="2240"/>
      <c r="K95" s="2241"/>
      <c r="L95" s="2241"/>
    </row>
    <row r="96" spans="1:12" s="2239" customFormat="1">
      <c r="A96" s="1449"/>
      <c r="D96" s="2240"/>
      <c r="K96" s="2241"/>
      <c r="L96" s="2241"/>
    </row>
    <row r="97" spans="1:12" s="2239" customFormat="1">
      <c r="A97" s="1449"/>
      <c r="D97" s="2240"/>
      <c r="K97" s="2241"/>
      <c r="L97" s="2241"/>
    </row>
    <row r="98" spans="1:12" s="2239" customFormat="1">
      <c r="A98" s="1449"/>
      <c r="D98" s="2240"/>
      <c r="K98" s="2241"/>
      <c r="L98" s="2241"/>
    </row>
    <row r="99" spans="1:12" s="2239" customFormat="1">
      <c r="A99" s="1449"/>
      <c r="D99" s="2240"/>
      <c r="K99" s="2241"/>
      <c r="L99" s="2241"/>
    </row>
    <row r="100" spans="1:12" s="2239" customFormat="1">
      <c r="A100" s="1449"/>
      <c r="D100" s="2240"/>
      <c r="K100" s="2241"/>
      <c r="L100" s="2241"/>
    </row>
    <row r="101" spans="1:12" s="2239" customFormat="1">
      <c r="A101" s="1449"/>
      <c r="D101" s="2240"/>
      <c r="K101" s="2241"/>
      <c r="L101" s="2241"/>
    </row>
    <row r="102" spans="1:12" s="2239" customFormat="1">
      <c r="A102" s="1449"/>
      <c r="D102" s="2240"/>
      <c r="K102" s="2241"/>
      <c r="L102" s="2241"/>
    </row>
    <row r="103" spans="1:12" s="2239" customFormat="1">
      <c r="A103" s="1449"/>
      <c r="D103" s="2240"/>
      <c r="K103" s="2241"/>
      <c r="L103" s="2241"/>
    </row>
    <row r="104" spans="1:12" s="2239" customFormat="1">
      <c r="A104" s="1449"/>
      <c r="D104" s="2240"/>
      <c r="K104" s="2241"/>
      <c r="L104" s="2241"/>
    </row>
    <row r="105" spans="1:12" s="2239" customFormat="1">
      <c r="A105" s="1449"/>
      <c r="D105" s="2240"/>
      <c r="K105" s="2241"/>
      <c r="L105" s="2241"/>
    </row>
    <row r="106" spans="1:12" s="2239" customFormat="1">
      <c r="A106" s="1449"/>
      <c r="D106" s="2240"/>
      <c r="K106" s="2241"/>
      <c r="L106" s="2241"/>
    </row>
    <row r="107" spans="1:12" s="2239" customFormat="1">
      <c r="A107" s="1449"/>
      <c r="D107" s="2240"/>
      <c r="K107" s="2241"/>
      <c r="L107" s="2241"/>
    </row>
    <row r="108" spans="1:12" s="2239" customFormat="1">
      <c r="A108" s="1449"/>
      <c r="D108" s="2240"/>
      <c r="K108" s="2241"/>
      <c r="L108" s="2241"/>
    </row>
    <row r="109" spans="1:12" s="2239" customFormat="1">
      <c r="A109" s="1449"/>
      <c r="D109" s="2240"/>
      <c r="K109" s="2241"/>
      <c r="L109" s="2241"/>
    </row>
    <row r="110" spans="1:12" s="2239" customFormat="1">
      <c r="A110" s="1449"/>
      <c r="D110" s="2240"/>
      <c r="K110" s="2241"/>
      <c r="L110" s="2241"/>
    </row>
    <row r="111" spans="1:12" s="2239" customFormat="1">
      <c r="A111" s="1449"/>
      <c r="D111" s="2240"/>
      <c r="K111" s="2241"/>
      <c r="L111" s="2241"/>
    </row>
    <row r="112" spans="1:12" s="2239" customFormat="1">
      <c r="A112" s="1449"/>
      <c r="D112" s="2240"/>
      <c r="K112" s="2241"/>
      <c r="L112" s="2241"/>
    </row>
    <row r="113" spans="1:12" s="2239" customFormat="1">
      <c r="A113" s="1449"/>
      <c r="D113" s="2240"/>
      <c r="K113" s="2241"/>
      <c r="L113" s="2241"/>
    </row>
    <row r="114" spans="1:12" s="2239" customFormat="1">
      <c r="A114" s="1449"/>
      <c r="D114" s="2240"/>
      <c r="K114" s="2241"/>
      <c r="L114" s="2241"/>
    </row>
    <row r="115" spans="1:12" s="2239" customFormat="1">
      <c r="A115" s="1449"/>
      <c r="D115" s="2240"/>
      <c r="K115" s="2241"/>
      <c r="L115" s="2241"/>
    </row>
    <row r="116" spans="1:12" s="2239" customFormat="1">
      <c r="A116" s="1449"/>
      <c r="D116" s="2240"/>
      <c r="K116" s="2241"/>
      <c r="L116" s="2241"/>
    </row>
    <row r="117" spans="1:12" s="2239" customFormat="1">
      <c r="A117" s="1449"/>
      <c r="D117" s="2240"/>
      <c r="K117" s="2241"/>
      <c r="L117" s="2241"/>
    </row>
    <row r="118" spans="1:12" s="2239" customFormat="1">
      <c r="A118" s="1449"/>
      <c r="D118" s="2240"/>
      <c r="K118" s="2241"/>
      <c r="L118" s="2241"/>
    </row>
    <row r="119" spans="1:12" s="2239" customFormat="1">
      <c r="A119" s="1449"/>
      <c r="D119" s="2240"/>
      <c r="K119" s="2241"/>
      <c r="L119" s="2241"/>
    </row>
    <row r="120" spans="1:12" s="2239" customFormat="1">
      <c r="A120" s="1449"/>
      <c r="D120" s="2240"/>
      <c r="K120" s="2241"/>
      <c r="L120" s="2241"/>
    </row>
    <row r="121" spans="1:12" s="2239" customFormat="1">
      <c r="A121" s="1449"/>
      <c r="D121" s="2240"/>
      <c r="K121" s="2241"/>
      <c r="L121" s="2241"/>
    </row>
    <row r="122" spans="1:12" s="2239" customFormat="1">
      <c r="A122" s="1449"/>
      <c r="D122" s="2240"/>
      <c r="K122" s="2241"/>
      <c r="L122" s="2241"/>
    </row>
    <row r="123" spans="1:12" s="2239" customFormat="1">
      <c r="A123" s="1449"/>
      <c r="D123" s="2240"/>
      <c r="K123" s="2241"/>
      <c r="L123" s="2241"/>
    </row>
    <row r="124" spans="1:12" s="2239" customFormat="1">
      <c r="A124" s="1449"/>
      <c r="D124" s="2240"/>
      <c r="K124" s="2241"/>
      <c r="L124" s="2241"/>
    </row>
    <row r="125" spans="1:12" s="2239" customFormat="1">
      <c r="A125" s="1449"/>
      <c r="D125" s="2240"/>
      <c r="K125" s="2241"/>
      <c r="L125" s="2241"/>
    </row>
    <row r="126" spans="1:12" s="2239" customFormat="1">
      <c r="A126" s="1449"/>
      <c r="D126" s="2240"/>
      <c r="K126" s="2241"/>
      <c r="L126" s="2241"/>
    </row>
    <row r="127" spans="1:12" s="2239" customFormat="1">
      <c r="A127" s="1449"/>
      <c r="D127" s="2240"/>
      <c r="K127" s="2241"/>
      <c r="L127" s="2241"/>
    </row>
    <row r="128" spans="1:12" s="2239" customFormat="1">
      <c r="A128" s="1449"/>
      <c r="D128" s="2240"/>
      <c r="K128" s="2241"/>
      <c r="L128" s="2241"/>
    </row>
    <row r="129" spans="1:12" s="2239" customFormat="1">
      <c r="A129" s="1449"/>
      <c r="D129" s="2240"/>
      <c r="K129" s="2241"/>
      <c r="L129" s="2241"/>
    </row>
    <row r="130" spans="1:12" s="2239" customFormat="1">
      <c r="A130" s="1449"/>
      <c r="D130" s="2240"/>
      <c r="K130" s="2241"/>
      <c r="L130" s="2241"/>
    </row>
    <row r="131" spans="1:12" s="2239" customFormat="1">
      <c r="A131" s="1449"/>
      <c r="D131" s="2240"/>
      <c r="K131" s="2241"/>
      <c r="L131" s="2241"/>
    </row>
    <row r="132" spans="1:12" s="2239" customFormat="1">
      <c r="A132" s="1449"/>
      <c r="D132" s="2240"/>
      <c r="K132" s="2241"/>
      <c r="L132" s="2241"/>
    </row>
    <row r="133" spans="1:12" s="2239" customFormat="1">
      <c r="A133" s="1449"/>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552" t="s">
        <v>747</v>
      </c>
      <c r="B1" s="3553"/>
      <c r="C1" s="3553"/>
      <c r="D1" s="3553"/>
      <c r="E1" s="3553"/>
      <c r="F1" s="3553"/>
      <c r="G1" s="3553"/>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6"/>
      <c r="B2" s="1207"/>
      <c r="C2" s="1208" t="s">
        <v>748</v>
      </c>
      <c r="D2" s="1209"/>
      <c r="E2" s="1210"/>
      <c r="F2" s="1197"/>
      <c r="G2" s="1208" t="s">
        <v>749</v>
      </c>
      <c r="H2" s="2252"/>
      <c r="I2" s="2252"/>
      <c r="J2" s="2252"/>
      <c r="K2" s="2252"/>
      <c r="L2" s="2252"/>
      <c r="M2" s="2252"/>
      <c r="N2" s="2252"/>
      <c r="O2" s="2252"/>
      <c r="P2" s="2252"/>
      <c r="Q2" s="2252"/>
      <c r="R2" s="2252"/>
    </row>
    <row r="3" spans="1:29" ht="67.5">
      <c r="A3" s="1018" t="s">
        <v>750</v>
      </c>
      <c r="B3" s="51" t="s">
        <v>52</v>
      </c>
      <c r="C3" s="3412" t="s">
        <v>3251</v>
      </c>
      <c r="D3" s="2253"/>
      <c r="E3" s="1027" t="s">
        <v>750</v>
      </c>
      <c r="F3" s="1211" t="s">
        <v>99</v>
      </c>
      <c r="G3" s="3287" t="s">
        <v>3010</v>
      </c>
      <c r="H3" s="2252"/>
      <c r="I3" s="2252"/>
      <c r="J3" s="2252"/>
      <c r="K3" s="2252"/>
      <c r="L3" s="2252"/>
      <c r="M3" s="2252"/>
      <c r="N3" s="2252"/>
      <c r="O3" s="2252"/>
      <c r="P3" s="2252"/>
      <c r="Q3" s="2252"/>
      <c r="R3" s="2252"/>
    </row>
    <row r="4" spans="1:29" ht="40.5">
      <c r="A4" s="1027"/>
      <c r="B4" s="2208" t="s">
        <v>751</v>
      </c>
      <c r="C4" s="3413" t="s">
        <v>3252</v>
      </c>
      <c r="D4" s="2253"/>
      <c r="E4" s="1212"/>
      <c r="F4" s="2212" t="s">
        <v>752</v>
      </c>
      <c r="G4" s="3286" t="s">
        <v>753</v>
      </c>
      <c r="H4" s="2252"/>
      <c r="I4" s="2252"/>
      <c r="J4" s="2252"/>
      <c r="K4" s="2252"/>
      <c r="L4" s="2252"/>
      <c r="M4" s="2252"/>
      <c r="N4" s="2252"/>
      <c r="O4" s="2252"/>
      <c r="P4" s="2252"/>
      <c r="Q4" s="2252"/>
      <c r="R4" s="2252"/>
    </row>
    <row r="5" spans="1:29" ht="40.5">
      <c r="A5" s="1027"/>
      <c r="B5" s="2208" t="s">
        <v>754</v>
      </c>
      <c r="C5" s="3413" t="s">
        <v>3253</v>
      </c>
      <c r="D5" s="2253"/>
      <c r="E5" s="1212"/>
      <c r="F5" s="2741" t="s">
        <v>2628</v>
      </c>
      <c r="G5" s="3286" t="s">
        <v>2630</v>
      </c>
      <c r="H5" s="2252"/>
      <c r="I5" s="2252"/>
      <c r="J5" s="2252"/>
      <c r="K5" s="2252"/>
      <c r="L5" s="2252"/>
      <c r="M5" s="2252"/>
      <c r="N5" s="2252"/>
      <c r="O5" s="2252"/>
      <c r="P5" s="2252"/>
      <c r="Q5" s="2252"/>
      <c r="R5" s="2252"/>
    </row>
    <row r="6" spans="1:29" ht="67.5">
      <c r="A6" s="1027"/>
      <c r="B6" s="2208" t="s">
        <v>72</v>
      </c>
      <c r="C6" s="3414" t="s">
        <v>3366</v>
      </c>
      <c r="D6" s="2253"/>
      <c r="E6" s="1212"/>
      <c r="F6" s="2741" t="s">
        <v>2627</v>
      </c>
      <c r="G6" s="3286" t="s">
        <v>2629</v>
      </c>
      <c r="H6" s="2252"/>
      <c r="I6" s="2252"/>
      <c r="J6" s="2252"/>
      <c r="K6" s="2252"/>
      <c r="L6" s="2252"/>
      <c r="M6" s="2252"/>
      <c r="N6" s="2252"/>
      <c r="O6" s="2252"/>
      <c r="P6" s="2252"/>
      <c r="Q6" s="2252"/>
      <c r="R6" s="2252"/>
    </row>
    <row r="7" spans="1:29" ht="68.25" thickBot="1">
      <c r="A7" s="1027"/>
      <c r="B7" s="2208" t="s">
        <v>2628</v>
      </c>
      <c r="C7" s="3414" t="s">
        <v>3254</v>
      </c>
      <c r="D7" s="2254"/>
      <c r="E7" s="1213"/>
      <c r="F7" s="1214" t="s">
        <v>733</v>
      </c>
      <c r="G7" s="3288" t="s">
        <v>3011</v>
      </c>
      <c r="H7" s="2252"/>
      <c r="I7" s="2252"/>
      <c r="J7" s="2252"/>
      <c r="K7" s="2252"/>
      <c r="L7" s="2252"/>
      <c r="M7" s="2252"/>
      <c r="N7" s="2252"/>
      <c r="O7" s="2252"/>
      <c r="P7" s="2252"/>
      <c r="Q7" s="2252"/>
      <c r="R7" s="2252"/>
    </row>
    <row r="8" spans="1:29">
      <c r="A8" s="1027"/>
      <c r="B8" s="2741" t="s">
        <v>2627</v>
      </c>
      <c r="C8" s="3413" t="s">
        <v>3299</v>
      </c>
      <c r="D8" s="2254"/>
      <c r="E8" s="2254"/>
      <c r="F8" s="2255"/>
      <c r="G8" s="2255"/>
      <c r="H8" s="2252"/>
      <c r="I8" s="2252"/>
      <c r="J8" s="2252"/>
      <c r="K8" s="2252"/>
      <c r="L8" s="2252"/>
      <c r="M8" s="2252"/>
      <c r="N8" s="2252"/>
      <c r="O8" s="2252"/>
      <c r="P8" s="2252"/>
      <c r="Q8" s="2252"/>
      <c r="R8" s="2252"/>
    </row>
    <row r="9" spans="1:29" ht="40.5">
      <c r="A9" s="1027"/>
      <c r="B9" s="2208" t="s">
        <v>73</v>
      </c>
      <c r="C9" s="3413" t="s">
        <v>3297</v>
      </c>
      <c r="D9" s="2253"/>
      <c r="E9" s="2254"/>
      <c r="F9" s="2255"/>
      <c r="G9" s="2255"/>
      <c r="H9" s="2252"/>
      <c r="I9" s="2252"/>
      <c r="J9" s="2252"/>
      <c r="K9" s="2252"/>
      <c r="L9" s="2252"/>
      <c r="M9" s="2252"/>
      <c r="N9" s="2252"/>
      <c r="O9" s="2252"/>
      <c r="P9" s="2252"/>
      <c r="Q9" s="2252"/>
      <c r="R9" s="2252"/>
    </row>
    <row r="10" spans="1:29" s="40" customFormat="1" ht="14.25" thickBot="1">
      <c r="A10" s="1216"/>
      <c r="B10" s="1217" t="s">
        <v>734</v>
      </c>
      <c r="C10" s="3415" t="s">
        <v>3304</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4"/>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4"/>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735</v>
      </c>
      <c r="B13" s="2739"/>
      <c r="C13" s="2739"/>
      <c r="D13" s="2251"/>
      <c r="E13" s="2739"/>
      <c r="F13" s="2739"/>
      <c r="G13" s="2739"/>
    </row>
    <row r="14" spans="1:29" ht="14.25" thickBot="1">
      <c r="A14" s="1218"/>
      <c r="B14" s="1219"/>
      <c r="C14" s="1220" t="s">
        <v>736</v>
      </c>
      <c r="D14" s="2253"/>
      <c r="E14" s="1221"/>
      <c r="F14" s="1221"/>
      <c r="G14" s="1208" t="s">
        <v>737</v>
      </c>
    </row>
    <row r="15" spans="1:29" ht="67.5">
      <c r="A15" s="46" t="s">
        <v>738</v>
      </c>
      <c r="B15" s="14" t="s">
        <v>52</v>
      </c>
      <c r="C15" s="1222" t="str">
        <f>C3</f>
        <v>估价对象周边居住用地比例较低，周边3公里内有潭墅苑、鲁新家园的住宅项目，综合评价居住社区成熟度较差。</v>
      </c>
      <c r="D15" s="2253"/>
      <c r="E15" s="2754" t="s">
        <v>739</v>
      </c>
      <c r="F15" s="14" t="s">
        <v>740</v>
      </c>
      <c r="G15" s="1020" t="str">
        <f>G3</f>
        <v>估价对象位于XX开发区，园区建设成熟度XX，产业集聚程度XX</v>
      </c>
    </row>
    <row r="16" spans="1:29" ht="40.5">
      <c r="A16" s="2757"/>
      <c r="B16" s="1223" t="s">
        <v>741</v>
      </c>
      <c r="C16" s="1224" t="str">
        <f>C4</f>
        <v>周边3公里内商业项目以住宅底商为主，人流量一般，商服繁华度较差。</v>
      </c>
      <c r="D16" s="2253"/>
      <c r="E16" s="2755"/>
      <c r="F16" s="1225" t="s">
        <v>742</v>
      </c>
      <c r="G16" s="1022" t="str">
        <f>G4</f>
        <v>估价对象周边道路状况、公共交通通达情况、停车便捷程度，综合评价交通便捷度较好</v>
      </c>
    </row>
    <row r="17" spans="1:18" ht="40.5">
      <c r="A17" s="2757"/>
      <c r="B17" s="1223" t="s">
        <v>743</v>
      </c>
      <c r="C17" s="1224" t="str">
        <f>C5</f>
        <v>估价对象，周边办公楼项目较少，入驻率一般，办公集聚程度较差</v>
      </c>
      <c r="D17" s="2254"/>
      <c r="E17" s="2755"/>
      <c r="F17" s="1225" t="s">
        <v>744</v>
      </c>
      <c r="G17" s="271"/>
    </row>
    <row r="18" spans="1:18" ht="67.5">
      <c r="A18" s="2757"/>
      <c r="B18" s="1225" t="s">
        <v>72</v>
      </c>
      <c r="C18" s="1022" t="str">
        <f>C6</f>
        <v>估价对象周边道路密集度一般、周边有931、948路等公交线路经过，停车便捷程度较好，综合评价交通便捷度较差。</v>
      </c>
      <c r="D18" s="2254"/>
      <c r="E18" s="2755"/>
      <c r="F18" s="1225" t="s">
        <v>733</v>
      </c>
      <c r="G18" s="1022" t="str">
        <f>G7</f>
        <v>该园区内是否有污染型企业，绿化情况，卫生条件，整体环境状况判断</v>
      </c>
    </row>
    <row r="19" spans="1:18" ht="27">
      <c r="A19" s="2757"/>
      <c r="B19" s="1225" t="s">
        <v>91</v>
      </c>
      <c r="C19" s="271" t="s">
        <v>3255</v>
      </c>
      <c r="D19" s="2253"/>
      <c r="E19" s="2755"/>
      <c r="F19" s="2741" t="s">
        <v>2628</v>
      </c>
      <c r="G19" s="1022" t="str">
        <f>G5</f>
        <v>估价对象所在区域公共配套设施齐备情况</v>
      </c>
    </row>
    <row r="20" spans="1:18" ht="40.5">
      <c r="A20" s="2757"/>
      <c r="B20" s="1225" t="s">
        <v>90</v>
      </c>
      <c r="C20" s="1224" t="str">
        <f>C9</f>
        <v>临近潭柘寺景区、戒台寺景区，绿化率高，综合评价环境状况较好</v>
      </c>
      <c r="D20" s="2254"/>
      <c r="E20" s="2755"/>
      <c r="F20" s="2741" t="s">
        <v>2627</v>
      </c>
      <c r="G20" s="1022" t="str">
        <f>G6</f>
        <v>估价对象所在区域基础设施水平</v>
      </c>
    </row>
    <row r="21" spans="1:18" ht="67.5">
      <c r="A21" s="2757"/>
      <c r="B21" s="2741" t="s">
        <v>2628</v>
      </c>
      <c r="C21" s="1022" t="str">
        <f>C7</f>
        <v>估价对象周边有银行、购物场所、餐饮等配套设施，基础设施水平较高；综合评价公用设施及基础设施水平较差。</v>
      </c>
      <c r="D21" s="2253"/>
      <c r="E21" s="2755"/>
      <c r="F21" s="1225" t="s">
        <v>89</v>
      </c>
      <c r="G21" s="283"/>
    </row>
    <row r="22" spans="1:18" ht="13.5" customHeight="1">
      <c r="A22" s="2757"/>
      <c r="B22" s="2741" t="s">
        <v>2627</v>
      </c>
      <c r="C22" s="1022" t="str">
        <f>C8</f>
        <v>七通</v>
      </c>
      <c r="D22" s="2253"/>
      <c r="E22" s="2755"/>
      <c r="F22" s="1225" t="s">
        <v>745</v>
      </c>
      <c r="G22" s="271"/>
    </row>
    <row r="23" spans="1:18" s="2252" customFormat="1" ht="14.25" thickBot="1">
      <c r="A23" s="2757"/>
      <c r="B23" s="1225" t="s">
        <v>89</v>
      </c>
      <c r="C23" s="283" t="s">
        <v>3256</v>
      </c>
      <c r="D23" s="2265"/>
      <c r="E23" s="2756"/>
      <c r="F23" s="1226" t="s">
        <v>746</v>
      </c>
      <c r="G23" s="284"/>
      <c r="H23" s="2265"/>
      <c r="I23" s="2266"/>
      <c r="J23" s="2265"/>
      <c r="K23" s="2265"/>
      <c r="L23" s="2266"/>
      <c r="M23" s="2265"/>
      <c r="N23" s="2265"/>
      <c r="O23" s="2266"/>
      <c r="P23" s="2265"/>
      <c r="Q23" s="2265"/>
      <c r="R23" s="2267"/>
    </row>
    <row r="24" spans="1:18" s="2252" customFormat="1" ht="14.25" thickBot="1">
      <c r="A24" s="2758"/>
      <c r="B24" s="1226" t="s">
        <v>88</v>
      </c>
      <c r="C24" s="1227" t="str">
        <f>C10</f>
        <v>城市主干道——京昆路</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18" sqref="I18"/>
    </sheetView>
  </sheetViews>
  <sheetFormatPr defaultRowHeight="13.5"/>
  <cols>
    <col min="1" max="1" width="23.375" style="3246" customWidth="1"/>
    <col min="2" max="9" width="15.75" style="3246" customWidth="1"/>
    <col min="10" max="16384" width="9" style="3246"/>
  </cols>
  <sheetData>
    <row r="1" spans="1:10" ht="16.5">
      <c r="A1" s="3251" t="s">
        <v>2979</v>
      </c>
      <c r="B1" s="3251">
        <f>SUM(B14:B23)</f>
        <v>179214.25</v>
      </c>
      <c r="C1" s="3250"/>
      <c r="D1" s="3250"/>
      <c r="E1" s="3250"/>
      <c r="F1" s="3250"/>
      <c r="G1" s="3248"/>
    </row>
    <row r="2" spans="1:10" ht="16.5">
      <c r="A2" s="3251" t="s">
        <v>2967</v>
      </c>
      <c r="B2" s="3251">
        <f>SUM(C14:C23)</f>
        <v>107711.22</v>
      </c>
      <c r="C2" s="3250"/>
      <c r="D2" s="3250"/>
      <c r="E2" s="3250"/>
      <c r="F2" s="3250"/>
      <c r="G2" s="3248"/>
    </row>
    <row r="3" spans="1:10" ht="16.5">
      <c r="A3" s="3251" t="s">
        <v>2976</v>
      </c>
      <c r="B3" s="3252">
        <f>项目基本情况!D3</f>
        <v>42975</v>
      </c>
      <c r="C3" s="3250"/>
      <c r="D3" s="3250"/>
      <c r="E3" s="3250"/>
      <c r="F3" s="3250"/>
      <c r="G3" s="3248"/>
    </row>
    <row r="4" spans="1:10" ht="33">
      <c r="A4" s="3251" t="s">
        <v>2975</v>
      </c>
      <c r="B4" s="3251" t="s">
        <v>2974</v>
      </c>
      <c r="C4" s="3251" t="s">
        <v>2973</v>
      </c>
      <c r="D4" s="3251" t="s">
        <v>2972</v>
      </c>
      <c r="E4" s="3250"/>
      <c r="F4" s="3248"/>
      <c r="G4" s="3248"/>
    </row>
    <row r="5" spans="1:10" ht="16.5">
      <c r="A5" s="3251" t="s">
        <v>2971</v>
      </c>
      <c r="B5" s="3251">
        <f ca="1">SUM(D14:D23)</f>
        <v>381142</v>
      </c>
      <c r="C5" s="3251">
        <f ca="1">ROUND(B5*10000/$B$1,0)</f>
        <v>21267</v>
      </c>
      <c r="D5" s="3251">
        <f ca="1">ROUND(B5*10000/$B$2,0)</f>
        <v>35386</v>
      </c>
      <c r="E5" s="3250"/>
      <c r="F5" s="3248"/>
      <c r="G5" s="3248"/>
    </row>
    <row r="6" spans="1:10" ht="16.5">
      <c r="A6" s="3251" t="s">
        <v>2970</v>
      </c>
      <c r="B6" s="3251">
        <f ca="1">SUM(G14:G23)</f>
        <v>381142</v>
      </c>
      <c r="C6" s="3251">
        <f ca="1">ROUND(B6*10000/$B$1,0)</f>
        <v>21267</v>
      </c>
      <c r="D6" s="3251">
        <f ca="1">ROUND(B6*10000/$B$2,0)</f>
        <v>35386</v>
      </c>
      <c r="E6" s="3250"/>
      <c r="F6" s="3248"/>
      <c r="G6" s="3248"/>
    </row>
    <row r="7" spans="1:10" ht="16.5">
      <c r="A7" s="3251" t="s">
        <v>2978</v>
      </c>
      <c r="B7" s="3251">
        <f>SUM(H14:H23)</f>
        <v>0</v>
      </c>
      <c r="C7" s="3251">
        <f>ROUND(B7*10000/$B$1,0)</f>
        <v>0</v>
      </c>
      <c r="D7" s="3251">
        <f>ROUND(B7*10000/$B$2,0)</f>
        <v>0</v>
      </c>
      <c r="E7" s="3250"/>
      <c r="F7" s="3248"/>
      <c r="G7" s="3248"/>
    </row>
    <row r="8" spans="1:10" ht="16.5">
      <c r="A8" s="3251" t="s">
        <v>2867</v>
      </c>
      <c r="B8" s="3251">
        <f>SUM(I14:I23)</f>
        <v>0</v>
      </c>
      <c r="C8" s="3251">
        <f>ROUND(B8*10000/$B$1,0)</f>
        <v>0</v>
      </c>
      <c r="D8" s="3251">
        <f>ROUND(B8*10000/$B$2,0)</f>
        <v>0</v>
      </c>
      <c r="E8" s="3250"/>
      <c r="F8" s="3248"/>
      <c r="G8" s="3248"/>
    </row>
    <row r="9" spans="1:10" ht="16.5">
      <c r="A9" s="3251" t="s">
        <v>2969</v>
      </c>
      <c r="B9" s="3253"/>
      <c r="C9" s="3250"/>
      <c r="D9" s="3250"/>
      <c r="E9" s="3250"/>
      <c r="F9" s="3248"/>
      <c r="G9" s="3248"/>
    </row>
    <row r="10" spans="1:10" ht="16.5">
      <c r="A10" s="3251" t="s">
        <v>2968</v>
      </c>
      <c r="B10" s="3253"/>
      <c r="C10" s="3250"/>
      <c r="D10" s="3250"/>
      <c r="E10" s="3250"/>
      <c r="F10" s="3248"/>
      <c r="G10" s="3248"/>
    </row>
    <row r="11" spans="1:10" ht="16.5">
      <c r="A11" s="3251" t="s">
        <v>2984</v>
      </c>
      <c r="B11" s="3253"/>
      <c r="C11" s="3250"/>
      <c r="D11" s="3250"/>
      <c r="E11" s="3250"/>
      <c r="F11" s="3248"/>
      <c r="G11" s="3248"/>
    </row>
    <row r="12" spans="1:10" ht="16.5">
      <c r="A12" s="3250"/>
      <c r="B12" s="3250"/>
      <c r="C12" s="3250"/>
      <c r="D12" s="3250"/>
      <c r="E12" s="3250"/>
      <c r="F12" s="3248"/>
      <c r="G12" s="3248"/>
    </row>
    <row r="13" spans="1:10" ht="33">
      <c r="A13" s="3256" t="s">
        <v>2983</v>
      </c>
      <c r="B13" s="3249" t="s">
        <v>2980</v>
      </c>
      <c r="C13" s="3249" t="s">
        <v>2982</v>
      </c>
      <c r="D13" s="3249" t="s">
        <v>2981</v>
      </c>
      <c r="E13" s="3251" t="s">
        <v>2973</v>
      </c>
      <c r="F13" s="3251" t="s">
        <v>2972</v>
      </c>
      <c r="G13" s="3249" t="s">
        <v>2966</v>
      </c>
      <c r="H13" s="3249" t="s">
        <v>2977</v>
      </c>
      <c r="I13" s="3249" t="s">
        <v>2965</v>
      </c>
      <c r="J13" s="3248"/>
    </row>
    <row r="14" spans="1:10" ht="16.5">
      <c r="A14" s="3247" t="s">
        <v>2964</v>
      </c>
      <c r="B14" s="3249">
        <f>'数据-汇总表'!E3</f>
        <v>54996.800000000003</v>
      </c>
      <c r="C14" s="3249">
        <f>'数据-汇总表'!D3</f>
        <v>27526.28</v>
      </c>
      <c r="D14" s="3249">
        <f ca="1">结果表!H118</f>
        <v>167919</v>
      </c>
      <c r="E14" s="3249">
        <f ca="1">ROUND(D14*10000/B14,0)</f>
        <v>30533</v>
      </c>
      <c r="F14" s="3249">
        <f ca="1">ROUND(D14*10000/C14,0)</f>
        <v>61003</v>
      </c>
      <c r="G14" s="3249">
        <f ca="1">结果表!D122</f>
        <v>167919</v>
      </c>
      <c r="H14" s="3249" t="str">
        <f>结果表!D124</f>
        <v>——</v>
      </c>
      <c r="I14" s="3249" t="str">
        <f>结果表!D126</f>
        <v>——</v>
      </c>
      <c r="J14" s="3248"/>
    </row>
    <row r="15" spans="1:10" ht="16.5">
      <c r="A15" s="3247" t="s">
        <v>2963</v>
      </c>
      <c r="B15" s="3254">
        <f>'[2]数据-汇总表'!$E$3</f>
        <v>70889.859999999986</v>
      </c>
      <c r="C15" s="3254">
        <f>'[2]数据-汇总表'!$D$3</f>
        <v>34476.800000000003</v>
      </c>
      <c r="D15" s="3254">
        <f ca="1">[2]结果表!$G$19</f>
        <v>125556</v>
      </c>
      <c r="E15" s="3249">
        <f t="shared" ref="E15:E23" ca="1" si="0">ROUND(D15*10000/B15,0)</f>
        <v>17711</v>
      </c>
      <c r="F15" s="3249">
        <f t="shared" ref="F15:F23" ca="1" si="1">ROUND(D15*10000/C15,0)</f>
        <v>36418</v>
      </c>
      <c r="G15" s="3255">
        <f ca="1">D15</f>
        <v>125556</v>
      </c>
      <c r="H15" s="3255"/>
      <c r="I15" s="3254"/>
      <c r="J15" s="3248"/>
    </row>
    <row r="16" spans="1:10" ht="16.5">
      <c r="A16" s="3247" t="s">
        <v>2962</v>
      </c>
      <c r="B16" s="3254">
        <f>'[3]数据-汇总表'!$E$3</f>
        <v>28315.590000000004</v>
      </c>
      <c r="C16" s="3254">
        <f>'[2]数据-汇总表'!$D$3</f>
        <v>34476.800000000003</v>
      </c>
      <c r="D16" s="3254">
        <f ca="1">[3]结果表!$H$118</f>
        <v>42513</v>
      </c>
      <c r="E16" s="3249">
        <f t="shared" ca="1" si="0"/>
        <v>15014</v>
      </c>
      <c r="F16" s="3249">
        <f t="shared" ca="1" si="1"/>
        <v>12331</v>
      </c>
      <c r="G16" s="3255">
        <f ca="1">D16</f>
        <v>42513</v>
      </c>
      <c r="H16" s="3255"/>
      <c r="I16" s="3254"/>
    </row>
    <row r="17" spans="1:9" ht="16.5">
      <c r="A17" s="3247" t="s">
        <v>2961</v>
      </c>
      <c r="B17" s="3254">
        <f>'[4]数据-汇总表'!$E$3</f>
        <v>25011.999999999996</v>
      </c>
      <c r="C17" s="3254">
        <f>'[4]数据-汇总表'!$D$3</f>
        <v>11231.34</v>
      </c>
      <c r="D17" s="3254">
        <f ca="1">[4]结果表!$G$19</f>
        <v>45154</v>
      </c>
      <c r="E17" s="3249">
        <f t="shared" ca="1" si="0"/>
        <v>18053</v>
      </c>
      <c r="F17" s="3249">
        <f t="shared" ca="1" si="1"/>
        <v>40204</v>
      </c>
      <c r="G17" s="3255">
        <f ca="1">D17</f>
        <v>45154</v>
      </c>
      <c r="H17" s="3255"/>
      <c r="I17" s="3254"/>
    </row>
    <row r="18" spans="1:9" ht="16.5">
      <c r="A18" s="3247" t="s">
        <v>2960</v>
      </c>
      <c r="B18" s="3254"/>
      <c r="C18" s="3254"/>
      <c r="D18" s="3254"/>
      <c r="E18" s="3249" t="e">
        <f t="shared" si="0"/>
        <v>#DIV/0!</v>
      </c>
      <c r="F18" s="3249" t="e">
        <f t="shared" si="1"/>
        <v>#DIV/0!</v>
      </c>
      <c r="G18" s="3254"/>
      <c r="H18" s="3254"/>
      <c r="I18" s="3254"/>
    </row>
    <row r="19" spans="1:9" ht="16.5">
      <c r="A19" s="3247" t="s">
        <v>2959</v>
      </c>
      <c r="B19" s="3254"/>
      <c r="C19" s="3254"/>
      <c r="D19" s="3254"/>
      <c r="E19" s="3249" t="e">
        <f t="shared" si="0"/>
        <v>#DIV/0!</v>
      </c>
      <c r="F19" s="3249" t="e">
        <f t="shared" si="1"/>
        <v>#DIV/0!</v>
      </c>
      <c r="G19" s="3254"/>
      <c r="H19" s="3254"/>
      <c r="I19" s="3254"/>
    </row>
    <row r="20" spans="1:9" ht="16.5">
      <c r="A20" s="3247" t="s">
        <v>2958</v>
      </c>
      <c r="B20" s="3254"/>
      <c r="C20" s="3254"/>
      <c r="D20" s="3254"/>
      <c r="E20" s="3249" t="e">
        <f t="shared" si="0"/>
        <v>#DIV/0!</v>
      </c>
      <c r="F20" s="3249" t="e">
        <f t="shared" si="1"/>
        <v>#DIV/0!</v>
      </c>
      <c r="G20" s="3254"/>
      <c r="H20" s="3254"/>
      <c r="I20" s="3254"/>
    </row>
    <row r="21" spans="1:9" ht="16.5">
      <c r="A21" s="3247" t="s">
        <v>2957</v>
      </c>
      <c r="B21" s="3254"/>
      <c r="C21" s="3254"/>
      <c r="D21" s="3254"/>
      <c r="E21" s="3249" t="e">
        <f t="shared" si="0"/>
        <v>#DIV/0!</v>
      </c>
      <c r="F21" s="3249" t="e">
        <f t="shared" si="1"/>
        <v>#DIV/0!</v>
      </c>
      <c r="G21" s="3254"/>
      <c r="H21" s="3254"/>
      <c r="I21" s="3254"/>
    </row>
    <row r="22" spans="1:9" ht="16.5">
      <c r="A22" s="3247" t="s">
        <v>2956</v>
      </c>
      <c r="B22" s="3254"/>
      <c r="C22" s="3254"/>
      <c r="D22" s="3254"/>
      <c r="E22" s="3249" t="e">
        <f t="shared" si="0"/>
        <v>#DIV/0!</v>
      </c>
      <c r="F22" s="3249" t="e">
        <f t="shared" si="1"/>
        <v>#DIV/0!</v>
      </c>
      <c r="G22" s="3254"/>
      <c r="H22" s="3254"/>
      <c r="I22" s="3254"/>
    </row>
    <row r="23" spans="1:9" ht="16.5">
      <c r="A23" s="3247" t="s">
        <v>2955</v>
      </c>
      <c r="B23" s="3254"/>
      <c r="C23" s="3254"/>
      <c r="D23" s="3254"/>
      <c r="E23" s="3251" t="e">
        <f t="shared" si="0"/>
        <v>#DIV/0!</v>
      </c>
      <c r="F23" s="3251" t="e">
        <f t="shared" si="1"/>
        <v>#DIV/0!</v>
      </c>
      <c r="G23" s="3254"/>
      <c r="H23" s="3254"/>
      <c r="I23" s="3254"/>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A118" sqref="A118:I118"/>
    </sheetView>
  </sheetViews>
  <sheetFormatPr defaultColWidth="12.625" defaultRowHeight="21.75" customHeight="1"/>
  <cols>
    <col min="1" max="2" width="12.625" style="1241"/>
    <col min="3" max="4" width="12.625" style="1241" customWidth="1"/>
    <col min="5" max="9" width="12.625" style="1241"/>
    <col min="10" max="11" width="12.625" style="1442" customWidth="1"/>
    <col min="12" max="12" width="12.625" style="1442"/>
    <col min="13" max="13" width="14.125" style="1442" bestFit="1" customWidth="1"/>
    <col min="14" max="26" width="12.625" style="1442"/>
    <col min="27" max="35" width="12.625" style="1430"/>
    <col min="36" max="16384" width="12.625" style="1241"/>
  </cols>
  <sheetData>
    <row r="1" spans="1:12" ht="21.75" customHeight="1" thickBot="1">
      <c r="A1" s="17" t="s">
        <v>755</v>
      </c>
      <c r="B1" s="1240"/>
      <c r="C1" s="2094"/>
      <c r="D1" s="1240"/>
      <c r="E1" s="1240"/>
      <c r="F1" s="2078" t="s">
        <v>2103</v>
      </c>
      <c r="G1" s="2051" t="s">
        <v>3063</v>
      </c>
      <c r="H1" s="2107" t="str">
        <f>IF(G1="现房","——","估价对象范围")</f>
        <v>估价对象范围</v>
      </c>
      <c r="I1" s="2084"/>
    </row>
    <row r="2" spans="1:12" ht="21.75" customHeight="1" thickBot="1">
      <c r="A2" s="3631" t="str">
        <f>项目基本情况!S2</f>
        <v>北京市北京市门头沟区潭柘寺MC01-0003-6004地块C3出让国有建设用地使用权及在建建筑物房地产</v>
      </c>
      <c r="B2" s="3632"/>
      <c r="C2" s="3632"/>
      <c r="D2" s="3632"/>
      <c r="E2" s="3632"/>
      <c r="F2" s="3632"/>
      <c r="G2" s="3632"/>
      <c r="H2" s="3632"/>
      <c r="I2" s="3633"/>
    </row>
    <row r="3" spans="1:12" ht="12">
      <c r="A3" s="3635" t="s">
        <v>10</v>
      </c>
      <c r="B3" s="3636"/>
      <c r="C3" s="3636"/>
      <c r="D3" s="3636"/>
      <c r="E3" s="3636"/>
      <c r="F3" s="3636"/>
      <c r="G3" s="3636"/>
      <c r="H3" s="3636"/>
      <c r="I3" s="3636"/>
    </row>
    <row r="4" spans="1:12" ht="13.5">
      <c r="A4" s="429" t="s">
        <v>11</v>
      </c>
      <c r="B4" s="430" t="s">
        <v>12</v>
      </c>
      <c r="C4" s="431" t="s">
        <v>3376</v>
      </c>
      <c r="D4" s="431" t="s">
        <v>3377</v>
      </c>
      <c r="E4" s="3640" t="s">
        <v>756</v>
      </c>
      <c r="F4" s="3641"/>
      <c r="G4" s="3641"/>
      <c r="H4" s="3641"/>
      <c r="I4" s="3642"/>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606" t="s">
        <v>13</v>
      </c>
      <c r="B5" s="3634">
        <v>25</v>
      </c>
      <c r="C5" s="3637"/>
      <c r="D5" s="3624"/>
      <c r="E5" s="471" t="s">
        <v>800</v>
      </c>
      <c r="F5" s="432"/>
      <c r="G5" s="432"/>
      <c r="H5" s="432"/>
      <c r="I5" s="433"/>
    </row>
    <row r="6" spans="1:12" ht="12.75">
      <c r="A6" s="3606"/>
      <c r="B6" s="3634"/>
      <c r="C6" s="3639"/>
      <c r="D6" s="3624"/>
      <c r="E6" s="471" t="s">
        <v>801</v>
      </c>
      <c r="F6" s="432"/>
      <c r="G6" s="432"/>
      <c r="H6" s="432"/>
      <c r="I6" s="433"/>
    </row>
    <row r="7" spans="1:12" ht="12.75">
      <c r="A7" s="3606"/>
      <c r="B7" s="3634"/>
      <c r="C7" s="3638"/>
      <c r="D7" s="3624"/>
      <c r="E7" s="471" t="s">
        <v>802</v>
      </c>
      <c r="F7" s="432"/>
      <c r="G7" s="432"/>
      <c r="H7" s="432"/>
      <c r="I7" s="433"/>
    </row>
    <row r="8" spans="1:12" ht="12.75">
      <c r="A8" s="3606" t="s">
        <v>14</v>
      </c>
      <c r="B8" s="3634">
        <v>15</v>
      </c>
      <c r="C8" s="3637"/>
      <c r="D8" s="3624"/>
      <c r="E8" s="471" t="s">
        <v>803</v>
      </c>
      <c r="F8" s="432"/>
      <c r="G8" s="432"/>
      <c r="H8" s="432"/>
      <c r="I8" s="433"/>
    </row>
    <row r="9" spans="1:12" ht="12.75">
      <c r="A9" s="3606"/>
      <c r="B9" s="3634"/>
      <c r="C9" s="3638"/>
      <c r="D9" s="3624"/>
      <c r="E9" s="471" t="s">
        <v>804</v>
      </c>
      <c r="F9" s="432"/>
      <c r="G9" s="432"/>
      <c r="H9" s="432"/>
      <c r="I9" s="433"/>
    </row>
    <row r="10" spans="1:12" ht="12.75">
      <c r="A10" s="3606" t="s">
        <v>15</v>
      </c>
      <c r="B10" s="3634">
        <v>15</v>
      </c>
      <c r="C10" s="3637"/>
      <c r="D10" s="3624"/>
      <c r="E10" s="471" t="s">
        <v>805</v>
      </c>
      <c r="F10" s="432"/>
      <c r="G10" s="432"/>
      <c r="H10" s="432"/>
      <c r="I10" s="433"/>
    </row>
    <row r="11" spans="1:12" ht="12.75">
      <c r="A11" s="3606"/>
      <c r="B11" s="3634"/>
      <c r="C11" s="3638"/>
      <c r="D11" s="3624"/>
      <c r="E11" s="471" t="s">
        <v>806</v>
      </c>
      <c r="F11" s="432"/>
      <c r="G11" s="432"/>
      <c r="H11" s="432"/>
      <c r="I11" s="433"/>
    </row>
    <row r="12" spans="1:12" ht="12.75">
      <c r="A12" s="3606" t="s">
        <v>16</v>
      </c>
      <c r="B12" s="3634">
        <v>15</v>
      </c>
      <c r="C12" s="3637"/>
      <c r="D12" s="3624"/>
      <c r="E12" s="471" t="s">
        <v>807</v>
      </c>
      <c r="F12" s="432"/>
      <c r="G12" s="432"/>
      <c r="H12" s="432"/>
      <c r="I12" s="433"/>
    </row>
    <row r="13" spans="1:12" ht="12.75">
      <c r="A13" s="3606"/>
      <c r="B13" s="3634"/>
      <c r="C13" s="3638"/>
      <c r="D13" s="3624"/>
      <c r="E13" s="471" t="s">
        <v>808</v>
      </c>
      <c r="F13" s="432"/>
      <c r="G13" s="432"/>
      <c r="H13" s="432"/>
      <c r="I13" s="433"/>
    </row>
    <row r="14" spans="1:12" ht="12.75">
      <c r="A14" s="3606" t="s">
        <v>17</v>
      </c>
      <c r="B14" s="3634">
        <v>30</v>
      </c>
      <c r="C14" s="3637">
        <v>45</v>
      </c>
      <c r="D14" s="3624">
        <v>55</v>
      </c>
      <c r="E14" s="471" t="s">
        <v>809</v>
      </c>
      <c r="F14" s="432"/>
      <c r="G14" s="432"/>
      <c r="H14" s="432"/>
      <c r="I14" s="433"/>
    </row>
    <row r="15" spans="1:12" ht="12.75">
      <c r="A15" s="3606"/>
      <c r="B15" s="3634"/>
      <c r="C15" s="3639"/>
      <c r="D15" s="3624"/>
      <c r="E15" s="471" t="s">
        <v>810</v>
      </c>
      <c r="F15" s="432"/>
      <c r="G15" s="432"/>
      <c r="H15" s="432"/>
      <c r="I15" s="433"/>
    </row>
    <row r="16" spans="1:12" ht="12.75">
      <c r="A16" s="3606"/>
      <c r="B16" s="3634"/>
      <c r="C16" s="3638"/>
      <c r="D16" s="3624"/>
      <c r="E16" s="471" t="s">
        <v>811</v>
      </c>
      <c r="F16" s="432"/>
      <c r="G16" s="432"/>
      <c r="H16" s="432"/>
      <c r="I16" s="433"/>
    </row>
    <row r="17" spans="1:35" ht="14.25">
      <c r="A17" s="434" t="s">
        <v>18</v>
      </c>
      <c r="B17" s="38"/>
      <c r="C17" s="472">
        <f>SUM(C5:C16)</f>
        <v>45</v>
      </c>
      <c r="D17" s="472">
        <f>SUM(D5:D16)</f>
        <v>55</v>
      </c>
      <c r="E17" s="2273"/>
      <c r="F17" s="2273"/>
      <c r="G17" s="2273"/>
      <c r="H17" s="2273"/>
      <c r="I17" s="2273"/>
      <c r="K17" s="2180"/>
      <c r="L17" s="2181" t="s">
        <v>2311</v>
      </c>
      <c r="M17" s="2181" t="s">
        <v>2312</v>
      </c>
    </row>
    <row r="18" spans="1:35" ht="15" thickBot="1">
      <c r="A18" s="435" t="s">
        <v>19</v>
      </c>
      <c r="B18" s="18"/>
      <c r="C18" s="473">
        <f>ROUND(C17/SUM(C17:D17),2)</f>
        <v>0.45</v>
      </c>
      <c r="D18" s="473">
        <f>1-C18</f>
        <v>0.55000000000000004</v>
      </c>
      <c r="E18" s="2273"/>
      <c r="F18" s="2273"/>
      <c r="G18" s="2273"/>
      <c r="H18" s="2273"/>
      <c r="I18" s="2273"/>
      <c r="K18" s="2180" t="s">
        <v>2125</v>
      </c>
      <c r="L18" s="2180">
        <f>IF(C1="",'数据-汇总表'!E3,SUMIF(项目类型,C1,'数据-汇总表'!E17:E26)+SUMIF(项目类型,C1,'数据-汇总表'!I17:I26))</f>
        <v>54996.800000000003</v>
      </c>
      <c r="M18" s="2180">
        <f>IF(C1="",'数据-汇总表'!E3,SUMIF(项目类型,C1,'数据-汇总表'!E17:E26))</f>
        <v>54996.800000000003</v>
      </c>
    </row>
    <row r="19" spans="1:35" ht="14.25">
      <c r="A19" s="436" t="s">
        <v>179</v>
      </c>
      <c r="B19" s="437" t="s">
        <v>20</v>
      </c>
      <c r="C19" s="474">
        <f ca="1">SUMIF(INDIRECT("'"&amp;C4&amp;"'"&amp;"!A:A"),结果表!B19,INDIRECT("'"&amp;C4&amp;"'"&amp;"!B:B"))</f>
        <v>140490</v>
      </c>
      <c r="D19" s="475">
        <f ca="1">SUMIF(INDIRECT("'"&amp;D4&amp;"'"&amp;"!A:A"),结果表!B19,INDIRECT("'"&amp;D4&amp;"'"&amp;"!B:B"))</f>
        <v>190361</v>
      </c>
      <c r="E19" s="436" t="s">
        <v>178</v>
      </c>
      <c r="F19" s="437" t="s">
        <v>20</v>
      </c>
      <c r="G19" s="476">
        <f ca="1">ROUND(C19*$C$18+D19*$D$18,0)</f>
        <v>167919</v>
      </c>
      <c r="H19" s="438" t="s">
        <v>225</v>
      </c>
      <c r="I19" s="2273"/>
      <c r="K19" s="2180" t="s">
        <v>2126</v>
      </c>
      <c r="L19" s="2180">
        <f>IF(C1="",'数据-汇总表'!D3,SUMIF(项目类型,C1,'数据-汇总表'!D17:D26)+SUMIF(项目类型,C1,'数据-汇总表'!H17:H27))</f>
        <v>27526.28</v>
      </c>
      <c r="M19" s="2180">
        <f>IF(C1="",'数据-汇总表'!D3,SUMIF(项目类型,C1,'数据-汇总表'!D17:D26))</f>
        <v>27526.28</v>
      </c>
    </row>
    <row r="20" spans="1:35" ht="14.25">
      <c r="A20" s="439"/>
      <c r="B20" s="440" t="s">
        <v>21</v>
      </c>
      <c r="C20" s="477">
        <f ca="1">SUMIF(INDIRECT("'"&amp;C4&amp;"'"&amp;"!A:A"),结果表!B20,INDIRECT("'"&amp;C4&amp;"'"&amp;"!B:B"))</f>
        <v>25545</v>
      </c>
      <c r="D20" s="478">
        <f ca="1">SUMIF(INDIRECT("'"&amp;D4&amp;"'"&amp;"!A:A"),结果表!B20,INDIRECT("'"&amp;D4&amp;"'"&amp;"!B:B"))</f>
        <v>34613</v>
      </c>
      <c r="E20" s="439"/>
      <c r="F20" s="440" t="s">
        <v>21</v>
      </c>
      <c r="G20" s="479">
        <f ca="1">ROUND(C20*$C$18+D20*$D$18,0)</f>
        <v>30532</v>
      </c>
      <c r="H20" s="441" t="s">
        <v>224</v>
      </c>
      <c r="I20" s="2273"/>
    </row>
    <row r="21" spans="1:35" ht="15" customHeight="1" thickBot="1">
      <c r="A21" s="443"/>
      <c r="B21" s="444" t="s">
        <v>22</v>
      </c>
      <c r="C21" s="1418">
        <f ca="1">ROUND(C19*10000/L19,0)</f>
        <v>51038</v>
      </c>
      <c r="D21" s="1419">
        <f ca="1">ROUND(D19*10000/L19,0)</f>
        <v>69156</v>
      </c>
      <c r="E21" s="443"/>
      <c r="F21" s="444" t="s">
        <v>22</v>
      </c>
      <c r="G21" s="480">
        <f ca="1">ROUND(G19*10000/L19,0)</f>
        <v>61003</v>
      </c>
      <c r="H21" s="445" t="s">
        <v>224</v>
      </c>
      <c r="I21" s="2273"/>
    </row>
    <row r="22" spans="1:35" ht="15" thickBot="1">
      <c r="A22" s="275" t="s">
        <v>180</v>
      </c>
      <c r="B22" s="1420"/>
      <c r="C22" s="1421"/>
      <c r="D22" s="1422">
        <f ca="1">IF(C19&lt;D19,D19/C19-1,C19/D19-1)</f>
        <v>0.35497900206420385</v>
      </c>
      <c r="E22" s="2273"/>
      <c r="F22" s="2273"/>
      <c r="G22" s="2273"/>
      <c r="H22" s="2273"/>
      <c r="I22" s="2273"/>
    </row>
    <row r="23" spans="1:35" ht="12.75" thickBot="1">
      <c r="A23" s="1240"/>
      <c r="B23" s="1240"/>
      <c r="C23" s="1240"/>
      <c r="D23" s="1240"/>
      <c r="E23" s="2273"/>
      <c r="F23" s="2273"/>
      <c r="G23" s="2273"/>
      <c r="H23" s="2273"/>
      <c r="I23" s="2273"/>
    </row>
    <row r="24" spans="1:35" ht="14.25">
      <c r="A24" s="3649" t="s">
        <v>176</v>
      </c>
      <c r="B24" s="437" t="s">
        <v>20</v>
      </c>
      <c r="C24" s="476">
        <f>IF(B30=0,0,D30)</f>
        <v>0</v>
      </c>
      <c r="D24" s="446"/>
      <c r="E24" s="2273"/>
      <c r="F24" s="2273"/>
      <c r="G24" s="2273"/>
      <c r="H24" s="2273"/>
      <c r="I24" s="2273"/>
    </row>
    <row r="25" spans="1:35" ht="14.25">
      <c r="A25" s="3650"/>
      <c r="B25" s="440" t="s">
        <v>21</v>
      </c>
      <c r="C25" s="481">
        <f>IF(B30=0,0,C30)</f>
        <v>0</v>
      </c>
      <c r="D25" s="447"/>
      <c r="E25" s="2273"/>
      <c r="F25" s="2273"/>
      <c r="G25" s="2273"/>
      <c r="H25" s="2273"/>
      <c r="I25" s="2273"/>
    </row>
    <row r="26" spans="1:35" ht="13.5" customHeight="1">
      <c r="A26" s="448" t="s">
        <v>177</v>
      </c>
      <c r="B26" s="449" t="s">
        <v>120</v>
      </c>
      <c r="C26" s="449" t="s">
        <v>121</v>
      </c>
      <c r="D26" s="450" t="s">
        <v>122</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175</v>
      </c>
      <c r="B30" s="484">
        <f>SUM(B27:B29)</f>
        <v>0</v>
      </c>
      <c r="C30" s="484" t="e">
        <f>ROUND(D30*10000/B30,0)</f>
        <v>#DIV/0!</v>
      </c>
      <c r="D30" s="484">
        <f>SUM(D27:D29)</f>
        <v>0</v>
      </c>
      <c r="E30" s="2273"/>
      <c r="F30" s="2273"/>
      <c r="G30" s="2273"/>
      <c r="H30" s="2273"/>
      <c r="I30" s="2273"/>
    </row>
    <row r="31" spans="1:35" s="1242" customFormat="1" ht="14.25" thickBot="1">
      <c r="A31" s="452"/>
      <c r="B31" s="452"/>
      <c r="C31" s="452"/>
      <c r="D31" s="452"/>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3" t="s">
        <v>174</v>
      </c>
      <c r="B32" s="454"/>
      <c r="C32" s="485">
        <f ca="1">IF(D32="总价",G19-C24,G20-C25)</f>
        <v>167919</v>
      </c>
      <c r="D32" s="2088" t="s">
        <v>207</v>
      </c>
      <c r="E32" s="2273"/>
      <c r="F32" s="2273"/>
      <c r="G32" s="2273"/>
      <c r="H32" s="2273"/>
      <c r="I32" s="2273"/>
    </row>
    <row r="33" spans="1:15" ht="13.5">
      <c r="A33" s="457" t="s">
        <v>757</v>
      </c>
      <c r="B33" s="2087"/>
      <c r="C33" s="2870" t="s">
        <v>3378</v>
      </c>
      <c r="D33" s="2873" t="s">
        <v>3376</v>
      </c>
      <c r="E33" s="2085" t="s">
        <v>2105</v>
      </c>
      <c r="F33" s="2086" t="str">
        <f>IF(D32="楼面单价","取值（单价）","取值（总价）")</f>
        <v>取值（总价）</v>
      </c>
      <c r="G33" s="2273"/>
      <c r="H33" s="2273"/>
      <c r="I33" s="2273"/>
    </row>
    <row r="34" spans="1:15" ht="15">
      <c r="A34" s="458"/>
      <c r="B34" s="459" t="s">
        <v>760</v>
      </c>
      <c r="C34" s="489">
        <f ca="1">IF(C33="自定义",F34,C32-C35)</f>
        <v>152638</v>
      </c>
      <c r="D34" s="2089">
        <f ca="1">IF(C33="自定义",ROUND(C34/C32,3),IF(C33="收益比率",SUMIF(INDIRECT("'"&amp;D33&amp;"'"&amp;"!b:b"),"土地收益比率",INDIRECT("'"&amp;D33&amp;"'"&amp;"!c:c")),SUMIF(INDIRECT("'"&amp;D33&amp;"'"&amp;"!b:b"),"土地成本比率",INDIRECT("'"&amp;D33&amp;"'"&amp;"!c:c"))))</f>
        <v>0.90900000000000003</v>
      </c>
      <c r="E34" s="2871" t="s">
        <v>2106</v>
      </c>
      <c r="F34" s="3244"/>
      <c r="G34" s="2273"/>
      <c r="H34" s="2273"/>
      <c r="I34" s="2273"/>
    </row>
    <row r="35" spans="1:15" ht="15.75" thickBot="1">
      <c r="A35" s="461"/>
      <c r="B35" s="2874" t="s">
        <v>762</v>
      </c>
      <c r="C35" s="2875">
        <f ca="1">IF(C33="自定义",F35,ROUND(C32*D35,0))</f>
        <v>15281</v>
      </c>
      <c r="D35" s="2876">
        <f ca="1">IF(C33="自定义",ROUND(C35/C32,3),IF(C33="收益比率",SUMIF(INDIRECT("'"&amp;D33&amp;"'"&amp;"!b:b"),"建筑物收益比率",INDIRECT("'"&amp;D33&amp;"'"&amp;"!c:c")),SUMIF(INDIRECT("'"&amp;D33&amp;"'"&amp;"!b:b"),"建筑物成本比率",INDIRECT("'"&amp;D33&amp;"'"&amp;"!c:c"))))</f>
        <v>9.0999999999999998E-2</v>
      </c>
      <c r="E35" s="2872" t="s">
        <v>2107</v>
      </c>
      <c r="F35" s="495"/>
      <c r="G35" s="2273"/>
      <c r="H35" s="2273"/>
      <c r="I35" s="2273"/>
    </row>
    <row r="36" spans="1:15" ht="15.75" thickBot="1">
      <c r="A36" s="3625" t="s">
        <v>758</v>
      </c>
      <c r="B36" s="455" t="s">
        <v>759</v>
      </c>
      <c r="C36" s="486"/>
      <c r="D36" s="456"/>
      <c r="E36" s="1243"/>
      <c r="F36" s="2274"/>
      <c r="G36" s="2273"/>
      <c r="H36" s="2273"/>
      <c r="I36" s="2273"/>
    </row>
    <row r="37" spans="1:15" ht="15.75" thickBot="1">
      <c r="A37" s="3626"/>
      <c r="B37" s="13" t="s">
        <v>761</v>
      </c>
      <c r="C37" s="488"/>
      <c r="D37" s="2222"/>
      <c r="E37" s="2222"/>
      <c r="F37" s="2274"/>
      <c r="G37" s="2273"/>
      <c r="H37" s="2273"/>
      <c r="I37" s="2273"/>
    </row>
    <row r="38" spans="1:15" ht="15.75" thickBot="1">
      <c r="A38" s="3627"/>
      <c r="B38" s="460" t="s">
        <v>763</v>
      </c>
      <c r="C38" s="1134"/>
      <c r="D38" s="1244" t="s">
        <v>764</v>
      </c>
      <c r="E38" s="2222"/>
      <c r="F38" s="2274"/>
      <c r="G38" s="2273"/>
      <c r="H38" s="2273"/>
      <c r="I38" s="2273"/>
    </row>
    <row r="39" spans="1:15" ht="13.5">
      <c r="A39" s="439" t="s">
        <v>765</v>
      </c>
      <c r="B39" s="462" t="s">
        <v>766</v>
      </c>
      <c r="C39" s="463" t="s">
        <v>767</v>
      </c>
      <c r="D39" s="463" t="s">
        <v>768</v>
      </c>
      <c r="E39" s="464" t="s">
        <v>769</v>
      </c>
      <c r="F39" s="2274"/>
      <c r="G39" s="2273"/>
      <c r="H39" s="2273"/>
      <c r="I39" s="2273"/>
    </row>
    <row r="40" spans="1:15" ht="13.5">
      <c r="A40" s="1245" t="s">
        <v>770</v>
      </c>
      <c r="B40" s="490"/>
      <c r="C40" s="491"/>
      <c r="D40" s="491"/>
      <c r="E40" s="492"/>
      <c r="F40" s="2274"/>
      <c r="G40" s="2273"/>
      <c r="H40" s="2273"/>
      <c r="I40" s="2273"/>
    </row>
    <row r="41" spans="1:15" ht="13.5">
      <c r="A41" s="1245" t="s">
        <v>771</v>
      </c>
      <c r="B41" s="490"/>
      <c r="C41" s="491"/>
      <c r="D41" s="491"/>
      <c r="E41" s="492"/>
      <c r="F41" s="2274"/>
      <c r="G41" s="2273"/>
      <c r="H41" s="2273"/>
      <c r="I41" s="2273"/>
    </row>
    <row r="42" spans="1:15" ht="14.25" thickBot="1">
      <c r="A42" s="1246"/>
      <c r="B42" s="493"/>
      <c r="C42" s="494"/>
      <c r="D42" s="494"/>
      <c r="E42" s="495"/>
      <c r="F42" s="2274"/>
      <c r="G42" s="2273"/>
      <c r="H42" s="2273"/>
      <c r="I42" s="2273"/>
    </row>
    <row r="43" spans="1:15" ht="12">
      <c r="A43" s="241"/>
      <c r="B43" s="241"/>
      <c r="C43" s="241"/>
      <c r="D43" s="241"/>
      <c r="E43" s="241"/>
      <c r="F43" s="1247"/>
      <c r="G43" s="1247"/>
      <c r="H43" s="1247"/>
      <c r="I43" s="1248"/>
    </row>
    <row r="44" spans="1:15" ht="18.75">
      <c r="A44" s="1249" t="s">
        <v>772</v>
      </c>
      <c r="B44" s="1250"/>
      <c r="C44" s="1250"/>
      <c r="D44" s="1251"/>
      <c r="E44" s="1251"/>
      <c r="F44" s="1252"/>
      <c r="G44" s="1252"/>
      <c r="H44" s="1252"/>
      <c r="I44" s="1252"/>
      <c r="J44" s="3261" t="s">
        <v>211</v>
      </c>
      <c r="K44" s="3262"/>
      <c r="L44" s="3262"/>
      <c r="M44" s="3262"/>
      <c r="N44" s="3262"/>
      <c r="O44" s="3262"/>
    </row>
    <row r="45" spans="1:15" ht="14.25" customHeight="1" thickBot="1">
      <c r="A45" s="3646" t="s">
        <v>792</v>
      </c>
      <c r="B45" s="3647"/>
      <c r="C45" s="3648"/>
      <c r="D45" s="496">
        <f ca="1">ROUND(H101*F45,0)</f>
        <v>167919</v>
      </c>
      <c r="E45" s="497" t="s">
        <v>793</v>
      </c>
      <c r="F45" s="498">
        <v>1</v>
      </c>
      <c r="G45" s="499" t="s">
        <v>794</v>
      </c>
      <c r="H45" s="2273"/>
      <c r="I45" s="2273"/>
      <c r="J45" s="3556" t="s">
        <v>212</v>
      </c>
      <c r="K45" s="3556"/>
      <c r="L45" s="3556"/>
      <c r="M45" s="3556"/>
      <c r="N45" s="3556"/>
      <c r="O45" s="3556"/>
    </row>
    <row r="46" spans="1:15" ht="14.25" customHeight="1">
      <c r="A46" s="3643" t="s">
        <v>284</v>
      </c>
      <c r="B46" s="3644"/>
      <c r="C46" s="3644"/>
      <c r="D46" s="3644"/>
      <c r="E46" s="3644"/>
      <c r="F46" s="3644"/>
      <c r="G46" s="3645"/>
      <c r="H46" s="2275"/>
      <c r="I46" s="2228"/>
      <c r="J46" s="1497">
        <v>1</v>
      </c>
      <c r="K46" s="3556" t="s">
        <v>213</v>
      </c>
      <c r="L46" s="3556"/>
      <c r="M46" s="3557"/>
      <c r="N46" s="3557"/>
      <c r="O46" s="3557"/>
    </row>
    <row r="47" spans="1:15" ht="12" customHeight="1">
      <c r="A47" s="501" t="s">
        <v>285</v>
      </c>
      <c r="B47" s="502"/>
      <c r="C47" s="503"/>
      <c r="D47" s="504" t="s">
        <v>286</v>
      </c>
      <c r="E47" s="313" t="s">
        <v>287</v>
      </c>
      <c r="F47" s="505" t="s">
        <v>795</v>
      </c>
      <c r="G47" s="506" t="s">
        <v>796</v>
      </c>
      <c r="H47" s="2275"/>
      <c r="I47" s="2228"/>
      <c r="J47" s="1497">
        <v>2</v>
      </c>
      <c r="K47" s="3556" t="s">
        <v>214</v>
      </c>
      <c r="L47" s="3556"/>
      <c r="M47" s="3558">
        <f>'数据-取费表'!B2</f>
        <v>42975</v>
      </c>
      <c r="N47" s="3558"/>
      <c r="O47" s="3558"/>
    </row>
    <row r="48" spans="1:15" ht="25.5">
      <c r="A48" s="3629" t="s">
        <v>288</v>
      </c>
      <c r="B48" s="3630"/>
      <c r="C48" s="3630"/>
      <c r="D48" s="471">
        <f>IF(H48="情况1",0,IF(H48="情况2",D52,IF(H48="情况3",D53,IF(H48="情况4",D54))))</f>
        <v>0</v>
      </c>
      <c r="E48" s="1920" t="str">
        <f>IF(H48="情况4","(销售额-原购置价)×税（费）率","销售额×税（费）率")</f>
        <v>销售额×税（费）率</v>
      </c>
      <c r="F48" s="507" t="str">
        <f>IF(H48="情况1","免征",'数据-取费表'!B41)</f>
        <v>免征</v>
      </c>
      <c r="G48" s="465" t="s">
        <v>773</v>
      </c>
      <c r="H48" s="1428" t="s">
        <v>2408</v>
      </c>
      <c r="I48" s="2275"/>
      <c r="J48" s="1497">
        <v>3</v>
      </c>
      <c r="K48" s="3556" t="s">
        <v>774</v>
      </c>
      <c r="L48" s="3556"/>
      <c r="M48" s="3559">
        <f ca="1">H101</f>
        <v>167919</v>
      </c>
      <c r="N48" s="3559"/>
      <c r="O48" s="3559"/>
    </row>
    <row r="49" spans="1:35" ht="25.5" customHeight="1">
      <c r="A49" s="508" t="s">
        <v>797</v>
      </c>
      <c r="B49" s="3609" t="s">
        <v>798</v>
      </c>
      <c r="C49" s="3609"/>
      <c r="D49" s="509">
        <v>0</v>
      </c>
      <c r="E49" s="312" t="s">
        <v>799</v>
      </c>
      <c r="F49" s="317" t="s">
        <v>170</v>
      </c>
      <c r="G49" s="3588"/>
      <c r="H49" s="2273"/>
      <c r="I49" s="2276"/>
      <c r="J49" s="1497">
        <v>4</v>
      </c>
      <c r="K49" s="3556" t="str">
        <f>IF(项目基本情况!E8="房地产抵押价值","房地产抵押价值","抵押担保权已注销时的房地产抵押价值")</f>
        <v>房地产抵押价值</v>
      </c>
      <c r="L49" s="3556"/>
      <c r="M49" s="3559">
        <f ca="1">IF(项目基本情况!E8="房地产抵押价值",H107,H109)</f>
        <v>167919</v>
      </c>
      <c r="N49" s="3559"/>
      <c r="O49" s="3559"/>
    </row>
    <row r="50" spans="1:35" ht="25.5" customHeight="1">
      <c r="A50" s="510"/>
      <c r="B50" s="3609" t="s">
        <v>291</v>
      </c>
      <c r="C50" s="3609"/>
      <c r="D50" s="511"/>
      <c r="E50" s="320"/>
      <c r="F50" s="512"/>
      <c r="G50" s="3589"/>
      <c r="H50" s="2273"/>
      <c r="I50" s="2276"/>
      <c r="J50" s="3556" t="s">
        <v>215</v>
      </c>
      <c r="K50" s="3556"/>
      <c r="L50" s="3556"/>
      <c r="M50" s="3556"/>
      <c r="N50" s="3556"/>
      <c r="O50" s="3556"/>
    </row>
    <row r="51" spans="1:35" ht="12" customHeight="1">
      <c r="A51" s="513"/>
      <c r="B51" s="3609" t="s">
        <v>292</v>
      </c>
      <c r="C51" s="3609"/>
      <c r="D51" s="514"/>
      <c r="E51" s="319"/>
      <c r="F51" s="512"/>
      <c r="G51" s="3590"/>
      <c r="H51" s="2273"/>
      <c r="I51" s="2276"/>
      <c r="J51" s="3263" t="s">
        <v>216</v>
      </c>
      <c r="K51" s="3556" t="s">
        <v>217</v>
      </c>
      <c r="L51" s="3556"/>
      <c r="M51" s="3263" t="s">
        <v>2992</v>
      </c>
      <c r="N51" s="3263" t="s">
        <v>218</v>
      </c>
      <c r="O51" s="3263" t="s">
        <v>219</v>
      </c>
    </row>
    <row r="52" spans="1:35" ht="24" customHeight="1">
      <c r="A52" s="515" t="s">
        <v>293</v>
      </c>
      <c r="B52" s="3609" t="s">
        <v>294</v>
      </c>
      <c r="C52" s="3609"/>
      <c r="D52" s="514">
        <f ca="1">ROUND(D45*'数据-取费表'!B41/(1+'数据-取费表'!C42),0)</f>
        <v>8956</v>
      </c>
      <c r="E52" s="299" t="s">
        <v>295</v>
      </c>
      <c r="F52" s="516">
        <f>'数据-取费表'!B41</f>
        <v>5.6000000000000001E-2</v>
      </c>
      <c r="G52" s="466"/>
      <c r="H52" s="2273"/>
      <c r="I52" s="2276"/>
      <c r="J52" s="1497">
        <v>1</v>
      </c>
      <c r="K52" s="3582" t="s">
        <v>775</v>
      </c>
      <c r="L52" s="3582"/>
      <c r="M52" s="3264">
        <f>D48</f>
        <v>0</v>
      </c>
      <c r="N52" s="1496" t="str">
        <f>E48</f>
        <v>销售额×税（费）率</v>
      </c>
      <c r="O52" s="3265" t="str">
        <f>F48</f>
        <v>免征</v>
      </c>
    </row>
    <row r="53" spans="1:35" ht="12" customHeight="1">
      <c r="A53" s="515" t="s">
        <v>296</v>
      </c>
      <c r="B53" s="3610" t="s">
        <v>297</v>
      </c>
      <c r="C53" s="3611"/>
      <c r="D53" s="514">
        <f ca="1">ROUND(D45*'数据-取费表'!B41/(1+'数据-取费表'!C42),0)</f>
        <v>8956</v>
      </c>
      <c r="E53" s="299" t="s">
        <v>295</v>
      </c>
      <c r="F53" s="516">
        <f>'数据-取费表'!B41</f>
        <v>5.6000000000000001E-2</v>
      </c>
      <c r="G53" s="466"/>
      <c r="H53" s="2273"/>
      <c r="I53" s="2276"/>
      <c r="J53" s="1497">
        <v>2</v>
      </c>
      <c r="K53" s="3582" t="s">
        <v>776</v>
      </c>
      <c r="L53" s="3582"/>
      <c r="M53" s="3264">
        <f t="shared" ref="M53:O54" ca="1" si="0">D55</f>
        <v>84</v>
      </c>
      <c r="N53" s="1496" t="str">
        <f t="shared" si="0"/>
        <v>销售额×税（费）率</v>
      </c>
      <c r="O53" s="3265">
        <f t="shared" si="0"/>
        <v>5.0000000000000001E-4</v>
      </c>
    </row>
    <row r="54" spans="1:35" ht="12" customHeight="1">
      <c r="A54" s="515" t="s">
        <v>298</v>
      </c>
      <c r="B54" s="3610" t="s">
        <v>299</v>
      </c>
      <c r="C54" s="3611"/>
      <c r="D54" s="514">
        <f ca="1">C68</f>
        <v>8956</v>
      </c>
      <c r="E54" s="319" t="s">
        <v>300</v>
      </c>
      <c r="F54" s="516">
        <f>'数据-取费表'!B41</f>
        <v>5.6000000000000001E-2</v>
      </c>
      <c r="G54" s="466"/>
      <c r="H54" s="2277"/>
      <c r="I54" s="2276"/>
      <c r="J54" s="1497">
        <v>3</v>
      </c>
      <c r="K54" s="3582" t="s">
        <v>777</v>
      </c>
      <c r="L54" s="3582"/>
      <c r="M54" s="3264">
        <f t="shared" ca="1" si="0"/>
        <v>95042</v>
      </c>
      <c r="N54" s="1496" t="str">
        <f t="shared" si="0"/>
        <v>增值额×税（费）率</v>
      </c>
      <c r="O54" s="3266" t="str">
        <f t="shared" si="0"/>
        <v>——</v>
      </c>
    </row>
    <row r="55" spans="1:35" ht="24" customHeight="1">
      <c r="A55" s="3652" t="s">
        <v>301</v>
      </c>
      <c r="B55" s="3630"/>
      <c r="C55" s="3630"/>
      <c r="D55" s="517">
        <f ca="1">IF(H55="个人住宅",0,ROUND(D45*I55,0))</f>
        <v>84</v>
      </c>
      <c r="E55" s="299" t="s">
        <v>302</v>
      </c>
      <c r="F55" s="516">
        <f>IF(H55="正常",I55,"免征")</f>
        <v>5.0000000000000001E-4</v>
      </c>
      <c r="G55" s="466"/>
      <c r="H55" s="1428" t="s">
        <v>155</v>
      </c>
      <c r="I55" s="518">
        <f>'数据-取费表'!B49</f>
        <v>5.0000000000000001E-4</v>
      </c>
      <c r="J55" s="1497" t="str">
        <f>IF(H59="非个人房产","",4)</f>
        <v/>
      </c>
      <c r="K55" s="3582" t="str">
        <f>IF(H59="非个人房产","——","个人所得税")</f>
        <v>——</v>
      </c>
      <c r="L55" s="3582"/>
      <c r="M55" s="3267" t="str">
        <f>D59</f>
        <v>——</v>
      </c>
      <c r="N55" s="3268" t="str">
        <f>E59</f>
        <v>——</v>
      </c>
      <c r="O55" s="3269" t="str">
        <f>F59</f>
        <v>——</v>
      </c>
    </row>
    <row r="56" spans="1:35" ht="24.75">
      <c r="A56" s="3652" t="s">
        <v>303</v>
      </c>
      <c r="B56" s="3630"/>
      <c r="C56" s="3630"/>
      <c r="D56" s="517">
        <f ca="1">IF(H56="个人住宅",D57,D58)</f>
        <v>95042</v>
      </c>
      <c r="E56" s="299" t="s">
        <v>304</v>
      </c>
      <c r="F56" s="516" t="str">
        <f>IF(H56="正常",F58,"免征")</f>
        <v>——</v>
      </c>
      <c r="G56" s="1253" t="s">
        <v>778</v>
      </c>
      <c r="H56" s="1427" t="s">
        <v>155</v>
      </c>
      <c r="I56" s="2278"/>
      <c r="J56" s="1497" t="str">
        <f>IF(项目基本情况!K6="上海银行",IF(J55="",4,J55+1),"")</f>
        <v/>
      </c>
      <c r="K56" s="3562" t="str">
        <f>IF(项目基本情况!K6="上海银行","其他处置费用","")</f>
        <v/>
      </c>
      <c r="L56" s="3563"/>
      <c r="M56" s="3264" t="str">
        <f>IF(项目基本情况!K6="上海银行",M69,"")</f>
        <v/>
      </c>
      <c r="N56" s="3565" t="str">
        <f>IF(项目基本情况!K6="上海银行","包含处置中涉及的律师、诉讼、拍卖、评估等费用","")</f>
        <v/>
      </c>
      <c r="O56" s="3566"/>
    </row>
    <row r="57" spans="1:35" ht="12.75">
      <c r="A57" s="515" t="s">
        <v>289</v>
      </c>
      <c r="B57" s="3615" t="s">
        <v>305</v>
      </c>
      <c r="C57" s="3616"/>
      <c r="D57" s="519">
        <v>0</v>
      </c>
      <c r="E57" s="312" t="s">
        <v>290</v>
      </c>
      <c r="F57" s="487"/>
      <c r="G57" s="466"/>
      <c r="H57" s="2278"/>
      <c r="I57" s="2278"/>
      <c r="J57" s="3594">
        <f>IF(AND(J55="",J56=""),4,IF(项目基本情况!K6="上海银行",结果表!J56+1,结果表!J55+1))</f>
        <v>4</v>
      </c>
      <c r="K57" s="3582" t="s">
        <v>779</v>
      </c>
      <c r="L57" s="3270" t="s">
        <v>220</v>
      </c>
      <c r="M57" s="3271"/>
      <c r="N57" s="3272">
        <f ca="1">SUMIF(M52:M56,"&lt;9e307")</f>
        <v>95126</v>
      </c>
      <c r="O57" s="3273"/>
      <c r="P57" s="3260">
        <f ca="1">N57/M49</f>
        <v>0.56649932407887138</v>
      </c>
    </row>
    <row r="58" spans="1:35" ht="24.75">
      <c r="A58" s="515" t="s">
        <v>293</v>
      </c>
      <c r="B58" s="3615" t="s">
        <v>306</v>
      </c>
      <c r="C58" s="3628"/>
      <c r="D58" s="517">
        <f ca="1">IF(H58="转让取得",C81,C97)</f>
        <v>95042</v>
      </c>
      <c r="E58" s="299" t="s">
        <v>304</v>
      </c>
      <c r="F58" s="313" t="s">
        <v>170</v>
      </c>
      <c r="G58" s="466"/>
      <c r="H58" s="1427" t="s">
        <v>1127</v>
      </c>
      <c r="I58" s="2278"/>
      <c r="J58" s="3594"/>
      <c r="K58" s="3582"/>
      <c r="L58" s="3270" t="s">
        <v>221</v>
      </c>
      <c r="M58" s="3274"/>
      <c r="N58" s="3275" t="str">
        <f ca="1">NUMBERSTRING(INT(N57*10000),2)&amp;"元整"</f>
        <v>玖亿伍仟壹佰贰拾陆万元整</v>
      </c>
      <c r="O58" s="3276"/>
    </row>
    <row r="59" spans="1:35" ht="24.75" thickBot="1">
      <c r="A59" s="3586" t="s">
        <v>307</v>
      </c>
      <c r="B59" s="3587"/>
      <c r="C59" s="3587"/>
      <c r="D59" s="520" t="str">
        <f>IF(H59="非个人房产","——",IF(H59="个人住宅",0,ROUND(D45*I59,0)))</f>
        <v>——</v>
      </c>
      <c r="E59" s="521" t="str">
        <f>IF(H59="非个人房产","——","销售额×税（费）率")</f>
        <v>——</v>
      </c>
      <c r="F59" s="522" t="str">
        <f>IF(H59="非个人房产","——",IF(H59="个人住宅","免征",I59))</f>
        <v>——</v>
      </c>
      <c r="G59" s="1254" t="s">
        <v>169</v>
      </c>
      <c r="H59" s="1427" t="s">
        <v>1126</v>
      </c>
      <c r="I59" s="523">
        <v>0.01</v>
      </c>
      <c r="J59" s="3584">
        <f>J57+1</f>
        <v>5</v>
      </c>
      <c r="K59" s="3582" t="s">
        <v>171</v>
      </c>
      <c r="L59" s="1496" t="s">
        <v>220</v>
      </c>
      <c r="M59" s="3277"/>
      <c r="N59" s="3278">
        <f ca="1">M49-N57</f>
        <v>72793</v>
      </c>
      <c r="O59" s="3279"/>
    </row>
    <row r="60" spans="1:35" ht="12" customHeight="1">
      <c r="A60" s="1255"/>
      <c r="B60" s="1240"/>
      <c r="C60" s="1240"/>
      <c r="D60" s="1240"/>
      <c r="E60" s="229"/>
      <c r="F60" s="2278"/>
      <c r="G60" s="2278"/>
      <c r="H60" s="2279"/>
      <c r="I60" s="2273"/>
      <c r="J60" s="3585"/>
      <c r="K60" s="3582"/>
      <c r="L60" s="3270" t="s">
        <v>221</v>
      </c>
      <c r="M60" s="3274"/>
      <c r="N60" s="3275" t="str">
        <f ca="1">NUMBERSTRING(INT(N59*10000),2)&amp;"元整"</f>
        <v>柒亿贰仟柒佰玖拾叁万元整</v>
      </c>
      <c r="O60" s="3276"/>
    </row>
    <row r="61" spans="1:35" ht="13.5" thickBot="1">
      <c r="A61" s="3651" t="s">
        <v>308</v>
      </c>
      <c r="B61" s="3651"/>
      <c r="C61" s="3651"/>
      <c r="D61" s="3651"/>
      <c r="E61" s="3651"/>
      <c r="F61" s="2278"/>
      <c r="G61" s="2278"/>
      <c r="H61" s="2279"/>
      <c r="I61" s="2273"/>
      <c r="J61" s="1497">
        <f>J59+1</f>
        <v>6</v>
      </c>
      <c r="K61" s="3582" t="s">
        <v>222</v>
      </c>
      <c r="L61" s="3582"/>
      <c r="M61" s="3280"/>
      <c r="N61" s="3281">
        <f ca="1">ROUND(N59*10000/'数据-汇总表'!E3,0)</f>
        <v>13236</v>
      </c>
      <c r="O61" s="3282"/>
    </row>
    <row r="62" spans="1:35" ht="12.75">
      <c r="A62" s="3603" t="s">
        <v>309</v>
      </c>
      <c r="B62" s="3604"/>
      <c r="C62" s="1914"/>
      <c r="D62" s="1914" t="s">
        <v>317</v>
      </c>
      <c r="E62" s="524" t="s">
        <v>318</v>
      </c>
      <c r="F62" s="2278"/>
      <c r="G62" s="2278"/>
      <c r="H62" s="2279"/>
      <c r="I62" s="2273"/>
    </row>
    <row r="63" spans="1:35" ht="12.75">
      <c r="A63" s="535" t="s">
        <v>1889</v>
      </c>
      <c r="B63" s="525" t="s">
        <v>310</v>
      </c>
      <c r="C63" s="526">
        <f ca="1">ROUND((C64+C65)/(1+'数据-取费表'!C42),0)</f>
        <v>159923</v>
      </c>
      <c r="D63" s="527"/>
      <c r="E63" s="528"/>
      <c r="F63" s="2278"/>
      <c r="G63" s="2278"/>
      <c r="H63" s="2279"/>
      <c r="I63" s="2273"/>
      <c r="J63" s="3564" t="s">
        <v>2985</v>
      </c>
      <c r="K63" s="3259" t="s">
        <v>2986</v>
      </c>
      <c r="L63" s="3257">
        <f ca="1">IF(M49&gt;10000,M49*0.5%,IF(AND(M49&gt;1000,M49&lt;=10000),M49*1%,IF(AND(M49&gt;100,M49&lt;=1000),M49*3%,IF(AND(M49&gt;10,M49&lt;=100),M49*5%,M49*8%))))</f>
        <v>839.59500000000003</v>
      </c>
      <c r="M63" s="313">
        <f ca="1">ROUND(L63,1)</f>
        <v>839.6</v>
      </c>
      <c r="Z63" s="1430"/>
      <c r="AI63" s="1241"/>
    </row>
    <row r="64" spans="1:35" ht="14.25" customHeight="1">
      <c r="A64" s="529" t="s">
        <v>1884</v>
      </c>
      <c r="B64" s="530" t="s">
        <v>311</v>
      </c>
      <c r="C64" s="531">
        <f ca="1">D45</f>
        <v>167919</v>
      </c>
      <c r="D64" s="532" t="s">
        <v>166</v>
      </c>
      <c r="E64" s="533"/>
      <c r="F64" s="2278"/>
      <c r="G64" s="2278"/>
      <c r="H64" s="2279"/>
      <c r="I64" s="2273"/>
      <c r="J64" s="3564"/>
      <c r="K64" s="3259" t="s">
        <v>2987</v>
      </c>
      <c r="L64" s="3257">
        <f ca="1">IF(M49&gt;2000,M49*0.5%,IF(AND(M49&gt;1000,M49&lt;=2000),M49*0.6%,IF(AND(M49&gt;500,M49&lt;=1000),M49*0.7%,IF(AND(M49&gt;200,M49&lt;=500),M49*0.8%,IF(AND(M49&gt;100,M49&lt;=200),M49*0.9%,IF(AND(M49&gt;50,M49&lt;=100),M49*1%,IF(AND(M49&gt;20,M49&lt;=50),M49*1.5%,IF(AND(M49&gt;10,M49&lt;=20),M49*2%,IF(AND(M49&gt;1,M49&lt;=10),M49*2.5%)))))))))</f>
        <v>839.59500000000003</v>
      </c>
      <c r="M64" s="313">
        <f t="shared" ref="M64:M65" ca="1" si="1">ROUND(L64,1)</f>
        <v>839.6</v>
      </c>
      <c r="N64" s="469" t="s">
        <v>2993</v>
      </c>
      <c r="Z64" s="1430"/>
      <c r="AI64" s="1241"/>
    </row>
    <row r="65" spans="1:35" ht="14.25" customHeight="1">
      <c r="A65" s="529" t="s">
        <v>1885</v>
      </c>
      <c r="B65" s="530" t="s">
        <v>312</v>
      </c>
      <c r="C65" s="534"/>
      <c r="D65" s="532"/>
      <c r="E65" s="533"/>
      <c r="F65" s="2278"/>
      <c r="G65" s="2278"/>
      <c r="H65" s="2279"/>
      <c r="I65" s="2273"/>
      <c r="J65" s="3564"/>
      <c r="K65" s="3259" t="s">
        <v>2988</v>
      </c>
      <c r="L65" s="3257">
        <f ca="1">IF(M49&gt;1000,M49*0.1%,IF(AND(M49&gt;500,M49&lt;=1000),M49*0.5%,IF(AND(M49&gt;50,M49&lt;=500),M49*1%,IF(AND(M49&gt;1,M49&lt;=50),M49*1.5%))))</f>
        <v>167.91900000000001</v>
      </c>
      <c r="M65" s="313">
        <f t="shared" ca="1" si="1"/>
        <v>167.9</v>
      </c>
      <c r="N65" s="469" t="s">
        <v>2994</v>
      </c>
      <c r="Z65" s="1430"/>
      <c r="AI65" s="1241"/>
    </row>
    <row r="66" spans="1:35" ht="14.25" customHeight="1">
      <c r="A66" s="535" t="s">
        <v>1886</v>
      </c>
      <c r="B66" s="536" t="s">
        <v>313</v>
      </c>
      <c r="C66" s="537"/>
      <c r="D66" s="538" t="s">
        <v>166</v>
      </c>
      <c r="E66" s="3307" t="s">
        <v>3033</v>
      </c>
      <c r="F66" s="2278"/>
      <c r="G66" s="2278"/>
      <c r="H66" s="2279"/>
      <c r="I66" s="2273"/>
      <c r="J66" s="3564"/>
      <c r="K66" s="3259" t="s">
        <v>2989</v>
      </c>
      <c r="L66" s="3257">
        <f ca="1">M49*0.5%</f>
        <v>839.59500000000003</v>
      </c>
      <c r="M66" s="313">
        <f ca="1">IF(L66&gt;0.5,0.5,ROUND(L66,0))</f>
        <v>0.5</v>
      </c>
      <c r="N66" s="469" t="s">
        <v>2995</v>
      </c>
      <c r="Z66" s="1430"/>
      <c r="AI66" s="1241"/>
    </row>
    <row r="67" spans="1:35" ht="14.25" customHeight="1">
      <c r="A67" s="535" t="s">
        <v>1887</v>
      </c>
      <c r="B67" s="536" t="s">
        <v>314</v>
      </c>
      <c r="C67" s="539">
        <f ca="1">C63-C66</f>
        <v>159923</v>
      </c>
      <c r="D67" s="532" t="s">
        <v>166</v>
      </c>
      <c r="E67" s="533"/>
      <c r="F67" s="2278"/>
      <c r="G67" s="2278"/>
      <c r="H67" s="2279"/>
      <c r="I67" s="2273"/>
      <c r="J67" s="3564"/>
      <c r="K67" s="3259" t="s">
        <v>2990</v>
      </c>
      <c r="L67" s="3257">
        <f ca="1">IF(M49&gt;=10000,(8.25+(M49-10000)*0.01%),IF(AND(M49&gt;=8000,M49&lt;10000),(7.85+(M49-8000)*0.02%),IF(AND(M49&gt;=5000,M49&lt;8000),(6.65+(M49-5000)*0.04%),IF(AND(M49&gt;=2000,M49&lt;5000),(4.25+(PM49-2000)*0.08%),IF(AND(M49&gt;=1000,M49&lt;2000),(2.75+(M49-1000)*0.15%),IF(AND(M49&gt;=100,M49&lt;1000),(0.5+(M49-100)*0.25%),IF(AND(M49&gt;0,M49&lt;100),M49*0.5%)))))))</f>
        <v>24.041899999999998</v>
      </c>
      <c r="M67" s="313">
        <f ca="1">ROUND(L67*0.9,1)</f>
        <v>21.6</v>
      </c>
      <c r="Z67" s="1430"/>
      <c r="AI67" s="1241"/>
    </row>
    <row r="68" spans="1:35" ht="14.25" customHeight="1" thickBot="1">
      <c r="A68" s="540" t="s">
        <v>1888</v>
      </c>
      <c r="B68" s="541" t="s">
        <v>315</v>
      </c>
      <c r="C68" s="542">
        <f ca="1">IF(C67&lt;=0,0,ROUND(C67*D68,0))</f>
        <v>8956</v>
      </c>
      <c r="D68" s="543">
        <f>'数据-取费表'!B41</f>
        <v>5.6000000000000001E-2</v>
      </c>
      <c r="E68" s="544"/>
      <c r="F68" s="2278"/>
      <c r="G68" s="2278"/>
      <c r="H68" s="2279"/>
      <c r="I68" s="2273"/>
      <c r="J68" s="3564"/>
      <c r="K68" s="3259" t="s">
        <v>2991</v>
      </c>
      <c r="L68" s="3257">
        <f ca="1">IF(M49&gt;10000,M49*0.5%,IF(AND(M49&gt;5000,M49&lt;=10000),M49*1%,IF(AND(M49&gt;1000,M49&lt;=5000),M49*2%,IF(AND(M49&gt;200,M49&lt;=1000),M49*3%,M49*5%))))</f>
        <v>839.59500000000003</v>
      </c>
      <c r="M68" s="313">
        <f ca="1">ROUND(L68,1)</f>
        <v>839.6</v>
      </c>
      <c r="Z68" s="1430"/>
      <c r="AI68" s="1241"/>
    </row>
    <row r="69" spans="1:35" s="1242" customFormat="1" ht="16.5" customHeight="1">
      <c r="A69" s="1256"/>
      <c r="B69" s="1257"/>
      <c r="C69" s="1258"/>
      <c r="D69" s="1259"/>
      <c r="E69" s="1260"/>
      <c r="F69" s="229"/>
      <c r="G69" s="229"/>
      <c r="H69" s="241"/>
      <c r="I69" s="1240"/>
      <c r="J69" s="3564"/>
      <c r="K69" s="3259" t="s">
        <v>186</v>
      </c>
      <c r="L69" s="3258"/>
      <c r="M69" s="313">
        <f ca="1">ROUND(SUM(M63:M68),0)</f>
        <v>2709</v>
      </c>
      <c r="N69" s="3260">
        <f ca="1">M69/M49</f>
        <v>1.6132778303825059E-2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2" customFormat="1" ht="14.25" thickBot="1">
      <c r="A70" s="3613" t="s">
        <v>316</v>
      </c>
      <c r="B70" s="3614"/>
      <c r="C70" s="3614"/>
      <c r="D70" s="3614"/>
      <c r="E70" s="3614"/>
      <c r="F70" s="3614"/>
      <c r="G70" s="3614"/>
      <c r="H70" s="3614"/>
      <c r="I70" s="1261"/>
      <c r="N70" s="2131"/>
      <c r="O70" s="2131"/>
      <c r="P70" s="2131"/>
      <c r="Q70" s="2131"/>
      <c r="R70" s="2131"/>
      <c r="S70" s="2131"/>
      <c r="T70" s="2131"/>
      <c r="U70" s="2131"/>
      <c r="V70" s="2131"/>
      <c r="W70" s="2131"/>
      <c r="X70" s="2131"/>
      <c r="Y70" s="2131"/>
      <c r="Z70" s="2131"/>
      <c r="AA70" s="1431"/>
      <c r="AB70" s="1431"/>
      <c r="AC70" s="1431"/>
      <c r="AD70" s="1431"/>
      <c r="AE70" s="1431"/>
      <c r="AF70" s="1431"/>
      <c r="AG70" s="1431"/>
      <c r="AH70" s="1431"/>
      <c r="AI70" s="1431"/>
    </row>
    <row r="71" spans="1:35" s="1262" customFormat="1" ht="14.25">
      <c r="A71" s="3603" t="s">
        <v>309</v>
      </c>
      <c r="B71" s="3604"/>
      <c r="C71" s="1914"/>
      <c r="D71" s="1914" t="s">
        <v>317</v>
      </c>
      <c r="E71" s="545" t="s">
        <v>318</v>
      </c>
      <c r="F71" s="546"/>
      <c r="G71" s="546"/>
      <c r="H71" s="547"/>
      <c r="I71" s="2280"/>
      <c r="N71" s="2131"/>
      <c r="O71" s="2131"/>
      <c r="P71" s="2131"/>
      <c r="Q71" s="2131"/>
      <c r="R71" s="2131"/>
      <c r="S71" s="2131"/>
      <c r="T71" s="2131"/>
      <c r="U71" s="2131"/>
      <c r="V71" s="2131"/>
      <c r="W71" s="2131"/>
      <c r="X71" s="2131"/>
      <c r="Y71" s="2131"/>
      <c r="Z71" s="2131"/>
      <c r="AA71" s="1431"/>
      <c r="AB71" s="1431"/>
      <c r="AC71" s="1431"/>
      <c r="AD71" s="1431"/>
      <c r="AE71" s="1431"/>
      <c r="AF71" s="1431"/>
      <c r="AG71" s="1431"/>
      <c r="AH71" s="1431"/>
      <c r="AI71" s="1431"/>
    </row>
    <row r="72" spans="1:35" s="1262" customFormat="1" ht="14.25">
      <c r="A72" s="535" t="s">
        <v>1889</v>
      </c>
      <c r="B72" s="536" t="s">
        <v>319</v>
      </c>
      <c r="C72" s="539">
        <f ca="1">ROUND(D45/(1+'数据-取费表'!C42),0)</f>
        <v>159923</v>
      </c>
      <c r="D72" s="532" t="s">
        <v>166</v>
      </c>
      <c r="E72" s="1917"/>
      <c r="F72" s="1918"/>
      <c r="G72" s="1918"/>
      <c r="H72" s="548"/>
      <c r="I72" s="2280"/>
      <c r="N72" s="2131"/>
      <c r="O72" s="2131"/>
      <c r="P72" s="2131"/>
      <c r="Q72" s="2131"/>
      <c r="R72" s="2131"/>
      <c r="S72" s="2131"/>
      <c r="T72" s="2131"/>
      <c r="U72" s="2131"/>
      <c r="V72" s="2131"/>
      <c r="W72" s="2131"/>
      <c r="X72" s="2131"/>
      <c r="Y72" s="2131"/>
      <c r="Z72" s="2131"/>
      <c r="AA72" s="1431"/>
      <c r="AB72" s="1431"/>
      <c r="AC72" s="1431"/>
      <c r="AD72" s="1431"/>
      <c r="AE72" s="1431"/>
      <c r="AF72" s="1431"/>
      <c r="AG72" s="1431"/>
      <c r="AH72" s="1431"/>
      <c r="AI72" s="1431"/>
    </row>
    <row r="73" spans="1:35" s="1262" customFormat="1" ht="14.25">
      <c r="A73" s="535" t="s">
        <v>1886</v>
      </c>
      <c r="B73" s="505" t="s">
        <v>320</v>
      </c>
      <c r="C73" s="539">
        <f ca="1">C74+C78</f>
        <v>960</v>
      </c>
      <c r="D73" s="532" t="s">
        <v>166</v>
      </c>
      <c r="E73" s="1917"/>
      <c r="F73" s="1918"/>
      <c r="G73" s="1918"/>
      <c r="H73" s="548"/>
      <c r="I73" s="2280"/>
      <c r="J73" s="2131"/>
      <c r="K73" s="2131"/>
      <c r="L73" s="2131"/>
      <c r="M73" s="2131"/>
      <c r="N73" s="2131"/>
      <c r="O73" s="2131"/>
      <c r="P73" s="2131"/>
      <c r="Q73" s="2131"/>
      <c r="R73" s="2131"/>
      <c r="S73" s="2131"/>
      <c r="T73" s="2131"/>
      <c r="U73" s="2131"/>
      <c r="V73" s="2131"/>
      <c r="W73" s="2131"/>
      <c r="X73" s="2131"/>
      <c r="Y73" s="2131"/>
      <c r="Z73" s="2131"/>
      <c r="AA73" s="1431"/>
      <c r="AB73" s="1431"/>
      <c r="AC73" s="1431"/>
      <c r="AD73" s="1431"/>
      <c r="AE73" s="1431"/>
      <c r="AF73" s="1431"/>
      <c r="AG73" s="1431"/>
      <c r="AH73" s="1431"/>
      <c r="AI73" s="1431"/>
    </row>
    <row r="74" spans="1:35" s="1262" customFormat="1" ht="24">
      <c r="A74" s="549" t="s">
        <v>1890</v>
      </c>
      <c r="B74" s="530" t="s">
        <v>321</v>
      </c>
      <c r="C74" s="532">
        <f>ROUND(IF(G77="2016年5月1日后购买",C75/(1+'数据-取费表'!C42)+C76+C77,C75+C76+C77),0)</f>
        <v>0</v>
      </c>
      <c r="D74" s="532" t="s">
        <v>166</v>
      </c>
      <c r="E74" s="1917"/>
      <c r="F74" s="1918"/>
      <c r="G74" s="1918"/>
      <c r="H74" s="548"/>
      <c r="I74" s="2280"/>
      <c r="J74" s="2131"/>
      <c r="K74" s="2131"/>
      <c r="L74" s="2131"/>
      <c r="M74" s="2131"/>
      <c r="N74" s="2131"/>
      <c r="O74" s="2131"/>
      <c r="P74" s="2131"/>
      <c r="Q74" s="2131"/>
      <c r="R74" s="2131"/>
      <c r="S74" s="2131"/>
      <c r="T74" s="2131"/>
      <c r="U74" s="2131"/>
      <c r="V74" s="2131"/>
      <c r="W74" s="2131"/>
      <c r="X74" s="2131"/>
      <c r="Y74" s="2131"/>
      <c r="Z74" s="2131"/>
      <c r="AA74" s="1431"/>
      <c r="AB74" s="1431"/>
      <c r="AC74" s="1431"/>
      <c r="AD74" s="1431"/>
      <c r="AE74" s="1431"/>
      <c r="AF74" s="1431"/>
      <c r="AG74" s="1431"/>
      <c r="AH74" s="1431"/>
      <c r="AI74" s="1431"/>
    </row>
    <row r="75" spans="1:35" s="1262" customFormat="1" ht="13.5">
      <c r="A75" s="549" t="s">
        <v>1891</v>
      </c>
      <c r="B75" s="530" t="s">
        <v>322</v>
      </c>
      <c r="C75" s="550"/>
      <c r="D75" s="532" t="s">
        <v>166</v>
      </c>
      <c r="E75" s="551" t="s">
        <v>323</v>
      </c>
      <c r="F75" s="1423" t="s">
        <v>2409</v>
      </c>
      <c r="G75" s="551" t="s">
        <v>789</v>
      </c>
      <c r="H75" s="552"/>
      <c r="I75" s="2281"/>
      <c r="J75" s="2131"/>
      <c r="K75" s="2131"/>
      <c r="L75" s="2131"/>
      <c r="M75" s="2131"/>
      <c r="N75" s="2131"/>
      <c r="O75" s="2131"/>
      <c r="P75" s="2131"/>
      <c r="Q75" s="2131"/>
      <c r="R75" s="2131"/>
      <c r="S75" s="2131"/>
      <c r="T75" s="2131"/>
      <c r="U75" s="2131"/>
      <c r="V75" s="2131"/>
      <c r="W75" s="2131"/>
      <c r="X75" s="2131"/>
      <c r="Y75" s="2131"/>
      <c r="Z75" s="2131"/>
      <c r="AA75" s="1431"/>
      <c r="AB75" s="1431"/>
      <c r="AC75" s="1431"/>
      <c r="AD75" s="1431"/>
      <c r="AE75" s="1431"/>
      <c r="AF75" s="1431"/>
      <c r="AG75" s="1431"/>
      <c r="AH75" s="1431"/>
      <c r="AI75" s="1431"/>
    </row>
    <row r="76" spans="1:35" s="1262" customFormat="1" ht="24.75" customHeight="1">
      <c r="A76" s="549" t="s">
        <v>1893</v>
      </c>
      <c r="B76" s="553" t="s">
        <v>324</v>
      </c>
      <c r="C76" s="532">
        <f>IF(F75="购房发票",ROUND(C75*H75*D76,0),0)</f>
        <v>0</v>
      </c>
      <c r="D76" s="554">
        <v>0.05</v>
      </c>
      <c r="E76" s="3610" t="s">
        <v>325</v>
      </c>
      <c r="F76" s="3609"/>
      <c r="G76" s="3609"/>
      <c r="H76" s="3612"/>
      <c r="I76" s="2280"/>
      <c r="J76" s="2131"/>
      <c r="K76" s="2131"/>
      <c r="L76" s="2131"/>
      <c r="M76" s="2131"/>
      <c r="N76" s="2131"/>
      <c r="O76" s="2131"/>
      <c r="P76" s="2131"/>
      <c r="Q76" s="2131"/>
      <c r="R76" s="2131"/>
      <c r="S76" s="2131"/>
      <c r="T76" s="2131"/>
      <c r="U76" s="2131"/>
      <c r="V76" s="2131"/>
      <c r="W76" s="2131"/>
      <c r="X76" s="2131"/>
      <c r="Y76" s="2131"/>
      <c r="Z76" s="2131"/>
      <c r="AA76" s="1431"/>
      <c r="AB76" s="1431"/>
      <c r="AC76" s="1431"/>
      <c r="AD76" s="1431"/>
      <c r="AE76" s="1431"/>
      <c r="AF76" s="1431"/>
      <c r="AG76" s="1431"/>
      <c r="AH76" s="1431"/>
      <c r="AI76" s="1431"/>
    </row>
    <row r="77" spans="1:35" s="1262" customFormat="1" ht="24.75" customHeight="1">
      <c r="A77" s="549" t="s">
        <v>1894</v>
      </c>
      <c r="B77" s="530" t="s">
        <v>326</v>
      </c>
      <c r="C77" s="532">
        <f>ROUND(IF(G77="个人住宅",0,IF(G77="2016年5月1日前购买",C75*D77,C75*D77/(1+'数据-取费表'!C42))),0)</f>
        <v>0</v>
      </c>
      <c r="D77" s="555">
        <f>'数据-取费表'!B48+'数据-取费表'!B49</f>
        <v>3.0499999999999999E-2</v>
      </c>
      <c r="E77" s="303" t="s">
        <v>790</v>
      </c>
      <c r="F77" s="556"/>
      <c r="G77" s="1424" t="s">
        <v>2500</v>
      </c>
      <c r="H77" s="1919"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1"/>
      <c r="AB77" s="1431"/>
      <c r="AC77" s="1431"/>
      <c r="AD77" s="1431"/>
      <c r="AE77" s="1431"/>
      <c r="AF77" s="1431"/>
      <c r="AG77" s="1431"/>
      <c r="AH77" s="1431"/>
      <c r="AI77" s="1431"/>
    </row>
    <row r="78" spans="1:35" s="1262" customFormat="1" ht="24.75" customHeight="1">
      <c r="A78" s="549" t="s">
        <v>1892</v>
      </c>
      <c r="B78" s="530" t="s">
        <v>327</v>
      </c>
      <c r="C78" s="557">
        <f ca="1">ROUND(D45*D78/(1+'数据-取费表'!C42),0)</f>
        <v>960</v>
      </c>
      <c r="D78" s="558">
        <f>'数据-取费表'!B43</f>
        <v>6.000000000000001E-3</v>
      </c>
      <c r="E78" s="3605" t="s">
        <v>2501</v>
      </c>
      <c r="F78" s="3601"/>
      <c r="G78" s="3601"/>
      <c r="H78" s="3602"/>
      <c r="I78" s="2282"/>
      <c r="J78" s="2131"/>
      <c r="K78" s="2131"/>
      <c r="L78" s="2131"/>
      <c r="M78" s="2131"/>
      <c r="N78" s="2131"/>
      <c r="O78" s="2131"/>
      <c r="P78" s="2131"/>
      <c r="Q78" s="2131"/>
      <c r="R78" s="2131"/>
      <c r="S78" s="2131"/>
      <c r="T78" s="2131"/>
      <c r="U78" s="2131"/>
      <c r="V78" s="2131"/>
      <c r="W78" s="2131"/>
      <c r="X78" s="2131"/>
      <c r="Y78" s="2131"/>
      <c r="Z78" s="2131"/>
      <c r="AA78" s="1431"/>
      <c r="AB78" s="1431"/>
      <c r="AC78" s="1431"/>
      <c r="AD78" s="1431"/>
      <c r="AE78" s="1431"/>
      <c r="AF78" s="1431"/>
      <c r="AG78" s="1431"/>
      <c r="AH78" s="1431"/>
      <c r="AI78" s="1431"/>
    </row>
    <row r="79" spans="1:35" s="1262" customFormat="1" ht="14.25">
      <c r="A79" s="1796" t="s">
        <v>1895</v>
      </c>
      <c r="B79" s="536" t="s">
        <v>328</v>
      </c>
      <c r="C79" s="539">
        <f ca="1">C72-C73</f>
        <v>158963</v>
      </c>
      <c r="D79" s="532" t="s">
        <v>166</v>
      </c>
      <c r="E79" s="1917"/>
      <c r="F79" s="1918"/>
      <c r="G79" s="1918"/>
      <c r="H79" s="548"/>
      <c r="I79" s="2280"/>
      <c r="J79" s="2131"/>
      <c r="K79" s="2131"/>
      <c r="L79" s="2131"/>
      <c r="M79" s="2131"/>
      <c r="N79" s="2131"/>
      <c r="O79" s="2131"/>
      <c r="P79" s="2131"/>
      <c r="Q79" s="2131"/>
      <c r="R79" s="2131"/>
      <c r="S79" s="2131"/>
      <c r="T79" s="2131"/>
      <c r="U79" s="2131"/>
      <c r="V79" s="2131"/>
      <c r="W79" s="2131"/>
      <c r="X79" s="2131"/>
      <c r="Y79" s="2131"/>
      <c r="Z79" s="2131"/>
      <c r="AA79" s="1431"/>
      <c r="AB79" s="1431"/>
      <c r="AC79" s="1431"/>
      <c r="AD79" s="1431"/>
      <c r="AE79" s="1431"/>
      <c r="AF79" s="1431"/>
      <c r="AG79" s="1431"/>
      <c r="AH79" s="1431"/>
      <c r="AI79" s="1431"/>
    </row>
    <row r="80" spans="1:35" s="1262" customFormat="1" ht="24">
      <c r="A80" s="1796" t="s">
        <v>1896</v>
      </c>
      <c r="B80" s="536" t="s">
        <v>329</v>
      </c>
      <c r="C80" s="559">
        <f ca="1">IF(C79&lt;=0,0,C79/C73)</f>
        <v>165.58645833333333</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0"/>
      <c r="J80" s="2131"/>
      <c r="K80" s="2131"/>
      <c r="L80" s="2131"/>
      <c r="M80" s="2131"/>
      <c r="N80" s="2131"/>
      <c r="O80" s="2131"/>
      <c r="P80" s="2131"/>
      <c r="Q80" s="2131"/>
      <c r="R80" s="2131"/>
      <c r="S80" s="2131"/>
      <c r="T80" s="2131"/>
      <c r="U80" s="2131"/>
      <c r="V80" s="2131"/>
      <c r="W80" s="2131"/>
      <c r="X80" s="2131"/>
      <c r="Y80" s="2131"/>
      <c r="Z80" s="2131"/>
      <c r="AA80" s="1431"/>
      <c r="AB80" s="1431"/>
      <c r="AC80" s="1431"/>
      <c r="AD80" s="1431"/>
      <c r="AE80" s="1431"/>
      <c r="AF80" s="1431"/>
      <c r="AG80" s="1431"/>
      <c r="AH80" s="1431"/>
      <c r="AI80" s="1431"/>
    </row>
    <row r="81" spans="1:35" s="1262" customFormat="1" ht="24.75" thickBot="1">
      <c r="A81" s="1797" t="s">
        <v>1897</v>
      </c>
      <c r="B81" s="541" t="s">
        <v>330</v>
      </c>
      <c r="C81" s="560">
        <f ca="1">ROUND(IF(C79&lt;=0,0,IF(C80&gt;=200%,C79*60%-C73*35%,IF(C80&gt;=100%,C79*50%-C73*15%,IF(C80&gt;=50%,C79*40%-C73*5%,IF(C80&lt;50%,C79*30%,0))))),0)</f>
        <v>95042</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1"/>
      <c r="K81" s="2131"/>
      <c r="L81" s="2131"/>
      <c r="M81" s="2131"/>
      <c r="N81" s="2131"/>
      <c r="O81" s="2131"/>
      <c r="P81" s="2131"/>
      <c r="Q81" s="2131"/>
      <c r="R81" s="2131"/>
      <c r="S81" s="2131"/>
      <c r="T81" s="2131"/>
      <c r="U81" s="2131"/>
      <c r="V81" s="2131"/>
      <c r="W81" s="2131"/>
      <c r="X81" s="2131"/>
      <c r="Y81" s="2131"/>
      <c r="Z81" s="2131"/>
      <c r="AA81" s="1431"/>
      <c r="AB81" s="1431"/>
      <c r="AC81" s="1431"/>
      <c r="AD81" s="1431"/>
      <c r="AE81" s="1431"/>
      <c r="AF81" s="1431"/>
      <c r="AG81" s="1431"/>
      <c r="AH81" s="1431"/>
      <c r="AI81" s="1431"/>
    </row>
    <row r="82" spans="1:35" s="1262" customFormat="1" ht="7.5" customHeight="1">
      <c r="A82" s="1229"/>
      <c r="B82" s="1230"/>
      <c r="C82" s="294"/>
      <c r="D82" s="294"/>
      <c r="E82" s="1230"/>
      <c r="F82" s="1230"/>
      <c r="G82" s="1230"/>
      <c r="H82" s="1231"/>
      <c r="I82" s="2282"/>
      <c r="J82" s="2131"/>
      <c r="K82" s="2131"/>
      <c r="L82" s="2131"/>
      <c r="M82" s="2131"/>
      <c r="N82" s="2131"/>
      <c r="O82" s="2131"/>
      <c r="P82" s="2131"/>
      <c r="Q82" s="2131"/>
      <c r="R82" s="2131"/>
      <c r="S82" s="2131"/>
      <c r="T82" s="2131"/>
      <c r="U82" s="2131"/>
      <c r="V82" s="2131"/>
      <c r="W82" s="2131"/>
      <c r="X82" s="2131"/>
      <c r="Y82" s="2131"/>
      <c r="Z82" s="2131"/>
      <c r="AA82" s="1431"/>
      <c r="AB82" s="1431"/>
      <c r="AC82" s="1431"/>
      <c r="AD82" s="1431"/>
      <c r="AE82" s="1431"/>
      <c r="AF82" s="1431"/>
      <c r="AG82" s="1431"/>
      <c r="AH82" s="1431"/>
      <c r="AI82" s="1431"/>
    </row>
    <row r="83" spans="1:35" s="1262" customFormat="1" ht="14.25" thickBot="1">
      <c r="A83" s="3613" t="s">
        <v>331</v>
      </c>
      <c r="B83" s="3614"/>
      <c r="C83" s="3614"/>
      <c r="D83" s="3614"/>
      <c r="E83" s="3614"/>
      <c r="F83" s="3614"/>
      <c r="G83" s="3614"/>
      <c r="H83" s="3614"/>
      <c r="I83" s="2281"/>
      <c r="J83" s="2131"/>
      <c r="K83" s="2131"/>
      <c r="L83" s="2131"/>
      <c r="M83" s="2131"/>
      <c r="N83" s="2131"/>
      <c r="O83" s="2131"/>
      <c r="P83" s="2131"/>
      <c r="Q83" s="2131"/>
      <c r="R83" s="2131"/>
      <c r="S83" s="2131"/>
      <c r="T83" s="2131"/>
      <c r="U83" s="2131"/>
      <c r="V83" s="2131"/>
      <c r="W83" s="2131"/>
      <c r="X83" s="2131"/>
      <c r="Y83" s="2131"/>
      <c r="Z83" s="2131"/>
      <c r="AA83" s="1431"/>
      <c r="AB83" s="1431"/>
      <c r="AC83" s="1431"/>
      <c r="AD83" s="1431"/>
      <c r="AE83" s="1431"/>
      <c r="AF83" s="1431"/>
      <c r="AG83" s="1431"/>
      <c r="AH83" s="1431"/>
      <c r="AI83" s="1431"/>
    </row>
    <row r="84" spans="1:35" s="1262" customFormat="1" ht="13.5">
      <c r="A84" s="3603" t="s">
        <v>309</v>
      </c>
      <c r="B84" s="3604"/>
      <c r="C84" s="1914"/>
      <c r="D84" s="1914" t="s">
        <v>317</v>
      </c>
      <c r="E84" s="545" t="s">
        <v>318</v>
      </c>
      <c r="F84" s="546"/>
      <c r="G84" s="546"/>
      <c r="H84" s="565"/>
      <c r="I84" s="2281"/>
      <c r="J84" s="2131"/>
      <c r="K84" s="2131"/>
      <c r="L84" s="2131"/>
      <c r="M84" s="2131"/>
      <c r="N84" s="2131"/>
      <c r="O84" s="2131"/>
      <c r="P84" s="2131"/>
      <c r="Q84" s="2131"/>
      <c r="R84" s="2131"/>
      <c r="S84" s="2131"/>
      <c r="T84" s="2131"/>
      <c r="U84" s="2131"/>
      <c r="V84" s="2131"/>
      <c r="W84" s="2131"/>
      <c r="X84" s="2131"/>
      <c r="Y84" s="2131"/>
      <c r="Z84" s="2131"/>
      <c r="AA84" s="1431"/>
      <c r="AB84" s="1431"/>
      <c r="AC84" s="1431"/>
      <c r="AD84" s="1431"/>
      <c r="AE84" s="1431"/>
      <c r="AF84" s="1431"/>
      <c r="AG84" s="1431"/>
      <c r="AH84" s="1431"/>
      <c r="AI84" s="1431"/>
    </row>
    <row r="85" spans="1:35" s="1262" customFormat="1" ht="13.5">
      <c r="A85" s="535" t="s">
        <v>1889</v>
      </c>
      <c r="B85" s="536" t="s">
        <v>319</v>
      </c>
      <c r="C85" s="539">
        <f ca="1">ROUND(D45/(1+'数据-取费表'!C42),0)</f>
        <v>159923</v>
      </c>
      <c r="D85" s="532" t="s">
        <v>166</v>
      </c>
      <c r="E85" s="1917"/>
      <c r="F85" s="1918"/>
      <c r="G85" s="1918"/>
      <c r="H85" s="566"/>
      <c r="I85" s="2281"/>
      <c r="J85" s="2131"/>
      <c r="K85" s="2131"/>
      <c r="L85" s="2131"/>
      <c r="M85" s="2131"/>
      <c r="N85" s="2131"/>
      <c r="O85" s="2131"/>
      <c r="P85" s="2131"/>
      <c r="Q85" s="2131"/>
      <c r="R85" s="2131"/>
      <c r="S85" s="2131"/>
      <c r="T85" s="2131"/>
      <c r="U85" s="2131"/>
      <c r="V85" s="2131"/>
      <c r="W85" s="2131"/>
      <c r="X85" s="2131"/>
      <c r="Y85" s="2131"/>
      <c r="Z85" s="2131"/>
      <c r="AA85" s="1431"/>
      <c r="AB85" s="1431"/>
      <c r="AC85" s="1431"/>
      <c r="AD85" s="1431"/>
      <c r="AE85" s="1431"/>
      <c r="AF85" s="1431"/>
      <c r="AG85" s="1431"/>
      <c r="AH85" s="1431"/>
      <c r="AI85" s="1431"/>
    </row>
    <row r="86" spans="1:35" s="1262" customFormat="1" ht="13.5">
      <c r="A86" s="535" t="s">
        <v>1886</v>
      </c>
      <c r="B86" s="505" t="s">
        <v>320</v>
      </c>
      <c r="C86" s="539">
        <f ca="1">IF(H88="仅含出让金",C87+C90+C91+C92+C93+C94,C87+C91+C92+C93+C94)</f>
        <v>960</v>
      </c>
      <c r="D86" s="567"/>
      <c r="E86" s="1917"/>
      <c r="F86" s="1918"/>
      <c r="G86" s="1918"/>
      <c r="H86" s="566"/>
      <c r="I86" s="2281"/>
      <c r="J86" s="2131"/>
      <c r="K86" s="2131"/>
      <c r="L86" s="2131"/>
      <c r="M86" s="2131"/>
      <c r="N86" s="2131"/>
      <c r="O86" s="2131"/>
      <c r="P86" s="2131"/>
      <c r="Q86" s="2131"/>
      <c r="R86" s="2131"/>
      <c r="S86" s="2131"/>
      <c r="T86" s="2131"/>
      <c r="U86" s="2131"/>
      <c r="V86" s="2131"/>
      <c r="W86" s="2131"/>
      <c r="X86" s="2131"/>
      <c r="Y86" s="2131"/>
      <c r="Z86" s="2131"/>
      <c r="AA86" s="1431"/>
      <c r="AB86" s="1431"/>
      <c r="AC86" s="1431"/>
      <c r="AD86" s="1431"/>
      <c r="AE86" s="1431"/>
      <c r="AF86" s="1431"/>
      <c r="AG86" s="1431"/>
      <c r="AH86" s="1431"/>
      <c r="AI86" s="1431"/>
    </row>
    <row r="87" spans="1:35" s="1262" customFormat="1" ht="13.5">
      <c r="A87" s="549" t="s">
        <v>1890</v>
      </c>
      <c r="B87" s="530" t="s">
        <v>332</v>
      </c>
      <c r="C87" s="557">
        <f>C88+C89</f>
        <v>0</v>
      </c>
      <c r="D87" s="558"/>
      <c r="E87" s="1912"/>
      <c r="F87" s="1913"/>
      <c r="G87" s="1913"/>
      <c r="H87" s="1915"/>
      <c r="I87" s="2281"/>
      <c r="J87" s="2131"/>
      <c r="K87" s="2131"/>
      <c r="L87" s="2131"/>
      <c r="M87" s="2131"/>
      <c r="N87" s="2131"/>
      <c r="O87" s="2131"/>
      <c r="P87" s="2131"/>
      <c r="Q87" s="2131"/>
      <c r="R87" s="2131"/>
      <c r="S87" s="2131"/>
      <c r="T87" s="2131"/>
      <c r="U87" s="2131"/>
      <c r="V87" s="2131"/>
      <c r="W87" s="2131"/>
      <c r="X87" s="2131"/>
      <c r="Y87" s="2131"/>
      <c r="Z87" s="2131"/>
      <c r="AA87" s="1431"/>
      <c r="AB87" s="1431"/>
      <c r="AC87" s="1431"/>
      <c r="AD87" s="1431"/>
      <c r="AE87" s="1431"/>
      <c r="AF87" s="1431"/>
      <c r="AG87" s="1431"/>
      <c r="AH87" s="1431"/>
      <c r="AI87" s="1431"/>
    </row>
    <row r="88" spans="1:35" s="1262" customFormat="1" ht="13.5">
      <c r="A88" s="549" t="s">
        <v>1891</v>
      </c>
      <c r="B88" s="530" t="s">
        <v>333</v>
      </c>
      <c r="C88" s="568"/>
      <c r="D88" s="558"/>
      <c r="E88" s="569" t="s">
        <v>334</v>
      </c>
      <c r="F88" s="1913"/>
      <c r="G88" s="570" t="s">
        <v>335</v>
      </c>
      <c r="H88" s="1425"/>
      <c r="I88" s="2281"/>
      <c r="J88" s="2131"/>
      <c r="K88" s="2131"/>
      <c r="L88" s="2131"/>
      <c r="M88" s="2131"/>
      <c r="N88" s="2131"/>
      <c r="O88" s="2131"/>
      <c r="P88" s="2131"/>
      <c r="Q88" s="2131"/>
      <c r="R88" s="2131"/>
      <c r="S88" s="2131"/>
      <c r="T88" s="2131"/>
      <c r="U88" s="2131"/>
      <c r="V88" s="2131"/>
      <c r="W88" s="2131"/>
      <c r="X88" s="2131"/>
      <c r="Y88" s="2131"/>
      <c r="Z88" s="2131"/>
      <c r="AA88" s="1431"/>
      <c r="AB88" s="1431"/>
      <c r="AC88" s="1431"/>
      <c r="AD88" s="1431"/>
      <c r="AE88" s="1431"/>
      <c r="AF88" s="1431"/>
      <c r="AG88" s="1431"/>
      <c r="AH88" s="1431"/>
      <c r="AI88" s="1431"/>
    </row>
    <row r="89" spans="1:35" s="1262" customFormat="1" ht="13.5">
      <c r="A89" s="549" t="s">
        <v>1893</v>
      </c>
      <c r="B89" s="530" t="s">
        <v>326</v>
      </c>
      <c r="C89" s="557">
        <f>ROUND(C88*D89,0)</f>
        <v>0</v>
      </c>
      <c r="D89" s="558">
        <f>'数据-取费表'!B48+'数据-取费表'!B49</f>
        <v>3.0499999999999999E-2</v>
      </c>
      <c r="E89" s="569" t="s">
        <v>336</v>
      </c>
      <c r="F89" s="1913"/>
      <c r="G89" s="1913"/>
      <c r="H89" s="1915"/>
      <c r="I89" s="2281"/>
      <c r="J89" s="2131"/>
      <c r="K89" s="2131"/>
      <c r="L89" s="2131"/>
      <c r="M89" s="2131"/>
      <c r="N89" s="2131"/>
      <c r="O89" s="2131"/>
      <c r="P89" s="2131"/>
      <c r="Q89" s="2131"/>
      <c r="R89" s="2131"/>
      <c r="S89" s="2131"/>
      <c r="T89" s="2131"/>
      <c r="U89" s="2131"/>
      <c r="V89" s="2131"/>
      <c r="W89" s="2131"/>
      <c r="X89" s="2131"/>
      <c r="Y89" s="2131"/>
      <c r="Z89" s="2131"/>
      <c r="AA89" s="1431"/>
      <c r="AB89" s="1431"/>
      <c r="AC89" s="1431"/>
      <c r="AD89" s="1431"/>
      <c r="AE89" s="1431"/>
      <c r="AF89" s="1431"/>
      <c r="AG89" s="1431"/>
      <c r="AH89" s="1431"/>
      <c r="AI89" s="1431"/>
    </row>
    <row r="90" spans="1:35" s="1262" customFormat="1" ht="13.5">
      <c r="A90" s="549" t="s">
        <v>1892</v>
      </c>
      <c r="B90" s="530" t="s">
        <v>337</v>
      </c>
      <c r="C90" s="568"/>
      <c r="D90" s="558"/>
      <c r="E90" s="569" t="str">
        <f>IF(H88="-","土地取得成本中已包含该笔费用"," ")</f>
        <v xml:space="preserve"> </v>
      </c>
      <c r="F90" s="1913"/>
      <c r="G90" s="1913"/>
      <c r="H90" s="1915"/>
      <c r="I90" s="2281"/>
      <c r="J90" s="2131"/>
      <c r="K90" s="2131"/>
      <c r="L90" s="2131"/>
      <c r="M90" s="2131"/>
      <c r="N90" s="2131"/>
      <c r="O90" s="2131"/>
      <c r="P90" s="2131"/>
      <c r="Q90" s="2131"/>
      <c r="R90" s="2131"/>
      <c r="S90" s="2131"/>
      <c r="T90" s="2131"/>
      <c r="U90" s="2131"/>
      <c r="V90" s="2131"/>
      <c r="W90" s="2131"/>
      <c r="X90" s="2131"/>
      <c r="Y90" s="2131"/>
      <c r="Z90" s="2131"/>
      <c r="AA90" s="1431"/>
      <c r="AB90" s="1431"/>
      <c r="AC90" s="1431"/>
      <c r="AD90" s="1431"/>
      <c r="AE90" s="1431"/>
      <c r="AF90" s="1431"/>
      <c r="AG90" s="1431"/>
      <c r="AH90" s="1431"/>
      <c r="AI90" s="1431"/>
    </row>
    <row r="91" spans="1:35" s="1262" customFormat="1" ht="27.75" customHeight="1">
      <c r="A91" s="1798" t="s">
        <v>1898</v>
      </c>
      <c r="B91" s="530" t="s">
        <v>338</v>
      </c>
      <c r="C91" s="557">
        <f>IF(H91="——",成本法!C33,I91)</f>
        <v>0</v>
      </c>
      <c r="D91" s="558"/>
      <c r="E91" s="3600" t="s">
        <v>791</v>
      </c>
      <c r="F91" s="3601"/>
      <c r="G91" s="3601"/>
      <c r="H91" s="1426" t="s">
        <v>2310</v>
      </c>
      <c r="I91" s="2178"/>
      <c r="J91" s="2131"/>
      <c r="K91" s="2131"/>
      <c r="L91" s="2131"/>
      <c r="M91" s="2131"/>
      <c r="N91" s="2131"/>
      <c r="O91" s="2131"/>
      <c r="P91" s="2131"/>
      <c r="Q91" s="2131"/>
      <c r="R91" s="2131"/>
      <c r="S91" s="2131"/>
      <c r="T91" s="2131"/>
      <c r="U91" s="2131"/>
      <c r="V91" s="2131"/>
      <c r="W91" s="2131"/>
      <c r="X91" s="2131"/>
      <c r="Y91" s="2131"/>
      <c r="Z91" s="2131"/>
      <c r="AA91" s="1431"/>
      <c r="AB91" s="1431"/>
      <c r="AC91" s="1431"/>
      <c r="AD91" s="1431"/>
      <c r="AE91" s="1431"/>
      <c r="AF91" s="1431"/>
      <c r="AG91" s="1431"/>
      <c r="AH91" s="1431"/>
      <c r="AI91" s="1431"/>
    </row>
    <row r="92" spans="1:35" s="1262" customFormat="1" ht="25.5" customHeight="1">
      <c r="A92" s="1798" t="s">
        <v>1899</v>
      </c>
      <c r="B92" s="530" t="s">
        <v>339</v>
      </c>
      <c r="C92" s="557">
        <f>ROUND((C87+C90+C91)*D92,0)</f>
        <v>0</v>
      </c>
      <c r="D92" s="558">
        <v>0.1</v>
      </c>
      <c r="E92" s="3600" t="s">
        <v>340</v>
      </c>
      <c r="F92" s="3601"/>
      <c r="G92" s="3601"/>
      <c r="H92" s="3602"/>
      <c r="I92" s="2281"/>
      <c r="J92" s="2131"/>
      <c r="K92" s="2131"/>
      <c r="L92" s="2131"/>
      <c r="M92" s="2131"/>
      <c r="N92" s="2131"/>
      <c r="O92" s="2131"/>
      <c r="P92" s="2131"/>
      <c r="Q92" s="2131"/>
      <c r="R92" s="2131"/>
      <c r="S92" s="2131"/>
      <c r="T92" s="2131"/>
      <c r="U92" s="2131"/>
      <c r="V92" s="2131"/>
      <c r="W92" s="2131"/>
      <c r="X92" s="2131"/>
      <c r="Y92" s="2131"/>
      <c r="Z92" s="2131"/>
      <c r="AA92" s="1431"/>
      <c r="AB92" s="1431"/>
      <c r="AC92" s="1431"/>
      <c r="AD92" s="1431"/>
      <c r="AE92" s="1431"/>
      <c r="AF92" s="1431"/>
      <c r="AG92" s="1431"/>
      <c r="AH92" s="1431"/>
      <c r="AI92" s="1431"/>
    </row>
    <row r="93" spans="1:35" s="1262" customFormat="1" ht="25.5" customHeight="1">
      <c r="A93" s="1798" t="s">
        <v>1900</v>
      </c>
      <c r="B93" s="530" t="s">
        <v>327</v>
      </c>
      <c r="C93" s="557">
        <f ca="1">ROUND(D45*D93/(1+'数据-取费表'!C42),0)</f>
        <v>960</v>
      </c>
      <c r="D93" s="558">
        <f>'数据-取费表'!B43</f>
        <v>6.000000000000001E-3</v>
      </c>
      <c r="E93" s="3605" t="s">
        <v>2501</v>
      </c>
      <c r="F93" s="3601"/>
      <c r="G93" s="3601"/>
      <c r="H93" s="3602"/>
      <c r="I93" s="2281"/>
      <c r="J93" s="2131"/>
      <c r="K93" s="2131"/>
      <c r="L93" s="2131"/>
      <c r="M93" s="2131"/>
      <c r="N93" s="2131"/>
      <c r="O93" s="2131"/>
      <c r="P93" s="2131"/>
      <c r="Q93" s="2131"/>
      <c r="R93" s="2131"/>
      <c r="S93" s="2131"/>
      <c r="T93" s="2131"/>
      <c r="U93" s="2131"/>
      <c r="V93" s="2131"/>
      <c r="W93" s="2131"/>
      <c r="X93" s="2131"/>
      <c r="Y93" s="2131"/>
      <c r="Z93" s="2131"/>
      <c r="AA93" s="1431"/>
      <c r="AB93" s="1431"/>
      <c r="AC93" s="1431"/>
      <c r="AD93" s="1431"/>
      <c r="AE93" s="1431"/>
      <c r="AF93" s="1431"/>
      <c r="AG93" s="1431"/>
      <c r="AH93" s="1431"/>
      <c r="AI93" s="1431"/>
    </row>
    <row r="94" spans="1:35" s="1262" customFormat="1" ht="36.75" customHeight="1">
      <c r="A94" s="1798" t="s">
        <v>1901</v>
      </c>
      <c r="B94" s="530" t="s">
        <v>341</v>
      </c>
      <c r="C94" s="568">
        <f>ROUND((C87+C90+C91)*D94,0)</f>
        <v>0</v>
      </c>
      <c r="D94" s="558">
        <v>0.2</v>
      </c>
      <c r="E94" s="3653" t="s">
        <v>3048</v>
      </c>
      <c r="F94" s="3654"/>
      <c r="G94" s="3654"/>
      <c r="H94" s="3655"/>
      <c r="I94" s="2281"/>
      <c r="J94" s="2131"/>
      <c r="K94" s="2131"/>
      <c r="L94" s="2131"/>
      <c r="M94" s="2131"/>
      <c r="N94" s="2131"/>
      <c r="O94" s="2131"/>
      <c r="P94" s="2131"/>
      <c r="Q94" s="2131"/>
      <c r="R94" s="2131"/>
      <c r="S94" s="2131"/>
      <c r="T94" s="2131"/>
      <c r="U94" s="2131"/>
      <c r="V94" s="2131"/>
      <c r="W94" s="2131"/>
      <c r="X94" s="2131"/>
      <c r="Y94" s="2131"/>
      <c r="Z94" s="2131"/>
      <c r="AA94" s="1431"/>
      <c r="AB94" s="1431"/>
      <c r="AC94" s="1431"/>
      <c r="AD94" s="1431"/>
      <c r="AE94" s="1431"/>
      <c r="AF94" s="1431"/>
      <c r="AG94" s="1431"/>
      <c r="AH94" s="1431"/>
      <c r="AI94" s="1431"/>
    </row>
    <row r="95" spans="1:35" s="1262" customFormat="1" ht="13.5">
      <c r="A95" s="1796" t="s">
        <v>1895</v>
      </c>
      <c r="B95" s="536" t="s">
        <v>328</v>
      </c>
      <c r="C95" s="539">
        <f ca="1">ROUND(C85-C86,0)</f>
        <v>158963</v>
      </c>
      <c r="D95" s="532" t="s">
        <v>166</v>
      </c>
      <c r="E95" s="1917"/>
      <c r="F95" s="1918"/>
      <c r="G95" s="1918"/>
      <c r="H95" s="566"/>
      <c r="I95" s="2281"/>
      <c r="J95" s="2131"/>
      <c r="K95" s="2131"/>
      <c r="L95" s="2131"/>
      <c r="M95" s="2131"/>
      <c r="N95" s="2131"/>
      <c r="O95" s="2131"/>
      <c r="P95" s="2131"/>
      <c r="Q95" s="2131"/>
      <c r="R95" s="2131"/>
      <c r="S95" s="2131"/>
      <c r="T95" s="2131"/>
      <c r="U95" s="2131"/>
      <c r="V95" s="2131"/>
      <c r="W95" s="2131"/>
      <c r="X95" s="2131"/>
      <c r="Y95" s="2131"/>
      <c r="Z95" s="2131"/>
      <c r="AA95" s="1431"/>
      <c r="AB95" s="1431"/>
      <c r="AC95" s="1431"/>
      <c r="AD95" s="1431"/>
      <c r="AE95" s="1431"/>
      <c r="AF95" s="1431"/>
      <c r="AG95" s="1431"/>
      <c r="AH95" s="1431"/>
      <c r="AI95" s="1431"/>
    </row>
    <row r="96" spans="1:35" s="1262" customFormat="1" ht="24">
      <c r="A96" s="1796" t="s">
        <v>1896</v>
      </c>
      <c r="B96" s="536" t="s">
        <v>329</v>
      </c>
      <c r="C96" s="559">
        <f ca="1">IF(C95&lt;=0,0,C95/C86)</f>
        <v>165.58645833333333</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6"/>
      <c r="I96" s="2281"/>
      <c r="J96" s="2131"/>
      <c r="K96" s="2131"/>
      <c r="L96" s="2131"/>
      <c r="M96" s="2131"/>
      <c r="N96" s="2131"/>
      <c r="O96" s="2131"/>
      <c r="P96" s="2131"/>
      <c r="Q96" s="2131"/>
      <c r="R96" s="2131"/>
      <c r="S96" s="2131"/>
      <c r="T96" s="2131"/>
      <c r="U96" s="2131"/>
      <c r="V96" s="2131"/>
      <c r="W96" s="2131"/>
      <c r="X96" s="2131"/>
      <c r="Y96" s="2131"/>
      <c r="Z96" s="2131"/>
      <c r="AA96" s="1431"/>
      <c r="AB96" s="1431"/>
      <c r="AC96" s="1431"/>
      <c r="AD96" s="1431"/>
      <c r="AE96" s="1431"/>
      <c r="AF96" s="1431"/>
      <c r="AG96" s="1431"/>
      <c r="AH96" s="1431"/>
      <c r="AI96" s="1431"/>
    </row>
    <row r="97" spans="1:35" s="1262" customFormat="1" ht="24.75" thickBot="1">
      <c r="A97" s="1797" t="s">
        <v>1897</v>
      </c>
      <c r="B97" s="541" t="s">
        <v>330</v>
      </c>
      <c r="C97" s="560">
        <f ca="1">ROUND(IF(C95&lt;=0,0,IF(C96&gt;=200%,C95*60%-C86*35%,IF(C96&gt;=100%,C95*50%-C86*15%,IF(C96&gt;=50%,C95*40%-C86*5%,IF(C96&lt;50%,C95*30%,0))))),0)</f>
        <v>95042</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1"/>
      <c r="J97" s="2131"/>
      <c r="K97" s="2131"/>
      <c r="L97" s="2131"/>
      <c r="M97" s="2131"/>
      <c r="N97" s="2131"/>
      <c r="O97" s="2131"/>
      <c r="P97" s="2131"/>
      <c r="Q97" s="2131"/>
      <c r="R97" s="2131"/>
      <c r="S97" s="2131"/>
      <c r="T97" s="2131"/>
      <c r="U97" s="2131"/>
      <c r="V97" s="2131"/>
      <c r="W97" s="2131"/>
      <c r="X97" s="2131"/>
      <c r="Y97" s="2131"/>
      <c r="Z97" s="2131"/>
      <c r="AA97" s="1431"/>
      <c r="AB97" s="1431"/>
      <c r="AC97" s="1431"/>
      <c r="AD97" s="1431"/>
      <c r="AE97" s="1431"/>
      <c r="AF97" s="1431"/>
      <c r="AG97" s="1431"/>
      <c r="AH97" s="1431"/>
      <c r="AI97" s="1431"/>
    </row>
    <row r="98" spans="1:35" ht="21.75" customHeight="1">
      <c r="A98" s="1255"/>
      <c r="B98" s="1240"/>
      <c r="C98" s="1240"/>
      <c r="D98" s="1240"/>
      <c r="E98" s="229"/>
      <c r="F98" s="229"/>
      <c r="G98" s="229"/>
      <c r="H98" s="241"/>
      <c r="I98" s="2273"/>
    </row>
    <row r="99" spans="1:35" ht="21.75" customHeight="1" thickBot="1">
      <c r="A99" s="1249" t="s">
        <v>226</v>
      </c>
      <c r="B99" s="1240"/>
      <c r="C99" s="1240"/>
      <c r="D99" s="1240"/>
      <c r="E99" s="229"/>
      <c r="F99" s="229"/>
      <c r="G99" s="229"/>
      <c r="H99" s="241"/>
      <c r="I99" s="2273"/>
    </row>
    <row r="100" spans="1:35" ht="18.75" customHeight="1">
      <c r="A100" s="3548" t="s">
        <v>227</v>
      </c>
      <c r="B100" s="3549"/>
      <c r="C100" s="3549"/>
      <c r="D100" s="3583"/>
      <c r="E100" s="3549" t="s">
        <v>2898</v>
      </c>
      <c r="F100" s="3549"/>
      <c r="G100" s="3549"/>
      <c r="H100" s="3583"/>
      <c r="I100" s="2273"/>
    </row>
    <row r="101" spans="1:35" ht="18.75" customHeight="1">
      <c r="A101" s="3591" t="s">
        <v>205</v>
      </c>
      <c r="B101" s="3592"/>
      <c r="C101" s="1263" t="str">
        <f>C4</f>
        <v>成本法</v>
      </c>
      <c r="D101" s="1264" t="str">
        <f>D4</f>
        <v>假设开发法</v>
      </c>
      <c r="E101" s="3560" t="s">
        <v>1903</v>
      </c>
      <c r="F101" s="3561"/>
      <c r="G101" s="1265" t="s">
        <v>207</v>
      </c>
      <c r="H101" s="1981">
        <f ca="1">H118</f>
        <v>167919</v>
      </c>
      <c r="I101" s="2273"/>
    </row>
    <row r="102" spans="1:35" ht="18.75" customHeight="1">
      <c r="A102" s="3593" t="s">
        <v>206</v>
      </c>
      <c r="B102" s="1265" t="s">
        <v>207</v>
      </c>
      <c r="C102" s="1232">
        <f ca="1">C19</f>
        <v>140490</v>
      </c>
      <c r="D102" s="1233">
        <f ca="1">D19</f>
        <v>190361</v>
      </c>
      <c r="E102" s="3560"/>
      <c r="F102" s="3561"/>
      <c r="G102" s="1265" t="s">
        <v>208</v>
      </c>
      <c r="H102" s="710">
        <f ca="1">I118</f>
        <v>30533</v>
      </c>
      <c r="I102" s="2273"/>
    </row>
    <row r="103" spans="1:35" ht="42.75" customHeight="1">
      <c r="A103" s="3593"/>
      <c r="B103" s="1265" t="s">
        <v>208</v>
      </c>
      <c r="C103" s="1234">
        <f ca="1">C20</f>
        <v>25545</v>
      </c>
      <c r="D103" s="1235">
        <f ca="1">D20</f>
        <v>34613</v>
      </c>
      <c r="E103" s="3554" t="s">
        <v>3008</v>
      </c>
      <c r="F103" s="3555"/>
      <c r="G103" s="1266" t="s">
        <v>210</v>
      </c>
      <c r="H103" s="1981">
        <f>IF(D36="正常操作",H104+H105+H106,H105+H106)</f>
        <v>0</v>
      </c>
      <c r="I103" s="2273"/>
    </row>
    <row r="104" spans="1:35" ht="18.75" customHeight="1">
      <c r="A104" s="3593" t="s">
        <v>209</v>
      </c>
      <c r="B104" s="1267" t="s">
        <v>207</v>
      </c>
      <c r="C104" s="1236">
        <f ca="1">H118</f>
        <v>167919</v>
      </c>
      <c r="D104" s="1237"/>
      <c r="E104" s="13" t="s">
        <v>1902</v>
      </c>
      <c r="F104" s="6"/>
      <c r="G104" s="1266" t="s">
        <v>210</v>
      </c>
      <c r="H104" s="1982">
        <f>IF(D36="同一抵押权人同一抵押物续贷",C36&amp;"（未扣减，详见特别提示）",C36)</f>
        <v>0</v>
      </c>
      <c r="I104" s="2273"/>
    </row>
    <row r="105" spans="1:35" ht="18.75" customHeight="1" thickBot="1">
      <c r="A105" s="3607"/>
      <c r="B105" s="1268" t="s">
        <v>208</v>
      </c>
      <c r="C105" s="1238">
        <f ca="1">I118</f>
        <v>30533</v>
      </c>
      <c r="D105" s="1239"/>
      <c r="E105" s="13" t="s">
        <v>1904</v>
      </c>
      <c r="F105" s="6"/>
      <c r="G105" s="1266" t="s">
        <v>210</v>
      </c>
      <c r="H105" s="1982">
        <f>C37</f>
        <v>0</v>
      </c>
      <c r="I105" s="2273"/>
    </row>
    <row r="106" spans="1:35" ht="18.75" customHeight="1">
      <c r="A106" s="1240" t="s">
        <v>2000</v>
      </c>
      <c r="B106" s="1240"/>
      <c r="C106" s="1240"/>
      <c r="D106" s="1240"/>
      <c r="E106" s="467" t="s">
        <v>1905</v>
      </c>
      <c r="F106" s="6"/>
      <c r="G106" s="1266" t="s">
        <v>210</v>
      </c>
      <c r="H106" s="1982">
        <f>C38</f>
        <v>0</v>
      </c>
      <c r="I106" s="2273"/>
    </row>
    <row r="107" spans="1:35" ht="18.75" customHeight="1">
      <c r="A107" s="2273"/>
      <c r="B107" s="2273"/>
      <c r="C107" s="2273"/>
      <c r="D107" s="2273"/>
      <c r="E107" s="3595" t="str">
        <f>IF(项目基本情况!E8="已注销","——","3.房地产抵押价值")</f>
        <v>3.房地产抵押价值</v>
      </c>
      <c r="F107" s="3561"/>
      <c r="G107" s="1265" t="s">
        <v>207</v>
      </c>
      <c r="H107" s="1981">
        <f ca="1">IF(E107="——","——",H101-H103)</f>
        <v>167919</v>
      </c>
      <c r="I107" s="2273"/>
    </row>
    <row r="108" spans="1:35" ht="18.75" customHeight="1">
      <c r="A108" s="2273"/>
      <c r="B108" s="2273"/>
      <c r="C108" s="2273"/>
      <c r="D108" s="2273"/>
      <c r="E108" s="3595"/>
      <c r="F108" s="3561"/>
      <c r="G108" s="1265" t="s">
        <v>208</v>
      </c>
      <c r="H108" s="710">
        <f ca="1">ROUND(H107*10000/'数据-汇总表'!E3,0)</f>
        <v>30533</v>
      </c>
      <c r="I108" s="2273"/>
    </row>
    <row r="109" spans="1:35" ht="18.75" customHeight="1">
      <c r="A109" s="2273"/>
      <c r="B109" s="2273"/>
      <c r="C109" s="2273"/>
      <c r="D109" s="2273"/>
      <c r="E109" s="3595" t="str">
        <f>IF(项目基本情况!E8="已注销及未注销","4.抵押担保权已注销时的房地产抵押价值",IF(项目基本情况!E8="已注销","3.抵押担保权已注销时的房地产抵押价值","——"))</f>
        <v>——</v>
      </c>
      <c r="F109" s="3561"/>
      <c r="G109" s="1265" t="s">
        <v>207</v>
      </c>
      <c r="H109" s="685" t="str">
        <f>IF(E109="——","——",H101-H105-H106)</f>
        <v>——</v>
      </c>
      <c r="I109" s="2273"/>
    </row>
    <row r="110" spans="1:35" ht="18.75" customHeight="1">
      <c r="A110" s="2273"/>
      <c r="B110" s="2273"/>
      <c r="C110" s="2273"/>
      <c r="D110" s="2273"/>
      <c r="E110" s="3595"/>
      <c r="F110" s="3561"/>
      <c r="G110" s="1265" t="s">
        <v>208</v>
      </c>
      <c r="H110" s="710" t="str">
        <f>IF(H109="——","——",ROUND(H109*10000/'数据-汇总表'!E3,0))</f>
        <v>——</v>
      </c>
      <c r="I110" s="2273"/>
    </row>
    <row r="111" spans="1:35" ht="18.75" customHeight="1">
      <c r="A111" s="2273"/>
      <c r="B111" s="2273"/>
      <c r="C111" s="2273"/>
      <c r="D111" s="2273"/>
      <c r="E111" s="3596" t="str">
        <f>IF(项目基本情况!E9="抵押净值",IF(OR(项目基本情况!E8="已注销",项目基本情况!E8="房地产抵押价值"),"4.抵押净值","5.抵押净值"),"——")</f>
        <v>——</v>
      </c>
      <c r="F111" s="3597"/>
      <c r="G111" s="1265" t="s">
        <v>207</v>
      </c>
      <c r="H111" s="1981" t="str">
        <f>IF(E111="——","——",N59)</f>
        <v>——</v>
      </c>
      <c r="I111" s="2273"/>
    </row>
    <row r="112" spans="1:35" ht="18.75" customHeight="1" thickBot="1">
      <c r="A112" s="2273"/>
      <c r="B112" s="2273"/>
      <c r="C112" s="2273"/>
      <c r="D112" s="2273"/>
      <c r="E112" s="3598"/>
      <c r="F112" s="3599"/>
      <c r="G112" s="1269" t="s">
        <v>208</v>
      </c>
      <c r="H112" s="1419" t="str">
        <f>IF(E111="——","——",N61)</f>
        <v>——</v>
      </c>
      <c r="I112" s="2273"/>
    </row>
    <row r="113" spans="1:11" ht="18.75" customHeight="1">
      <c r="A113" s="2273"/>
      <c r="B113" s="2273"/>
      <c r="C113" s="2273"/>
      <c r="D113" s="2273"/>
      <c r="E113" s="3608" t="s">
        <v>2000</v>
      </c>
      <c r="F113" s="3608"/>
      <c r="G113" s="3608"/>
      <c r="H113" s="3608"/>
      <c r="I113" s="2273"/>
    </row>
    <row r="114" spans="1:11" ht="3.75" customHeight="1">
      <c r="A114" s="1240"/>
      <c r="B114" s="1240"/>
      <c r="C114" s="1240"/>
      <c r="D114" s="1240"/>
      <c r="E114" s="1255"/>
      <c r="F114" s="1255"/>
      <c r="G114" s="1255"/>
      <c r="H114" s="1255"/>
      <c r="I114" s="1240"/>
    </row>
    <row r="115" spans="1:11" ht="18.75" customHeight="1">
      <c r="A115" s="3621" t="s">
        <v>223</v>
      </c>
      <c r="B115" s="3622"/>
      <c r="C115" s="3622"/>
      <c r="D115" s="3622"/>
      <c r="E115" s="3622"/>
      <c r="F115" s="3622"/>
      <c r="G115" s="3622"/>
      <c r="H115" s="3622"/>
      <c r="I115" s="3623"/>
    </row>
    <row r="116" spans="1:11" ht="27" customHeight="1">
      <c r="A116" s="3528" t="s">
        <v>5</v>
      </c>
      <c r="B116" s="3570" t="s">
        <v>780</v>
      </c>
      <c r="C116" s="3570" t="s">
        <v>781</v>
      </c>
      <c r="D116" s="3579" t="s">
        <v>203</v>
      </c>
      <c r="E116" s="3580"/>
      <c r="F116" s="3617" t="s">
        <v>2378</v>
      </c>
      <c r="G116" s="3617"/>
      <c r="H116" s="3528" t="s">
        <v>6</v>
      </c>
      <c r="I116" s="3528"/>
    </row>
    <row r="117" spans="1:11" ht="18.75" customHeight="1">
      <c r="A117" s="3528"/>
      <c r="B117" s="3571"/>
      <c r="C117" s="3571"/>
      <c r="D117" s="1911" t="s">
        <v>7</v>
      </c>
      <c r="E117" s="1911" t="s">
        <v>782</v>
      </c>
      <c r="F117" s="1911" t="s">
        <v>7</v>
      </c>
      <c r="G117" s="1911" t="s">
        <v>8</v>
      </c>
      <c r="H117" s="1911" t="s">
        <v>7</v>
      </c>
      <c r="I117" s="1911" t="s">
        <v>8</v>
      </c>
    </row>
    <row r="118" spans="1:11" ht="24.75" customHeight="1">
      <c r="A118" s="2028" t="str">
        <f>项目基本情况!S2</f>
        <v>北京市北京市门头沟区潭柘寺MC01-0003-6004地块C3出让国有建设用地使用权及在建建筑物房地产</v>
      </c>
      <c r="B118" s="1916">
        <f>M18</f>
        <v>54996.800000000003</v>
      </c>
      <c r="C118" s="1916">
        <f>M19</f>
        <v>27526.28</v>
      </c>
      <c r="D118" s="1916">
        <f ca="1">ROUND(IF(D32="总价",C34,E118*B118/10000),0)</f>
        <v>152638</v>
      </c>
      <c r="E118" s="1916">
        <f ca="1">ROUND(IF(C33="自定义",IF(D32="楼面单价",C34,D118*10000/B118),I118-G118),0)</f>
        <v>27754</v>
      </c>
      <c r="F118" s="1916">
        <f ca="1">ROUND(IF(D32="总价",C35,G118*B118/10000),0)</f>
        <v>15281</v>
      </c>
      <c r="G118" s="1916">
        <f ca="1">ROUND(IF(D32="楼面单价",C35,F118*10000/B118),0)</f>
        <v>2779</v>
      </c>
      <c r="H118" s="1916">
        <f ca="1">ROUND(IF(D32="总价",C32,I118*B118/10000),0)</f>
        <v>167919</v>
      </c>
      <c r="I118" s="1916">
        <f ca="1">ROUND(IF(D32="楼面单价",C32,H118*10000/B118),0)</f>
        <v>30533</v>
      </c>
    </row>
    <row r="119" spans="1:11" ht="18.75" customHeight="1">
      <c r="A119" s="3528" t="s">
        <v>9</v>
      </c>
      <c r="B119" s="3528"/>
      <c r="C119" s="3528"/>
      <c r="D119" s="3572" t="str">
        <f ca="1">NUMBERSTRING(INT(D118*10000),2)&amp;"元整"</f>
        <v>壹拾伍亿贰仟陆佰叁拾捌万元整</v>
      </c>
      <c r="E119" s="3573"/>
      <c r="F119" s="3572" t="str">
        <f ca="1">NUMBERSTRING(INT(F118*10000),2)&amp;"元整"</f>
        <v>壹亿伍仟贰佰捌拾壹万元整</v>
      </c>
      <c r="G119" s="3573"/>
      <c r="H119" s="3572" t="str">
        <f ca="1">NUMBERSTRING(INT(H118*10000),2)&amp;"元整"</f>
        <v>壹拾陆亿柒仟玖佰壹拾玖万元整</v>
      </c>
      <c r="I119" s="3573"/>
    </row>
    <row r="120" spans="1:11" ht="18.75" customHeight="1">
      <c r="A120" s="3574" t="str">
        <f>IF(项目基本情况!B9="房地产市场价值","",MID(E103,3,LEN(E103)-2))</f>
        <v>估价师知悉的法定优先受偿款</v>
      </c>
      <c r="B120" s="3575"/>
      <c r="C120" s="3576"/>
      <c r="D120" s="3567">
        <f>H103</f>
        <v>0</v>
      </c>
      <c r="E120" s="3568"/>
      <c r="F120" s="3568"/>
      <c r="G120" s="3568"/>
      <c r="H120" s="3568"/>
      <c r="I120" s="3569"/>
      <c r="K120" s="1430" t="str">
        <f>IF(D120=0,"故，本次评估不存在"&amp;A120,"故，本次评估"&amp;A120&amp;"为人民币"&amp;D120&amp;"万元整。")</f>
        <v>故，本次评估不存在估价师知悉的法定优先受偿款</v>
      </c>
    </row>
    <row r="121" spans="1:11" ht="18.75" customHeight="1">
      <c r="A121" s="3618" t="s">
        <v>9</v>
      </c>
      <c r="B121" s="3619"/>
      <c r="C121" s="3620"/>
      <c r="D121" s="3572" t="str">
        <f>IF(D120=0,"零元整",NUMBERSTRING(INT(D120*10000),2)&amp;"元整")</f>
        <v>零元整</v>
      </c>
      <c r="E121" s="3577"/>
      <c r="F121" s="3577"/>
      <c r="G121" s="3577"/>
      <c r="H121" s="3577"/>
      <c r="I121" s="3573"/>
    </row>
    <row r="122" spans="1:11" ht="18.75" customHeight="1">
      <c r="A122" s="3581" t="str">
        <f>IF(项目基本情况!B9="房地产市场价值","",MID(E107,3,LEN(E107)-2))</f>
        <v>房地产抵押价值</v>
      </c>
      <c r="B122" s="3581"/>
      <c r="C122" s="3581"/>
      <c r="D122" s="3567">
        <f ca="1">H107</f>
        <v>167919</v>
      </c>
      <c r="E122" s="3568"/>
      <c r="F122" s="3568"/>
      <c r="G122" s="3568"/>
      <c r="H122" s="3568"/>
      <c r="I122" s="3569"/>
    </row>
    <row r="123" spans="1:11" ht="18.75" customHeight="1">
      <c r="A123" s="3528" t="s">
        <v>9</v>
      </c>
      <c r="B123" s="3528"/>
      <c r="C123" s="3528"/>
      <c r="D123" s="3572" t="str">
        <f ca="1">NUMBERSTRING(INT(D122*10000),2)&amp;"元整"</f>
        <v>壹拾陆亿柒仟玖佰壹拾玖万元整</v>
      </c>
      <c r="E123" s="3577"/>
      <c r="F123" s="3577"/>
      <c r="G123" s="3577"/>
      <c r="H123" s="3577"/>
      <c r="I123" s="3573"/>
    </row>
    <row r="124" spans="1:11" ht="18.75" customHeight="1">
      <c r="A124" s="3581" t="str">
        <f>IF(项目基本情况!B9="房地产市场价值","",MID(E109,3,LEN(E109)-2))</f>
        <v/>
      </c>
      <c r="B124" s="3581"/>
      <c r="C124" s="3581"/>
      <c r="D124" s="3567" t="str">
        <f>H109</f>
        <v>——</v>
      </c>
      <c r="E124" s="3568"/>
      <c r="F124" s="3568"/>
      <c r="G124" s="3568"/>
      <c r="H124" s="3568"/>
      <c r="I124" s="3569"/>
    </row>
    <row r="125" spans="1:11" ht="18.75" customHeight="1">
      <c r="A125" s="3528" t="s">
        <v>9</v>
      </c>
      <c r="B125" s="3528"/>
      <c r="C125" s="3528"/>
      <c r="D125" s="3572" t="e">
        <f>NUMBERSTRING(INT(D124*10000),2)&amp;"元整"</f>
        <v>#VALUE!</v>
      </c>
      <c r="E125" s="3577"/>
      <c r="F125" s="3577"/>
      <c r="G125" s="3577"/>
      <c r="H125" s="3577"/>
      <c r="I125" s="3573"/>
    </row>
    <row r="126" spans="1:11" ht="18.75" customHeight="1">
      <c r="A126" s="3581" t="str">
        <f>IF(项目基本情况!B9="房地产市场价值","",MID(E111,3,LEN(E111)-2))</f>
        <v/>
      </c>
      <c r="B126" s="3581"/>
      <c r="C126" s="3581"/>
      <c r="D126" s="3567" t="str">
        <f>H111</f>
        <v>——</v>
      </c>
      <c r="E126" s="3568"/>
      <c r="F126" s="3568"/>
      <c r="G126" s="3568"/>
      <c r="H126" s="3568"/>
      <c r="I126" s="3569"/>
    </row>
    <row r="127" spans="1:11" ht="18.75" customHeight="1">
      <c r="A127" s="3528" t="s">
        <v>9</v>
      </c>
      <c r="B127" s="3528"/>
      <c r="C127" s="3528"/>
      <c r="D127" s="3572" t="e">
        <f>NUMBERSTRING(INT(D126*10000),2)&amp;"元整"</f>
        <v>#VALUE!</v>
      </c>
      <c r="E127" s="3577"/>
      <c r="F127" s="3577"/>
      <c r="G127" s="3577"/>
      <c r="H127" s="3577"/>
      <c r="I127" s="3573"/>
    </row>
    <row r="128" spans="1:11" ht="21.75" customHeight="1">
      <c r="A128" s="3578" t="s">
        <v>1999</v>
      </c>
      <c r="B128" s="3578"/>
      <c r="C128" s="3578"/>
      <c r="D128" s="3578"/>
      <c r="E128" s="3578"/>
      <c r="F128" s="3578"/>
      <c r="G128" s="3578"/>
      <c r="H128" s="3578"/>
      <c r="I128" s="3578"/>
    </row>
    <row r="129" spans="1:35" ht="21.75" customHeight="1">
      <c r="A129" s="2023" t="s">
        <v>783</v>
      </c>
      <c r="B129" s="2024"/>
      <c r="C129" s="468" t="s">
        <v>150</v>
      </c>
      <c r="D129" s="2025"/>
      <c r="E129" s="2025"/>
      <c r="F129" s="2025"/>
      <c r="G129" s="2025"/>
      <c r="H129" s="2026"/>
      <c r="I129" s="2027"/>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784</v>
      </c>
      <c r="G135" s="1444"/>
      <c r="H135" s="1444"/>
      <c r="I135" s="1445" t="s">
        <v>785</v>
      </c>
    </row>
    <row r="136" spans="1:35" ht="21.75" customHeight="1">
      <c r="A136" s="1442"/>
      <c r="B136" s="1446" t="s">
        <v>786</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787</v>
      </c>
    </row>
    <row r="139" spans="1:35" ht="21.75" customHeight="1">
      <c r="A139" s="1442"/>
      <c r="B139" s="1446" t="s">
        <v>788</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787</v>
      </c>
    </row>
    <row r="142" spans="1:35" ht="21.75" customHeight="1">
      <c r="A142" s="1442"/>
      <c r="B142" s="1446"/>
      <c r="C142" s="1447"/>
      <c r="D142" s="1448"/>
      <c r="E142" s="1448"/>
      <c r="F142" s="1449"/>
      <c r="G142" s="1442"/>
      <c r="H142" s="1442"/>
      <c r="I142" s="1442"/>
    </row>
    <row r="143" spans="1:35" s="428"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8"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8"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5" customWidth="1"/>
    <col min="2" max="9" width="10" style="1885" customWidth="1"/>
    <col min="10" max="16384" width="9" style="1885"/>
  </cols>
  <sheetData>
    <row r="36" spans="1:9">
      <c r="A36" s="1884" t="s">
        <v>1956</v>
      </c>
      <c r="B36" s="1884" t="s">
        <v>1957</v>
      </c>
    </row>
    <row r="37" spans="1:9" ht="27.75" customHeight="1">
      <c r="A37" s="1884"/>
      <c r="B37" s="3423" t="str">
        <f>项目基本情况!B1</f>
        <v>北京市北京市门头沟区潭柘寺MC01-0003-6004地块C3出让国有建设用地使用权及在建建筑物房地产抵押价值预评估</v>
      </c>
      <c r="C37" s="3423"/>
      <c r="D37" s="3423"/>
      <c r="E37" s="3423"/>
      <c r="F37" s="3423"/>
      <c r="G37" s="3423"/>
      <c r="H37" s="3423"/>
      <c r="I37" s="3423"/>
    </row>
    <row r="38" spans="1:9">
      <c r="A38" s="1886"/>
      <c r="B38" s="1886"/>
    </row>
    <row r="39" spans="1:9">
      <c r="A39" s="1884" t="s">
        <v>1956</v>
      </c>
      <c r="B39" s="1884" t="s">
        <v>1958</v>
      </c>
    </row>
    <row r="40" spans="1:9">
      <c r="A40" s="1884"/>
      <c r="B40" s="1884" t="str">
        <f>项目基本情况!B5</f>
        <v>北京京投灜德置业有限公司</v>
      </c>
    </row>
    <row r="41" spans="1:9">
      <c r="A41" s="1884"/>
      <c r="B41" s="1884"/>
    </row>
    <row r="42" spans="1:9">
      <c r="A42" s="1884" t="s">
        <v>1956</v>
      </c>
      <c r="B42" s="1884" t="s">
        <v>1959</v>
      </c>
    </row>
    <row r="43" spans="1:9">
      <c r="A43" s="1884"/>
      <c r="B43" s="1884" t="s">
        <v>1960</v>
      </c>
    </row>
    <row r="44" spans="1:9">
      <c r="A44" s="1884"/>
      <c r="B44" s="1884"/>
    </row>
    <row r="45" spans="1:9">
      <c r="A45" s="1884" t="s">
        <v>1956</v>
      </c>
      <c r="B45" s="1884" t="s">
        <v>1961</v>
      </c>
    </row>
    <row r="46" spans="1:9" s="1884" customFormat="1" ht="12.75">
      <c r="B46" s="1884" t="str">
        <f ca="1">项目基本情况!K4</f>
        <v>梁津（注册号：1119970066)、欧红伟（注册号：1120000080)</v>
      </c>
    </row>
    <row r="47" spans="1:9">
      <c r="A47" s="1884"/>
      <c r="B47" s="1884" t="str">
        <f>项目基本情况!K5</f>
        <v/>
      </c>
    </row>
    <row r="48" spans="1:9">
      <c r="A48" s="1884" t="s">
        <v>1956</v>
      </c>
      <c r="B48" s="1884" t="s">
        <v>1962</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D71" sqref="D71:M71"/>
    </sheetView>
  </sheetViews>
  <sheetFormatPr defaultRowHeight="14.25"/>
  <cols>
    <col min="1" max="1" width="14.375" style="745" customWidth="1"/>
    <col min="2" max="2" width="15.75" style="745" customWidth="1"/>
    <col min="3" max="3" width="16.875" style="745" customWidth="1"/>
    <col min="4" max="4" width="14.125" style="745" customWidth="1"/>
    <col min="5" max="5" width="16.2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9"/>
    </row>
    <row r="2" spans="1:30" s="740" customFormat="1" ht="28.5" customHeight="1">
      <c r="A2" s="577" t="s">
        <v>342</v>
      </c>
      <c r="B2" s="1077">
        <f>F66</f>
        <v>95659</v>
      </c>
      <c r="C2" s="2338"/>
      <c r="D2" s="2338"/>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c r="AD2" s="739"/>
    </row>
    <row r="3" spans="1:30" s="740" customFormat="1" ht="28.5" customHeight="1" thickBot="1">
      <c r="A3" s="579" t="s">
        <v>343</v>
      </c>
      <c r="B3" s="949">
        <f>ROUND(IF(D3="",B2*10000/'数据-汇总表'!E3,B2*10000/D3),0)</f>
        <v>17394</v>
      </c>
      <c r="C3" s="579" t="s">
        <v>2881</v>
      </c>
      <c r="D3" s="3049"/>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30" ht="15">
      <c r="A4" s="743" t="s">
        <v>387</v>
      </c>
      <c r="B4" s="744"/>
      <c r="C4" s="3674" t="s">
        <v>388</v>
      </c>
      <c r="D4" s="3675"/>
      <c r="E4" s="3676" t="s">
        <v>389</v>
      </c>
      <c r="F4" s="3677"/>
      <c r="G4" s="3674" t="s">
        <v>390</v>
      </c>
      <c r="H4" s="3675"/>
      <c r="I4" s="3674" t="s">
        <v>391</v>
      </c>
      <c r="J4" s="3675"/>
      <c r="K4" s="950" t="s">
        <v>392</v>
      </c>
      <c r="L4" s="2344"/>
      <c r="M4" s="2345"/>
      <c r="N4" s="2345"/>
      <c r="O4" s="2345"/>
      <c r="P4" s="3678" t="s">
        <v>393</v>
      </c>
      <c r="Q4" s="3679"/>
      <c r="R4" s="3661" t="s">
        <v>389</v>
      </c>
      <c r="S4" s="3662"/>
      <c r="T4" s="3661" t="s">
        <v>390</v>
      </c>
      <c r="U4" s="3662"/>
      <c r="V4" s="3686" t="s">
        <v>391</v>
      </c>
      <c r="W4" s="3686"/>
      <c r="X4" s="1315"/>
      <c r="Y4" s="3661" t="s">
        <v>393</v>
      </c>
      <c r="Z4" s="3662"/>
      <c r="AA4" s="3656" t="s">
        <v>389</v>
      </c>
      <c r="AB4" s="3657" t="s">
        <v>390</v>
      </c>
      <c r="AC4" s="3656" t="s">
        <v>391</v>
      </c>
    </row>
    <row r="5" spans="1:30" ht="66" customHeight="1">
      <c r="A5" s="746"/>
      <c r="B5" s="747"/>
      <c r="C5" s="3667" t="s">
        <v>1121</v>
      </c>
      <c r="D5" s="3668"/>
      <c r="E5" s="3665" t="str">
        <f>土地!A2</f>
        <v>门头沟区永定镇MC00-0017-6021、6022地块(门头沟S1线区域组团03地块北部一期用地)</v>
      </c>
      <c r="F5" s="3666"/>
      <c r="G5" s="3667" t="str">
        <f>土地!A3</f>
        <v>门头沟区永定镇MC00-0020-0009、0012地块</v>
      </c>
      <c r="H5" s="3668"/>
      <c r="I5" s="3667" t="str">
        <f>土地!A4</f>
        <v>门头沟区龙泉镇MC00-0003-0026等地块B1商业用地、F1住宅混合公建用地及A33基础教育用地(原门头沟区城子大街国有资源整合改造升级地块)</v>
      </c>
      <c r="J5" s="3668"/>
      <c r="K5" s="950"/>
      <c r="L5" s="2344"/>
      <c r="M5" s="2345"/>
      <c r="N5" s="2345"/>
      <c r="O5" s="2345"/>
      <c r="P5" s="3680"/>
      <c r="Q5" s="3681"/>
      <c r="R5" s="3663"/>
      <c r="S5" s="3664"/>
      <c r="T5" s="3663"/>
      <c r="U5" s="3664"/>
      <c r="V5" s="3686"/>
      <c r="W5" s="3686"/>
      <c r="X5" s="1315"/>
      <c r="Y5" s="3663"/>
      <c r="Z5" s="3664"/>
      <c r="AA5" s="3657"/>
      <c r="AB5" s="3657"/>
      <c r="AC5" s="3657"/>
    </row>
    <row r="6" spans="1:30" ht="15.75" thickBot="1">
      <c r="A6" s="748"/>
      <c r="B6" s="749"/>
      <c r="C6" s="3669" t="s">
        <v>1124</v>
      </c>
      <c r="D6" s="3670"/>
      <c r="E6" s="3671" t="s">
        <v>1124</v>
      </c>
      <c r="F6" s="3672"/>
      <c r="G6" s="3669" t="s">
        <v>1124</v>
      </c>
      <c r="H6" s="3670"/>
      <c r="I6" s="3669" t="s">
        <v>1124</v>
      </c>
      <c r="J6" s="3670"/>
      <c r="K6" s="950" t="s">
        <v>394</v>
      </c>
      <c r="L6" s="2344"/>
      <c r="M6" s="2345"/>
      <c r="N6" s="2345"/>
      <c r="O6" s="2345"/>
      <c r="P6" s="3682"/>
      <c r="Q6" s="3683"/>
      <c r="R6" s="3663"/>
      <c r="S6" s="3664"/>
      <c r="T6" s="3684"/>
      <c r="U6" s="3685"/>
      <c r="V6" s="3686"/>
      <c r="W6" s="3686"/>
      <c r="X6" s="1315"/>
      <c r="Y6" s="3684"/>
      <c r="Z6" s="3685"/>
      <c r="AA6" s="3658"/>
      <c r="AB6" s="3658"/>
      <c r="AC6" s="3658"/>
    </row>
    <row r="7" spans="1:30" s="407" customFormat="1" ht="15.75" thickBot="1">
      <c r="A7" s="750" t="s">
        <v>395</v>
      </c>
      <c r="B7" s="751"/>
      <c r="C7" s="752">
        <f>'数据-取费表'!B2</f>
        <v>42975</v>
      </c>
      <c r="D7" s="753">
        <v>100</v>
      </c>
      <c r="E7" s="1014" t="str">
        <f>土地!G2</f>
        <v>2015-09-29</v>
      </c>
      <c r="F7" s="755">
        <f>SUMIF(70:70,YEAR(E7)&amp;"-"&amp;INT((MONTH(E7)+2)/3),71:71)</f>
        <v>96</v>
      </c>
      <c r="G7" s="1015" t="str">
        <f>土地!G3</f>
        <v>2015-11-18</v>
      </c>
      <c r="H7" s="753">
        <f>SUMIF(70:70,YEAR(G7)&amp;"-"&amp;INT((MONTH(G7)+2)/3),71:71)</f>
        <v>96.5</v>
      </c>
      <c r="I7" s="1015" t="str">
        <f>土地!G4</f>
        <v>2016-02-26</v>
      </c>
      <c r="J7" s="753">
        <f>SUMIF(70:70,YEAR(I7)&amp;"-"&amp;INT((MONTH(I7)+2)/3),71:71)</f>
        <v>97</v>
      </c>
      <c r="K7" s="951"/>
      <c r="L7" s="2346"/>
      <c r="M7" s="2347"/>
      <c r="N7" s="2347"/>
      <c r="O7" s="2347"/>
      <c r="P7" s="3659" t="s">
        <v>396</v>
      </c>
      <c r="Q7" s="3687"/>
      <c r="R7" s="1316" t="s">
        <v>65</v>
      </c>
      <c r="S7" s="1317">
        <f t="shared" ref="S7:S15" si="0">F7</f>
        <v>96</v>
      </c>
      <c r="T7" s="1316" t="s">
        <v>65</v>
      </c>
      <c r="U7" s="1317">
        <f t="shared" ref="U7:U15" si="1">H7</f>
        <v>96.5</v>
      </c>
      <c r="V7" s="1316" t="s">
        <v>65</v>
      </c>
      <c r="W7" s="1317">
        <f t="shared" ref="W7:W15" si="2">J7</f>
        <v>97</v>
      </c>
      <c r="X7" s="1318"/>
      <c r="Y7" s="3659" t="s">
        <v>396</v>
      </c>
      <c r="Z7" s="3660"/>
      <c r="AA7" s="1319">
        <f>D7/F7</f>
        <v>1.0416666666666667</v>
      </c>
      <c r="AB7" s="1319">
        <f>D7/H7</f>
        <v>1.0362694300518134</v>
      </c>
      <c r="AC7" s="1319">
        <f>D7/J7</f>
        <v>1.0309278350515463</v>
      </c>
    </row>
    <row r="8" spans="1:30" s="407" customFormat="1" ht="15.75" thickBot="1">
      <c r="A8" s="750" t="s">
        <v>397</v>
      </c>
      <c r="B8" s="751"/>
      <c r="C8" s="1017" t="s">
        <v>155</v>
      </c>
      <c r="D8" s="753">
        <v>100</v>
      </c>
      <c r="E8" s="1017" t="s">
        <v>155</v>
      </c>
      <c r="F8" s="755">
        <f>SUMIF(73:73,E8,74:74)-SUMIF(73:73,C8,74:74)+100</f>
        <v>100</v>
      </c>
      <c r="G8" s="1017" t="s">
        <v>155</v>
      </c>
      <c r="H8" s="753">
        <f>SUMIF(73:73,G8,74:74)-SUMIF(73:73,C8,74:74)+100</f>
        <v>100</v>
      </c>
      <c r="I8" s="1017" t="s">
        <v>155</v>
      </c>
      <c r="J8" s="753">
        <f>SUMIF(73:73,I8,74:74)-SUMIF(73:73,C8,74:74)+100</f>
        <v>100</v>
      </c>
      <c r="K8" s="951"/>
      <c r="L8" s="2346"/>
      <c r="M8" s="2347"/>
      <c r="N8" s="2347"/>
      <c r="O8" s="2347"/>
      <c r="P8" s="3659" t="s">
        <v>432</v>
      </c>
      <c r="Q8" s="3660"/>
      <c r="R8" s="1316" t="s">
        <v>65</v>
      </c>
      <c r="S8" s="1317">
        <f t="shared" si="0"/>
        <v>100</v>
      </c>
      <c r="T8" s="1316" t="s">
        <v>65</v>
      </c>
      <c r="U8" s="1317">
        <f t="shared" si="1"/>
        <v>100</v>
      </c>
      <c r="V8" s="1316" t="s">
        <v>65</v>
      </c>
      <c r="W8" s="1317">
        <f t="shared" si="2"/>
        <v>100</v>
      </c>
      <c r="X8" s="1318"/>
      <c r="Y8" s="3659" t="s">
        <v>432</v>
      </c>
      <c r="Z8" s="3660"/>
      <c r="AA8" s="1319">
        <f t="shared" ref="AA8:AA45" si="3">D8/F8</f>
        <v>1</v>
      </c>
      <c r="AB8" s="1319">
        <f t="shared" ref="AB8:AB45" si="4">D8/H8</f>
        <v>1</v>
      </c>
      <c r="AC8" s="1319">
        <f t="shared" ref="AC8:AC45" si="5">D8/J8</f>
        <v>1</v>
      </c>
    </row>
    <row r="9" spans="1:30" s="407" customFormat="1" ht="27">
      <c r="A9" s="757" t="s">
        <v>398</v>
      </c>
      <c r="B9" s="361" t="s">
        <v>416</v>
      </c>
      <c r="C9" s="1019" t="s">
        <v>3259</v>
      </c>
      <c r="D9" s="425">
        <v>100</v>
      </c>
      <c r="E9" s="1019" t="s">
        <v>3259</v>
      </c>
      <c r="F9" s="425">
        <f>SUMIF(75:75,E9,76:76)-SUMIF(75:75,C9,76:76)+100</f>
        <v>100</v>
      </c>
      <c r="G9" s="1019" t="s">
        <v>3259</v>
      </c>
      <c r="H9" s="425">
        <f>SUMIF(75:75,G9,76:76)-SUMIF(75:75,C9,76:76)+100</f>
        <v>100</v>
      </c>
      <c r="I9" s="1019" t="s">
        <v>3259</v>
      </c>
      <c r="J9" s="425">
        <f>SUMIF(75:75,I9,76:76)-SUMIF(75:75,C9,76:76)+100</f>
        <v>100</v>
      </c>
      <c r="K9" s="951"/>
      <c r="L9" s="2346"/>
      <c r="M9" s="2347"/>
      <c r="N9" s="2347"/>
      <c r="O9" s="2348"/>
      <c r="P9" s="3673" t="s">
        <v>399</v>
      </c>
      <c r="Q9" s="296" t="str">
        <f t="shared" ref="Q9:Q15" si="6">B9</f>
        <v>用途</v>
      </c>
      <c r="R9" s="1316" t="s">
        <v>65</v>
      </c>
      <c r="S9" s="1317">
        <f t="shared" si="0"/>
        <v>100</v>
      </c>
      <c r="T9" s="1316" t="s">
        <v>65</v>
      </c>
      <c r="U9" s="1317">
        <f t="shared" si="1"/>
        <v>100</v>
      </c>
      <c r="V9" s="1316" t="s">
        <v>65</v>
      </c>
      <c r="W9" s="1317">
        <f t="shared" si="2"/>
        <v>100</v>
      </c>
      <c r="X9" s="1318"/>
      <c r="Y9" s="3634" t="s">
        <v>400</v>
      </c>
      <c r="Z9" s="344" t="str">
        <f t="shared" ref="Z9:Z15" si="7">Q9</f>
        <v>用途</v>
      </c>
      <c r="AA9" s="1319">
        <f t="shared" si="3"/>
        <v>1</v>
      </c>
      <c r="AB9" s="1319">
        <f t="shared" si="4"/>
        <v>1</v>
      </c>
      <c r="AC9" s="1319">
        <f t="shared" si="5"/>
        <v>1</v>
      </c>
    </row>
    <row r="10" spans="1:30" s="769" customFormat="1" ht="40.5">
      <c r="A10" s="763"/>
      <c r="B10" s="764" t="s">
        <v>401</v>
      </c>
      <c r="C10" s="774" t="s">
        <v>3283</v>
      </c>
      <c r="D10" s="426">
        <v>100</v>
      </c>
      <c r="E10" s="1021" t="s">
        <v>3284</v>
      </c>
      <c r="F10" s="426">
        <f>ROUND(100/'数据-取费表'!G16,0)</f>
        <v>101</v>
      </c>
      <c r="G10" s="1021" t="s">
        <v>3284</v>
      </c>
      <c r="H10" s="426">
        <f>ROUND(100/'数据-取费表'!G16,0)</f>
        <v>101</v>
      </c>
      <c r="I10" s="1021" t="s">
        <v>3284</v>
      </c>
      <c r="J10" s="426">
        <f>ROUND(100/'数据-取费表'!G16,0)</f>
        <v>101</v>
      </c>
      <c r="K10" s="1078"/>
      <c r="L10" s="2349"/>
      <c r="M10" s="2350"/>
      <c r="N10" s="2350"/>
      <c r="O10" s="2351"/>
      <c r="P10" s="3673"/>
      <c r="Q10" s="296" t="str">
        <f t="shared" si="6"/>
        <v>土地使用年限（年）</v>
      </c>
      <c r="R10" s="1316" t="s">
        <v>65</v>
      </c>
      <c r="S10" s="1317">
        <f t="shared" si="0"/>
        <v>101</v>
      </c>
      <c r="T10" s="1316" t="s">
        <v>65</v>
      </c>
      <c r="U10" s="1317">
        <f t="shared" si="1"/>
        <v>101</v>
      </c>
      <c r="V10" s="1316" t="s">
        <v>65</v>
      </c>
      <c r="W10" s="1317">
        <f t="shared" si="2"/>
        <v>101</v>
      </c>
      <c r="X10" s="1318"/>
      <c r="Y10" s="3634"/>
      <c r="Z10" s="344" t="str">
        <f t="shared" si="7"/>
        <v>土地使用年限（年）</v>
      </c>
      <c r="AA10" s="1319">
        <f t="shared" si="3"/>
        <v>0.99009900990099009</v>
      </c>
      <c r="AB10" s="1319">
        <f t="shared" si="4"/>
        <v>0.99009900990099009</v>
      </c>
      <c r="AC10" s="1319">
        <f t="shared" si="5"/>
        <v>0.99009900990099009</v>
      </c>
    </row>
    <row r="11" spans="1:30" ht="15">
      <c r="A11" s="770"/>
      <c r="B11" s="764" t="s">
        <v>402</v>
      </c>
      <c r="C11" s="771">
        <f>'数据-汇总表'!I7</f>
        <v>1.61</v>
      </c>
      <c r="D11" s="426">
        <v>100</v>
      </c>
      <c r="E11" s="1025">
        <f>土地!F2</f>
        <v>2.5499999999999998</v>
      </c>
      <c r="F11" s="426">
        <f>LOOKUP(E11,80:80,81:81)-LOOKUP(C11,80:80,81:81)+100</f>
        <v>98</v>
      </c>
      <c r="G11" s="772">
        <f>土地!F3</f>
        <v>3.82</v>
      </c>
      <c r="H11" s="426">
        <f>LOOKUP(G11,80:80,81:81)-LOOKUP(C11,80:80,81:81)+100</f>
        <v>96</v>
      </c>
      <c r="I11" s="771">
        <v>2.5</v>
      </c>
      <c r="J11" s="426">
        <f>LOOKUP(I11,80:80,81:81)-LOOKUP(C11,80:80,81:81)+100</f>
        <v>98</v>
      </c>
      <c r="K11" s="1079">
        <v>2</v>
      </c>
      <c r="L11" s="2352"/>
      <c r="M11" s="2345"/>
      <c r="N11" s="2345"/>
      <c r="O11" s="2353"/>
      <c r="P11" s="3673"/>
      <c r="Q11" s="296" t="str">
        <f t="shared" si="6"/>
        <v>容积率</v>
      </c>
      <c r="R11" s="1316" t="s">
        <v>65</v>
      </c>
      <c r="S11" s="1317">
        <f t="shared" si="0"/>
        <v>98</v>
      </c>
      <c r="T11" s="1316" t="s">
        <v>65</v>
      </c>
      <c r="U11" s="1317">
        <f t="shared" si="1"/>
        <v>96</v>
      </c>
      <c r="V11" s="1316" t="s">
        <v>65</v>
      </c>
      <c r="W11" s="1317">
        <f t="shared" si="2"/>
        <v>98</v>
      </c>
      <c r="X11" s="1318"/>
      <c r="Y11" s="3634"/>
      <c r="Z11" s="344" t="str">
        <f t="shared" si="7"/>
        <v>容积率</v>
      </c>
      <c r="AA11" s="1319">
        <f t="shared" si="3"/>
        <v>1.0204081632653061</v>
      </c>
      <c r="AB11" s="1319">
        <f t="shared" si="4"/>
        <v>1.0416666666666667</v>
      </c>
      <c r="AC11" s="1319">
        <f t="shared" si="5"/>
        <v>1.0204081632653061</v>
      </c>
    </row>
    <row r="12" spans="1:30" s="407" customFormat="1" ht="15">
      <c r="A12" s="773"/>
      <c r="B12" s="1028"/>
      <c r="C12" s="1021"/>
      <c r="D12" s="775">
        <v>100</v>
      </c>
      <c r="E12" s="1023"/>
      <c r="F12" s="426">
        <f>SUMIF(82:82,E12,83:83)-SUMIF(82:82,C12,83:83)+100</f>
        <v>100</v>
      </c>
      <c r="G12" s="1024"/>
      <c r="H12" s="426">
        <f>SUMIF(82:82,G12,83:83)-SUMIF(82:82,C12,83:83)+100</f>
        <v>100</v>
      </c>
      <c r="I12" s="1023"/>
      <c r="J12" s="426">
        <f>SUMIF(82:82,I12,83:83)-SUMIF(82:82,C12,83:83)+100</f>
        <v>100</v>
      </c>
      <c r="K12" s="1078"/>
      <c r="L12" s="2346"/>
      <c r="M12" s="2347"/>
      <c r="N12" s="2347"/>
      <c r="O12" s="2348"/>
      <c r="P12" s="3673"/>
      <c r="Q12" s="296">
        <f t="shared" si="6"/>
        <v>0</v>
      </c>
      <c r="R12" s="1316" t="s">
        <v>65</v>
      </c>
      <c r="S12" s="1317">
        <f t="shared" si="0"/>
        <v>100</v>
      </c>
      <c r="T12" s="1316" t="s">
        <v>65</v>
      </c>
      <c r="U12" s="1317">
        <f t="shared" si="1"/>
        <v>100</v>
      </c>
      <c r="V12" s="1316" t="s">
        <v>65</v>
      </c>
      <c r="W12" s="1317">
        <f t="shared" si="2"/>
        <v>100</v>
      </c>
      <c r="X12" s="1318"/>
      <c r="Y12" s="3634"/>
      <c r="Z12" s="344">
        <f t="shared" si="7"/>
        <v>0</v>
      </c>
      <c r="AA12" s="1319">
        <f>D12/F12</f>
        <v>1</v>
      </c>
      <c r="AB12" s="1319">
        <f>D12/H12</f>
        <v>1</v>
      </c>
      <c r="AC12" s="1319">
        <f>D12/J12</f>
        <v>1</v>
      </c>
    </row>
    <row r="13" spans="1:30" ht="15">
      <c r="A13" s="770"/>
      <c r="B13" s="1028"/>
      <c r="C13" s="93"/>
      <c r="D13" s="777">
        <v>100</v>
      </c>
      <c r="E13" s="126"/>
      <c r="F13" s="426">
        <f>SUMIF(84:84,E13,85:85)-SUMIF(84:84,C13,85:85)+100</f>
        <v>100</v>
      </c>
      <c r="G13" s="203"/>
      <c r="H13" s="777">
        <f>SUMIF(84:84,G13,85:85)-SUMIF(84:84,C13,85:85)+100</f>
        <v>100</v>
      </c>
      <c r="I13" s="203"/>
      <c r="J13" s="777">
        <f>SUMIF(84:84,I13,85:85)-SUMIF(84:84,C13,85:85)+100</f>
        <v>100</v>
      </c>
      <c r="K13" s="1078"/>
      <c r="L13" s="2354"/>
      <c r="M13" s="2345"/>
      <c r="N13" s="2345"/>
      <c r="O13" s="2353"/>
      <c r="P13" s="3673"/>
      <c r="Q13" s="296">
        <f t="shared" si="6"/>
        <v>0</v>
      </c>
      <c r="R13" s="1316" t="s">
        <v>65</v>
      </c>
      <c r="S13" s="1317">
        <f t="shared" si="0"/>
        <v>100</v>
      </c>
      <c r="T13" s="1316" t="s">
        <v>65</v>
      </c>
      <c r="U13" s="1317">
        <f t="shared" si="1"/>
        <v>100</v>
      </c>
      <c r="V13" s="1316" t="s">
        <v>65</v>
      </c>
      <c r="W13" s="1317">
        <f t="shared" si="2"/>
        <v>100</v>
      </c>
      <c r="X13" s="1318"/>
      <c r="Y13" s="3634"/>
      <c r="Z13" s="344">
        <f t="shared" si="7"/>
        <v>0</v>
      </c>
      <c r="AA13" s="1319">
        <f>D13/F13</f>
        <v>1</v>
      </c>
      <c r="AB13" s="1319">
        <f>D13/H13</f>
        <v>1</v>
      </c>
      <c r="AC13" s="1319">
        <f>D13/J13</f>
        <v>1</v>
      </c>
    </row>
    <row r="14" spans="1:30" ht="15.75" thickBot="1">
      <c r="A14" s="778"/>
      <c r="B14" s="1029"/>
      <c r="C14" s="94"/>
      <c r="D14" s="780">
        <v>100</v>
      </c>
      <c r="E14" s="126"/>
      <c r="F14" s="780">
        <f>SUMIF(86:86,E14,87:87)-SUMIF(86:86,C14,87:87)+100</f>
        <v>100</v>
      </c>
      <c r="G14" s="203"/>
      <c r="H14" s="780">
        <f>SUMIF(86:86,G14,87:87)-SUMIF(86:86,C14,87:87)+100</f>
        <v>100</v>
      </c>
      <c r="I14" s="203"/>
      <c r="J14" s="780">
        <f>SUMIF(86:86,I14,87:87)-SUMIF(86:86,C14,87:87)+100</f>
        <v>100</v>
      </c>
      <c r="K14" s="1078"/>
      <c r="L14" s="2354"/>
      <c r="M14" s="2345"/>
      <c r="N14" s="2345"/>
      <c r="O14" s="2353"/>
      <c r="P14" s="3673"/>
      <c r="Q14" s="296">
        <f t="shared" si="6"/>
        <v>0</v>
      </c>
      <c r="R14" s="1316" t="s">
        <v>65</v>
      </c>
      <c r="S14" s="1317">
        <f t="shared" si="0"/>
        <v>100</v>
      </c>
      <c r="T14" s="1316" t="s">
        <v>65</v>
      </c>
      <c r="U14" s="1317">
        <f t="shared" si="1"/>
        <v>100</v>
      </c>
      <c r="V14" s="1316" t="s">
        <v>65</v>
      </c>
      <c r="W14" s="1317">
        <f t="shared" si="2"/>
        <v>100</v>
      </c>
      <c r="X14" s="1318"/>
      <c r="Y14" s="3634"/>
      <c r="Z14" s="344">
        <f t="shared" si="7"/>
        <v>0</v>
      </c>
      <c r="AA14" s="1319">
        <f>D14/F14</f>
        <v>1</v>
      </c>
      <c r="AB14" s="1319">
        <f>D14/H14</f>
        <v>1</v>
      </c>
      <c r="AC14" s="1319">
        <f>D14/J14</f>
        <v>1</v>
      </c>
    </row>
    <row r="15" spans="1:30" ht="94.5">
      <c r="A15" s="782" t="s">
        <v>403</v>
      </c>
      <c r="B15" s="359" t="s">
        <v>283</v>
      </c>
      <c r="C15" s="157" t="str">
        <f>估价对象房地状况!C15</f>
        <v>估价对象周边居住用地比例较低，周边3公里内有潭墅苑、鲁新家园的住宅项目，综合评价居住社区成熟度较差。</v>
      </c>
      <c r="D15" s="783">
        <v>100</v>
      </c>
      <c r="E15" s="784" t="s">
        <v>3292</v>
      </c>
      <c r="F15" s="783">
        <f>SUMIF(88:88,E16,89:89)-SUMIF(88:88,C16,89:89)+100</f>
        <v>103</v>
      </c>
      <c r="G15" s="784" t="s">
        <v>3292</v>
      </c>
      <c r="H15" s="783">
        <f>SUMIF(88:88,G16,89:89)-SUMIF(88:88,C16,89:89)+100</f>
        <v>103</v>
      </c>
      <c r="I15" s="784" t="s">
        <v>3315</v>
      </c>
      <c r="J15" s="783">
        <f>SUMIF(88:88,I16,89:89)-SUMIF(88:88,C16,89:89)+100</f>
        <v>106</v>
      </c>
      <c r="K15" s="1079">
        <v>3</v>
      </c>
      <c r="L15" s="2354"/>
      <c r="M15" s="2345"/>
      <c r="N15" s="2345"/>
      <c r="O15" s="2353"/>
      <c r="P15" s="3688" t="s">
        <v>404</v>
      </c>
      <c r="Q15" s="1320" t="str">
        <f t="shared" si="6"/>
        <v>居住社区成熟度</v>
      </c>
      <c r="R15" s="1321" t="s">
        <v>65</v>
      </c>
      <c r="S15" s="1322">
        <f t="shared" si="0"/>
        <v>103</v>
      </c>
      <c r="T15" s="1321" t="s">
        <v>65</v>
      </c>
      <c r="U15" s="1322">
        <f t="shared" si="1"/>
        <v>103</v>
      </c>
      <c r="V15" s="1321" t="s">
        <v>65</v>
      </c>
      <c r="W15" s="1322">
        <f t="shared" si="2"/>
        <v>106</v>
      </c>
      <c r="X15" s="1315"/>
      <c r="Y15" s="3688" t="s">
        <v>404</v>
      </c>
      <c r="Z15" s="1323" t="str">
        <f t="shared" si="7"/>
        <v>居住社区成熟度</v>
      </c>
      <c r="AA15" s="1324">
        <f t="shared" si="3"/>
        <v>0.970873786407767</v>
      </c>
      <c r="AB15" s="1324">
        <f t="shared" si="4"/>
        <v>0.970873786407767</v>
      </c>
      <c r="AC15" s="1324">
        <f t="shared" si="5"/>
        <v>0.94339622641509435</v>
      </c>
    </row>
    <row r="16" spans="1:30" ht="15">
      <c r="A16" s="770"/>
      <c r="B16" s="788"/>
      <c r="C16" s="97" t="s">
        <v>3302</v>
      </c>
      <c r="D16" s="790"/>
      <c r="E16" s="98" t="s">
        <v>3285</v>
      </c>
      <c r="F16" s="790"/>
      <c r="G16" s="98" t="s">
        <v>3285</v>
      </c>
      <c r="H16" s="792"/>
      <c r="I16" s="98" t="s">
        <v>3286</v>
      </c>
      <c r="J16" s="790"/>
      <c r="K16" s="1078"/>
      <c r="L16" s="2354"/>
      <c r="M16" s="2345"/>
      <c r="N16" s="2345"/>
      <c r="O16" s="2353"/>
      <c r="P16" s="3689"/>
      <c r="Q16" s="1320"/>
      <c r="R16" s="1321"/>
      <c r="S16" s="1322"/>
      <c r="T16" s="1321"/>
      <c r="U16" s="1322"/>
      <c r="V16" s="1321"/>
      <c r="W16" s="1322"/>
      <c r="X16" s="1315"/>
      <c r="Y16" s="3689"/>
      <c r="Z16" s="1323"/>
      <c r="AA16" s="1324">
        <v>1</v>
      </c>
      <c r="AB16" s="1324">
        <v>1</v>
      </c>
      <c r="AC16" s="1324">
        <v>1</v>
      </c>
    </row>
    <row r="17" spans="1:29" ht="54">
      <c r="A17" s="770"/>
      <c r="B17" s="793" t="s">
        <v>433</v>
      </c>
      <c r="C17" s="190" t="str">
        <f>估价对象房地状况!C16</f>
        <v>周边3公里内商业项目以住宅底商为主，人流量一般，商服繁华度较差。</v>
      </c>
      <c r="D17" s="792">
        <v>100</v>
      </c>
      <c r="E17" s="794"/>
      <c r="F17" s="792">
        <f>SUMIF(90:90,E18,91:91)-SUMIF(90:90,C18,91:91)+100</f>
        <v>100</v>
      </c>
      <c r="G17" s="794"/>
      <c r="H17" s="797">
        <f>SUMIF(90:90,G18,91:91)-SUMIF(90:90,C18,91:91)+100</f>
        <v>100</v>
      </c>
      <c r="I17" s="794"/>
      <c r="J17" s="797">
        <f>SUMIF(90:90,I18,91:91)-SUMIF(90:90,C18,91:91)+100</f>
        <v>100</v>
      </c>
      <c r="K17" s="1079"/>
      <c r="L17" s="2354"/>
      <c r="M17" s="2345"/>
      <c r="N17" s="2345"/>
      <c r="O17" s="2353"/>
      <c r="P17" s="3689"/>
      <c r="Q17" s="1320" t="str">
        <f>B17</f>
        <v>商业繁华度</v>
      </c>
      <c r="R17" s="1321" t="s">
        <v>65</v>
      </c>
      <c r="S17" s="1322">
        <f>F17</f>
        <v>100</v>
      </c>
      <c r="T17" s="1321" t="s">
        <v>65</v>
      </c>
      <c r="U17" s="1322">
        <f>H17</f>
        <v>100</v>
      </c>
      <c r="V17" s="1321" t="s">
        <v>65</v>
      </c>
      <c r="W17" s="1322">
        <f>J17</f>
        <v>100</v>
      </c>
      <c r="X17" s="1315"/>
      <c r="Y17" s="3689"/>
      <c r="Z17" s="1323" t="str">
        <f>Q17</f>
        <v>商业繁华度</v>
      </c>
      <c r="AA17" s="1324">
        <f t="shared" si="3"/>
        <v>1</v>
      </c>
      <c r="AB17" s="1324">
        <f t="shared" si="4"/>
        <v>1</v>
      </c>
      <c r="AC17" s="1324">
        <f t="shared" si="5"/>
        <v>1</v>
      </c>
    </row>
    <row r="18" spans="1:29" ht="15">
      <c r="A18" s="770"/>
      <c r="B18" s="798"/>
      <c r="C18" s="102"/>
      <c r="D18" s="792"/>
      <c r="E18" s="103"/>
      <c r="F18" s="792"/>
      <c r="G18" s="103"/>
      <c r="H18" s="790"/>
      <c r="I18" s="103"/>
      <c r="J18" s="790"/>
      <c r="K18" s="1078"/>
      <c r="L18" s="2354"/>
      <c r="M18" s="2345"/>
      <c r="N18" s="2345"/>
      <c r="O18" s="2353"/>
      <c r="P18" s="3689"/>
      <c r="Q18" s="1320"/>
      <c r="R18" s="1321"/>
      <c r="S18" s="1322"/>
      <c r="T18" s="1321"/>
      <c r="U18" s="1322"/>
      <c r="V18" s="1321"/>
      <c r="W18" s="1322"/>
      <c r="X18" s="1315"/>
      <c r="Y18" s="3689"/>
      <c r="Z18" s="1323"/>
      <c r="AA18" s="1324">
        <v>1</v>
      </c>
      <c r="AB18" s="1324">
        <v>1</v>
      </c>
      <c r="AC18" s="1324">
        <v>1</v>
      </c>
    </row>
    <row r="19" spans="1:29" ht="54">
      <c r="A19" s="770"/>
      <c r="B19" s="793" t="s">
        <v>438</v>
      </c>
      <c r="C19" s="190" t="str">
        <f>估价对象房地状况!C17</f>
        <v>估价对象，周边办公楼项目较少，入驻率一般，办公集聚程度较差</v>
      </c>
      <c r="D19" s="797">
        <v>100</v>
      </c>
      <c r="E19" s="799"/>
      <c r="F19" s="797">
        <f>SUMIF(92:92,E20,93:93)-SUMIF(92:92,C20,93:93)+100</f>
        <v>100</v>
      </c>
      <c r="G19" s="799"/>
      <c r="H19" s="792">
        <f>SUMIF(92:92,G20,93:93)-SUMIF(92:92,C20,93:93)+100</f>
        <v>100</v>
      </c>
      <c r="I19" s="799"/>
      <c r="J19" s="792">
        <f>SUMIF(92:92,I20,93:93)-SUMIF(92:92,C20,93:93)+100</f>
        <v>100</v>
      </c>
      <c r="K19" s="1079"/>
      <c r="L19" s="2354"/>
      <c r="M19" s="2345"/>
      <c r="N19" s="2345"/>
      <c r="O19" s="2353"/>
      <c r="P19" s="3689"/>
      <c r="Q19" s="1320" t="str">
        <f>B19</f>
        <v>办公集聚程度</v>
      </c>
      <c r="R19" s="1321" t="s">
        <v>65</v>
      </c>
      <c r="S19" s="1322">
        <f>F19</f>
        <v>100</v>
      </c>
      <c r="T19" s="1321" t="s">
        <v>65</v>
      </c>
      <c r="U19" s="1322">
        <f>H19</f>
        <v>100</v>
      </c>
      <c r="V19" s="1321" t="s">
        <v>65</v>
      </c>
      <c r="W19" s="1322">
        <f>J19</f>
        <v>100</v>
      </c>
      <c r="X19" s="1315"/>
      <c r="Y19" s="3689"/>
      <c r="Z19" s="1323" t="str">
        <f>Q19</f>
        <v>办公集聚程度</v>
      </c>
      <c r="AA19" s="1324">
        <f t="shared" si="3"/>
        <v>1</v>
      </c>
      <c r="AB19" s="1324">
        <f t="shared" si="4"/>
        <v>1</v>
      </c>
      <c r="AC19" s="1324">
        <f t="shared" si="5"/>
        <v>1</v>
      </c>
    </row>
    <row r="20" spans="1:29" ht="15">
      <c r="A20" s="770"/>
      <c r="B20" s="798"/>
      <c r="C20" s="97"/>
      <c r="D20" s="790"/>
      <c r="E20" s="98"/>
      <c r="F20" s="790"/>
      <c r="G20" s="98"/>
      <c r="H20" s="790"/>
      <c r="I20" s="98"/>
      <c r="J20" s="790"/>
      <c r="K20" s="1078"/>
      <c r="L20" s="2354"/>
      <c r="M20" s="2345"/>
      <c r="N20" s="2345"/>
      <c r="O20" s="2353"/>
      <c r="P20" s="3689"/>
      <c r="Q20" s="1320"/>
      <c r="R20" s="1321"/>
      <c r="S20" s="1322"/>
      <c r="T20" s="1321"/>
      <c r="U20" s="1322"/>
      <c r="V20" s="1321"/>
      <c r="W20" s="1322"/>
      <c r="X20" s="1315"/>
      <c r="Y20" s="3689"/>
      <c r="Z20" s="1323"/>
      <c r="AA20" s="1324">
        <v>1</v>
      </c>
      <c r="AB20" s="1324">
        <v>1</v>
      </c>
      <c r="AC20" s="1324">
        <v>1</v>
      </c>
    </row>
    <row r="21" spans="1:29" ht="94.5">
      <c r="A21" s="770"/>
      <c r="B21" s="793" t="s">
        <v>453</v>
      </c>
      <c r="C21" s="158" t="str">
        <f>估价对象房地状况!C18</f>
        <v>估价对象周边道路密集度一般、周边有931、948路等公交线路经过，停车便捷程度较好，综合评价交通便捷度较差。</v>
      </c>
      <c r="D21" s="792">
        <v>100</v>
      </c>
      <c r="E21" s="794" t="s">
        <v>3293</v>
      </c>
      <c r="F21" s="797">
        <f>SUMIF(94:94,E22,95:95)-SUMIF(94:94,C22,95:95)+100</f>
        <v>102</v>
      </c>
      <c r="G21" s="794" t="s">
        <v>3293</v>
      </c>
      <c r="H21" s="792">
        <f>SUMIF(94:94,G22,95:95)-SUMIF(94:94,C22,95:95)+100</f>
        <v>102</v>
      </c>
      <c r="I21" s="794" t="s">
        <v>3365</v>
      </c>
      <c r="J21" s="792">
        <f>SUMIF(94:94,I22,95:95)-SUMIF(94:94,C22,95:95)+100</f>
        <v>102</v>
      </c>
      <c r="K21" s="1079">
        <v>2</v>
      </c>
      <c r="L21" s="2354"/>
      <c r="M21" s="2345"/>
      <c r="N21" s="2345"/>
      <c r="O21" s="2353"/>
      <c r="P21" s="3689"/>
      <c r="Q21" s="1320" t="str">
        <f>B21</f>
        <v>交通便捷度</v>
      </c>
      <c r="R21" s="1321" t="s">
        <v>65</v>
      </c>
      <c r="S21" s="1322">
        <f>F21</f>
        <v>102</v>
      </c>
      <c r="T21" s="1321" t="s">
        <v>65</v>
      </c>
      <c r="U21" s="1322">
        <f>H21</f>
        <v>102</v>
      </c>
      <c r="V21" s="1321" t="s">
        <v>65</v>
      </c>
      <c r="W21" s="1322">
        <f>J21</f>
        <v>102</v>
      </c>
      <c r="X21" s="1315"/>
      <c r="Y21" s="3689"/>
      <c r="Z21" s="1323" t="str">
        <f>Q21</f>
        <v>交通便捷度</v>
      </c>
      <c r="AA21" s="1324">
        <f t="shared" si="3"/>
        <v>0.98039215686274506</v>
      </c>
      <c r="AB21" s="1324">
        <f t="shared" si="4"/>
        <v>0.98039215686274506</v>
      </c>
      <c r="AC21" s="1324">
        <f t="shared" si="5"/>
        <v>0.98039215686274506</v>
      </c>
    </row>
    <row r="22" spans="1:29" ht="15">
      <c r="A22" s="770"/>
      <c r="B22" s="2765"/>
      <c r="C22" s="97" t="s">
        <v>3302</v>
      </c>
      <c r="D22" s="792"/>
      <c r="E22" s="98" t="s">
        <v>3285</v>
      </c>
      <c r="F22" s="790"/>
      <c r="G22" s="98" t="s">
        <v>3285</v>
      </c>
      <c r="H22" s="790"/>
      <c r="I22" s="98" t="s">
        <v>3285</v>
      </c>
      <c r="J22" s="790"/>
      <c r="K22" s="1078"/>
      <c r="L22" s="2354"/>
      <c r="M22" s="2345"/>
      <c r="N22" s="2345"/>
      <c r="O22" s="2353"/>
      <c r="P22" s="3689"/>
      <c r="Q22" s="1320"/>
      <c r="R22" s="1321"/>
      <c r="S22" s="1322"/>
      <c r="T22" s="1321"/>
      <c r="U22" s="1322"/>
      <c r="V22" s="1321"/>
      <c r="W22" s="1322"/>
      <c r="X22" s="1315"/>
      <c r="Y22" s="3689"/>
      <c r="Z22" s="1323"/>
      <c r="AA22" s="1324">
        <v>1</v>
      </c>
      <c r="AB22" s="1324">
        <v>1</v>
      </c>
      <c r="AC22" s="1324">
        <v>1</v>
      </c>
    </row>
    <row r="23" spans="1:29" ht="42.75">
      <c r="A23" s="746"/>
      <c r="B23" s="793" t="s">
        <v>480</v>
      </c>
      <c r="C23" s="2770" t="str">
        <f>估价对象房地状况!C19</f>
        <v>零星有其他用地，基本不影响本宗地</v>
      </c>
      <c r="D23" s="797">
        <v>100</v>
      </c>
      <c r="E23" s="794" t="s">
        <v>3255</v>
      </c>
      <c r="F23" s="797">
        <f>SUMIF(96:96,E24,97:97)-SUMIF(96:96,C24,97:97)+100</f>
        <v>100</v>
      </c>
      <c r="G23" s="796" t="s">
        <v>3255</v>
      </c>
      <c r="H23" s="797">
        <f>SUMIF(96:96,G24,97:97)-SUMIF(96:96,C24,97:97)+100</f>
        <v>100</v>
      </c>
      <c r="I23" s="796" t="s">
        <v>3255</v>
      </c>
      <c r="J23" s="797">
        <f>SUMIF(96:96,I24,97:97)-SUMIF(96:96,C24,97:97)+100</f>
        <v>100</v>
      </c>
      <c r="K23" s="1079">
        <v>2</v>
      </c>
      <c r="L23" s="2354"/>
      <c r="M23" s="2345"/>
      <c r="N23" s="2345"/>
      <c r="O23" s="2353"/>
      <c r="P23" s="3689"/>
      <c r="Q23" s="1320" t="str">
        <f t="shared" ref="Q23:Q37" si="8">B23</f>
        <v>区域土地利用方向</v>
      </c>
      <c r="R23" s="1321" t="s">
        <v>65</v>
      </c>
      <c r="S23" s="1322">
        <f>F23</f>
        <v>100</v>
      </c>
      <c r="T23" s="1321" t="s">
        <v>65</v>
      </c>
      <c r="U23" s="1322">
        <f>H23</f>
        <v>100</v>
      </c>
      <c r="V23" s="1321" t="s">
        <v>65</v>
      </c>
      <c r="W23" s="1322">
        <f>J23</f>
        <v>100</v>
      </c>
      <c r="X23" s="1315"/>
      <c r="Y23" s="3689"/>
      <c r="Z23" s="1323" t="str">
        <f>Q23</f>
        <v>区域土地利用方向</v>
      </c>
      <c r="AA23" s="1324">
        <f t="shared" si="3"/>
        <v>1</v>
      </c>
      <c r="AB23" s="1324">
        <f t="shared" si="4"/>
        <v>1</v>
      </c>
      <c r="AC23" s="1324">
        <f t="shared" si="5"/>
        <v>1</v>
      </c>
    </row>
    <row r="24" spans="1:29" ht="15">
      <c r="A24" s="746"/>
      <c r="B24" s="798"/>
      <c r="C24" s="182" t="s">
        <v>3286</v>
      </c>
      <c r="D24" s="790"/>
      <c r="E24" s="98" t="s">
        <v>3286</v>
      </c>
      <c r="F24" s="790"/>
      <c r="G24" s="99" t="s">
        <v>3286</v>
      </c>
      <c r="H24" s="790"/>
      <c r="I24" s="99" t="s">
        <v>3286</v>
      </c>
      <c r="J24" s="790"/>
      <c r="K24" s="1482"/>
      <c r="L24" s="2354"/>
      <c r="M24" s="2345"/>
      <c r="N24" s="2345"/>
      <c r="O24" s="2353"/>
      <c r="P24" s="3689"/>
      <c r="Q24" s="1466"/>
      <c r="R24" s="1321"/>
      <c r="S24" s="1322"/>
      <c r="T24" s="1321"/>
      <c r="U24" s="1322"/>
      <c r="V24" s="1321"/>
      <c r="W24" s="1322"/>
      <c r="X24" s="1465"/>
      <c r="Y24" s="3689"/>
      <c r="Z24" s="1467"/>
      <c r="AA24" s="1324"/>
      <c r="AB24" s="1324"/>
      <c r="AC24" s="1324"/>
    </row>
    <row r="25" spans="1:29" ht="81">
      <c r="A25" s="746"/>
      <c r="B25" s="2765" t="s">
        <v>481</v>
      </c>
      <c r="C25" s="190" t="str">
        <f>估价对象房地状况!C20</f>
        <v>临近潭柘寺景区、戒台寺景区，绿化率高，综合评价环境状况较好</v>
      </c>
      <c r="D25" s="792">
        <v>100</v>
      </c>
      <c r="E25" s="794" t="s">
        <v>3294</v>
      </c>
      <c r="F25" s="792">
        <f>SUMIF(98:98,E26,99:99)-SUMIF(98:98,C26,99:99)+100</f>
        <v>95</v>
      </c>
      <c r="G25" s="794" t="s">
        <v>3294</v>
      </c>
      <c r="H25" s="792">
        <f>SUMIF(98:98,G26,99:99)-SUMIF(98:98,C26,99:99)+100</f>
        <v>95</v>
      </c>
      <c r="I25" s="3420" t="s">
        <v>3316</v>
      </c>
      <c r="J25" s="792">
        <f>SUMIF(98:98,I26,99:99)-SUMIF(98:98,C26,99:99)+100</f>
        <v>95</v>
      </c>
      <c r="K25" s="1079">
        <v>5</v>
      </c>
      <c r="L25" s="2354"/>
      <c r="M25" s="2345"/>
      <c r="N25" s="2345"/>
      <c r="O25" s="2353"/>
      <c r="P25" s="3689"/>
      <c r="Q25" s="1320" t="str">
        <f t="shared" si="8"/>
        <v>自然及人文环境状况</v>
      </c>
      <c r="R25" s="1321" t="s">
        <v>65</v>
      </c>
      <c r="S25" s="1322">
        <f>F25</f>
        <v>95</v>
      </c>
      <c r="T25" s="1321" t="s">
        <v>65</v>
      </c>
      <c r="U25" s="1322">
        <f>H25</f>
        <v>95</v>
      </c>
      <c r="V25" s="1321" t="s">
        <v>65</v>
      </c>
      <c r="W25" s="1322">
        <f>J25</f>
        <v>95</v>
      </c>
      <c r="X25" s="1315"/>
      <c r="Y25" s="3689"/>
      <c r="Z25" s="1323" t="str">
        <f>Q25</f>
        <v>自然及人文环境状况</v>
      </c>
      <c r="AA25" s="1324">
        <f t="shared" si="3"/>
        <v>1.0526315789473684</v>
      </c>
      <c r="AB25" s="1324">
        <f t="shared" si="4"/>
        <v>1.0526315789473684</v>
      </c>
      <c r="AC25" s="1324">
        <f t="shared" si="5"/>
        <v>1.0526315789473684</v>
      </c>
    </row>
    <row r="26" spans="1:29" ht="15">
      <c r="A26" s="746"/>
      <c r="B26" s="798"/>
      <c r="C26" s="97" t="s">
        <v>3286</v>
      </c>
      <c r="D26" s="790"/>
      <c r="E26" s="192" t="s">
        <v>3285</v>
      </c>
      <c r="F26" s="790"/>
      <c r="G26" s="192" t="s">
        <v>3285</v>
      </c>
      <c r="H26" s="790"/>
      <c r="I26" s="192" t="s">
        <v>3285</v>
      </c>
      <c r="J26" s="790"/>
      <c r="K26" s="1078"/>
      <c r="L26" s="2354"/>
      <c r="M26" s="2345"/>
      <c r="N26" s="2345"/>
      <c r="O26" s="2353"/>
      <c r="P26" s="3689"/>
      <c r="Q26" s="1320"/>
      <c r="R26" s="1321"/>
      <c r="S26" s="1322"/>
      <c r="T26" s="1321"/>
      <c r="U26" s="1322"/>
      <c r="V26" s="1321"/>
      <c r="W26" s="1322"/>
      <c r="X26" s="1315"/>
      <c r="Y26" s="3689"/>
      <c r="Z26" s="1323"/>
      <c r="AA26" s="1324">
        <v>1</v>
      </c>
      <c r="AB26" s="1324">
        <v>1</v>
      </c>
      <c r="AC26" s="1324">
        <v>1</v>
      </c>
    </row>
    <row r="27" spans="1:29" s="407" customFormat="1" ht="94.5">
      <c r="A27" s="989"/>
      <c r="B27" s="1408" t="s">
        <v>2664</v>
      </c>
      <c r="C27" s="158" t="str">
        <f>估价对象房地状况!C21</f>
        <v>估价对象周边有银行、购物场所、餐饮等配套设施，基础设施水平较高；综合评价公用设施及基础设施水平较差。</v>
      </c>
      <c r="D27" s="792">
        <v>100</v>
      </c>
      <c r="E27" s="794" t="s">
        <v>3295</v>
      </c>
      <c r="F27" s="792">
        <f>SUMIF(100:100,E28,101:101)-SUMIF(100:100,C28,101:101)+100</f>
        <v>102</v>
      </c>
      <c r="G27" s="794" t="s">
        <v>3295</v>
      </c>
      <c r="H27" s="792">
        <f>SUMIF(100:100,G28,101:101)-SUMIF(100:100,C28,101:101)+100</f>
        <v>102</v>
      </c>
      <c r="I27" s="794" t="s">
        <v>3295</v>
      </c>
      <c r="J27" s="792">
        <f>SUMIF(100:100,I28,101:101)-SUMIF(100:100,C28,101:101)+100</f>
        <v>102</v>
      </c>
      <c r="K27" s="1079">
        <v>2</v>
      </c>
      <c r="L27" s="2346"/>
      <c r="M27" s="2347"/>
      <c r="N27" s="2347"/>
      <c r="O27" s="2348"/>
      <c r="P27" s="3689"/>
      <c r="Q27" s="296" t="str">
        <f t="shared" si="8"/>
        <v>公共配套设施</v>
      </c>
      <c r="R27" s="1316" t="s">
        <v>65</v>
      </c>
      <c r="S27" s="1317">
        <f>F27</f>
        <v>102</v>
      </c>
      <c r="T27" s="1316" t="s">
        <v>65</v>
      </c>
      <c r="U27" s="1317">
        <f>H27</f>
        <v>102</v>
      </c>
      <c r="V27" s="1316" t="s">
        <v>65</v>
      </c>
      <c r="W27" s="1317">
        <f>J27</f>
        <v>102</v>
      </c>
      <c r="X27" s="1318"/>
      <c r="Y27" s="3689"/>
      <c r="Z27" s="344" t="str">
        <f>Q27</f>
        <v>公共配套设施</v>
      </c>
      <c r="AA27" s="1324">
        <f>D27/F27</f>
        <v>0.98039215686274506</v>
      </c>
      <c r="AB27" s="1324">
        <f>D27/H27</f>
        <v>0.98039215686274506</v>
      </c>
      <c r="AC27" s="1324">
        <f>D27/J27</f>
        <v>0.98039215686274506</v>
      </c>
    </row>
    <row r="28" spans="1:29" s="407" customFormat="1" ht="15">
      <c r="A28" s="989"/>
      <c r="B28" s="798"/>
      <c r="C28" s="2771" t="s">
        <v>3302</v>
      </c>
      <c r="D28" s="790"/>
      <c r="E28" s="192" t="s">
        <v>3285</v>
      </c>
      <c r="F28" s="790"/>
      <c r="G28" s="192" t="s">
        <v>3285</v>
      </c>
      <c r="H28" s="790"/>
      <c r="I28" s="97" t="s">
        <v>3285</v>
      </c>
      <c r="J28" s="790"/>
      <c r="K28" s="1078"/>
      <c r="L28" s="2346"/>
      <c r="M28" s="2347"/>
      <c r="N28" s="2347"/>
      <c r="O28" s="2348"/>
      <c r="P28" s="3689"/>
      <c r="Q28" s="296"/>
      <c r="R28" s="1316"/>
      <c r="S28" s="1317"/>
      <c r="T28" s="1316"/>
      <c r="U28" s="1317"/>
      <c r="V28" s="1316"/>
      <c r="W28" s="1317"/>
      <c r="X28" s="1318"/>
      <c r="Y28" s="3689"/>
      <c r="Z28" s="344"/>
      <c r="AA28" s="1324">
        <v>1</v>
      </c>
      <c r="AB28" s="1324">
        <v>1</v>
      </c>
      <c r="AC28" s="1324">
        <v>1</v>
      </c>
    </row>
    <row r="29" spans="1:29" s="407" customFormat="1" ht="15">
      <c r="A29" s="989"/>
      <c r="B29" s="1408" t="s">
        <v>2665</v>
      </c>
      <c r="C29" s="158" t="str">
        <f>估价对象房地状况!C22</f>
        <v>七通</v>
      </c>
      <c r="D29" s="792">
        <v>100</v>
      </c>
      <c r="E29" s="3420" t="s">
        <v>3300</v>
      </c>
      <c r="F29" s="792">
        <f>SUMIF(102:102,E30,103:103)-SUMIF(102:102,C30,103:103)+100</f>
        <v>100</v>
      </c>
      <c r="G29" s="3420" t="s">
        <v>3300</v>
      </c>
      <c r="H29" s="792">
        <f>SUMIF(102:102,G30,103:103)-SUMIF(102:102,C30,103:103)+100</f>
        <v>100</v>
      </c>
      <c r="I29" s="3420" t="s">
        <v>3300</v>
      </c>
      <c r="J29" s="792">
        <f>SUMIF(102:102,I30,103:103)-SUMIF(102:102,C30,103:103)+100</f>
        <v>100</v>
      </c>
      <c r="K29" s="1079">
        <v>1</v>
      </c>
      <c r="L29" s="2346"/>
      <c r="M29" s="2347"/>
      <c r="N29" s="2347"/>
      <c r="O29" s="2348"/>
      <c r="P29" s="3689"/>
      <c r="Q29" s="2740" t="str">
        <f t="shared" ref="Q29" si="9">B29</f>
        <v>基础设施水平</v>
      </c>
      <c r="R29" s="1316" t="s">
        <v>65</v>
      </c>
      <c r="S29" s="1317">
        <f>F29</f>
        <v>100</v>
      </c>
      <c r="T29" s="1316" t="s">
        <v>65</v>
      </c>
      <c r="U29" s="1317">
        <f>H29</f>
        <v>100</v>
      </c>
      <c r="V29" s="1316" t="s">
        <v>65</v>
      </c>
      <c r="W29" s="1317">
        <f>J29</f>
        <v>100</v>
      </c>
      <c r="X29" s="1318"/>
      <c r="Y29" s="3689"/>
      <c r="Z29" s="344" t="str">
        <f>Q29</f>
        <v>基础设施水平</v>
      </c>
      <c r="AA29" s="1324">
        <f>D29/F29</f>
        <v>1</v>
      </c>
      <c r="AB29" s="1324">
        <f>D29/H29</f>
        <v>1</v>
      </c>
      <c r="AC29" s="1324">
        <f>D29/J29</f>
        <v>1</v>
      </c>
    </row>
    <row r="30" spans="1:29" s="407" customFormat="1" ht="15">
      <c r="A30" s="989"/>
      <c r="B30" s="798"/>
      <c r="C30" s="2771" t="s">
        <v>3298</v>
      </c>
      <c r="D30" s="790"/>
      <c r="E30" s="2771" t="s">
        <v>3298</v>
      </c>
      <c r="F30" s="790"/>
      <c r="G30" s="2771" t="s">
        <v>3298</v>
      </c>
      <c r="H30" s="790"/>
      <c r="I30" s="2771" t="s">
        <v>3298</v>
      </c>
      <c r="J30" s="790"/>
      <c r="K30" s="1078"/>
      <c r="L30" s="2346"/>
      <c r="M30" s="2347"/>
      <c r="N30" s="2347"/>
      <c r="O30" s="2348"/>
      <c r="P30" s="3689"/>
      <c r="Q30" s="2740"/>
      <c r="R30" s="1316"/>
      <c r="S30" s="1317"/>
      <c r="T30" s="1316"/>
      <c r="U30" s="1317"/>
      <c r="V30" s="1316"/>
      <c r="W30" s="1317"/>
      <c r="X30" s="1318"/>
      <c r="Y30" s="3689"/>
      <c r="Z30" s="344"/>
      <c r="AA30" s="1324">
        <v>1</v>
      </c>
      <c r="AB30" s="1324">
        <v>1</v>
      </c>
      <c r="AC30" s="1324">
        <v>1</v>
      </c>
    </row>
    <row r="31" spans="1:29" ht="15">
      <c r="A31" s="770"/>
      <c r="B31" s="798" t="s">
        <v>434</v>
      </c>
      <c r="C31" s="182" t="s">
        <v>3301</v>
      </c>
      <c r="D31" s="777">
        <v>100</v>
      </c>
      <c r="E31" s="195" t="s">
        <v>3301</v>
      </c>
      <c r="F31" s="777">
        <f>SUMIF(104:104,E31,105:105)-SUMIF(104:104,C31,105:105)+100</f>
        <v>100</v>
      </c>
      <c r="G31" s="195" t="s">
        <v>3301</v>
      </c>
      <c r="H31" s="777">
        <f>SUMIF(104:104,G31,105:105)-SUMIF(104:104,C31,105:105)+100</f>
        <v>100</v>
      </c>
      <c r="I31" s="195" t="s">
        <v>3303</v>
      </c>
      <c r="J31" s="777">
        <f>SUMIF(104:104,I31,105:105)-SUMIF(104:104,C31,105:105)+100</f>
        <v>98</v>
      </c>
      <c r="K31" s="1079">
        <v>2</v>
      </c>
      <c r="L31" s="2354"/>
      <c r="M31" s="2345"/>
      <c r="N31" s="2345"/>
      <c r="O31" s="2353"/>
      <c r="P31" s="3689"/>
      <c r="Q31" s="1320" t="str">
        <f t="shared" si="8"/>
        <v>临街状况</v>
      </c>
      <c r="R31" s="1321" t="s">
        <v>65</v>
      </c>
      <c r="S31" s="1322">
        <f t="shared" ref="S31:S45" si="10">F31</f>
        <v>100</v>
      </c>
      <c r="T31" s="1321" t="s">
        <v>65</v>
      </c>
      <c r="U31" s="1322">
        <f t="shared" ref="U31:U45" si="11">H31</f>
        <v>100</v>
      </c>
      <c r="V31" s="1321" t="s">
        <v>65</v>
      </c>
      <c r="W31" s="1322">
        <f t="shared" ref="W31:W45" si="12">J31</f>
        <v>98</v>
      </c>
      <c r="X31" s="1315"/>
      <c r="Y31" s="3689"/>
      <c r="Z31" s="1323" t="str">
        <f t="shared" ref="Z31:Z45" si="13">Q31</f>
        <v>临街状况</v>
      </c>
      <c r="AA31" s="1324">
        <f t="shared" si="3"/>
        <v>1</v>
      </c>
      <c r="AB31" s="1324">
        <f t="shared" si="4"/>
        <v>1</v>
      </c>
      <c r="AC31" s="1324">
        <f t="shared" si="5"/>
        <v>1.0204081632653061</v>
      </c>
    </row>
    <row r="32" spans="1:29" ht="27.75">
      <c r="A32" s="770"/>
      <c r="B32" s="2765" t="s">
        <v>439</v>
      </c>
      <c r="C32" s="101" t="s">
        <v>3306</v>
      </c>
      <c r="D32" s="792">
        <v>100</v>
      </c>
      <c r="E32" s="101" t="s">
        <v>3305</v>
      </c>
      <c r="F32" s="792">
        <f>SUMIF(106:106,E33,107:107)-SUMIF(106:106,C33,107:107)+100</f>
        <v>98</v>
      </c>
      <c r="G32" s="101" t="s">
        <v>3308</v>
      </c>
      <c r="H32" s="792">
        <f>SUMIF(106:106,G33,107:107)-SUMIF(106:106,C33,107:107)+100</f>
        <v>99</v>
      </c>
      <c r="I32" s="101" t="s">
        <v>3317</v>
      </c>
      <c r="J32" s="792">
        <f>SUMIF(106:106,I33,107:107)-SUMIF(106:106,C33,107:107)+100</f>
        <v>98</v>
      </c>
      <c r="K32" s="1079">
        <v>1</v>
      </c>
      <c r="L32" s="2354"/>
      <c r="M32" s="2345"/>
      <c r="N32" s="2345"/>
      <c r="O32" s="2353"/>
      <c r="P32" s="3689"/>
      <c r="Q32" s="1320" t="str">
        <f t="shared" si="8"/>
        <v>毗邻道路的类型与等级</v>
      </c>
      <c r="R32" s="1321" t="s">
        <v>65</v>
      </c>
      <c r="S32" s="1322">
        <f t="shared" si="10"/>
        <v>98</v>
      </c>
      <c r="T32" s="1321" t="s">
        <v>65</v>
      </c>
      <c r="U32" s="1322">
        <f t="shared" si="11"/>
        <v>99</v>
      </c>
      <c r="V32" s="1321" t="s">
        <v>65</v>
      </c>
      <c r="W32" s="1322">
        <f t="shared" si="12"/>
        <v>98</v>
      </c>
      <c r="X32" s="1315"/>
      <c r="Y32" s="3689"/>
      <c r="Z32" s="1323" t="str">
        <f t="shared" si="13"/>
        <v>毗邻道路的类型与等级</v>
      </c>
      <c r="AA32" s="1324">
        <f t="shared" si="3"/>
        <v>1.0204081632653061</v>
      </c>
      <c r="AB32" s="1324">
        <f t="shared" si="4"/>
        <v>1.0101010101010102</v>
      </c>
      <c r="AC32" s="1324">
        <f t="shared" si="5"/>
        <v>1.0204081632653061</v>
      </c>
    </row>
    <row r="33" spans="1:29" ht="15">
      <c r="A33" s="770"/>
      <c r="B33" s="798"/>
      <c r="C33" s="97" t="s">
        <v>3307</v>
      </c>
      <c r="D33" s="790"/>
      <c r="E33" s="192" t="s">
        <v>3288</v>
      </c>
      <c r="F33" s="790"/>
      <c r="G33" s="192" t="s">
        <v>3309</v>
      </c>
      <c r="H33" s="790"/>
      <c r="I33" s="97" t="s">
        <v>3288</v>
      </c>
      <c r="J33" s="790"/>
      <c r="K33" s="953"/>
      <c r="L33" s="2354"/>
      <c r="M33" s="2345"/>
      <c r="N33" s="2345"/>
      <c r="O33" s="2353"/>
      <c r="P33" s="3689"/>
      <c r="Q33" s="1320"/>
      <c r="R33" s="1321"/>
      <c r="S33" s="1322"/>
      <c r="T33" s="1321"/>
      <c r="U33" s="1322"/>
      <c r="V33" s="1321"/>
      <c r="W33" s="1322"/>
      <c r="X33" s="1315"/>
      <c r="Y33" s="3689"/>
      <c r="Z33" s="1323"/>
      <c r="AA33" s="1324">
        <v>1</v>
      </c>
      <c r="AB33" s="1324">
        <v>1</v>
      </c>
      <c r="AC33" s="1324">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2"/>
      <c r="L34" s="2354"/>
      <c r="M34" s="2345"/>
      <c r="N34" s="2345"/>
      <c r="O34" s="2353"/>
      <c r="P34" s="3689"/>
      <c r="Q34" s="1320" t="str">
        <f t="shared" si="8"/>
        <v>土地级别</v>
      </c>
      <c r="R34" s="1321" t="s">
        <v>65</v>
      </c>
      <c r="S34" s="1322">
        <f t="shared" si="10"/>
        <v>100</v>
      </c>
      <c r="T34" s="1321" t="s">
        <v>65</v>
      </c>
      <c r="U34" s="1322">
        <f t="shared" si="11"/>
        <v>100</v>
      </c>
      <c r="V34" s="1321" t="s">
        <v>65</v>
      </c>
      <c r="W34" s="1322">
        <f t="shared" si="12"/>
        <v>100</v>
      </c>
      <c r="X34" s="1315"/>
      <c r="Y34" s="3689"/>
      <c r="Z34" s="1323" t="str">
        <f t="shared" si="13"/>
        <v>土地级别</v>
      </c>
      <c r="AA34" s="1324">
        <f t="shared" si="3"/>
        <v>1</v>
      </c>
      <c r="AB34" s="1324">
        <f t="shared" si="4"/>
        <v>1</v>
      </c>
      <c r="AC34" s="1324">
        <f t="shared" si="5"/>
        <v>1</v>
      </c>
    </row>
    <row r="35" spans="1:29" ht="15">
      <c r="A35" s="746"/>
      <c r="B35" s="2767"/>
      <c r="C35" s="1080"/>
      <c r="D35" s="777">
        <v>100</v>
      </c>
      <c r="E35" s="817"/>
      <c r="F35" s="777">
        <f>SUMIF(110:110,E35,111:111)-SUMIF(110:110,C35,111:111)+100</f>
        <v>100</v>
      </c>
      <c r="G35" s="817"/>
      <c r="H35" s="777">
        <f>SUMIF(110:110,G35,111:111)-SUMIF(110:110,C35,111:111)+100</f>
        <v>100</v>
      </c>
      <c r="I35" s="1080"/>
      <c r="J35" s="777">
        <f>SUMIF(110:110,I35,111:111)-SUMIF(110:110,C35,111:111)+100</f>
        <v>100</v>
      </c>
      <c r="K35" s="953"/>
      <c r="L35" s="2354"/>
      <c r="M35" s="2345"/>
      <c r="N35" s="2345"/>
      <c r="O35" s="2353"/>
      <c r="P35" s="3689"/>
      <c r="Q35" s="1320">
        <f t="shared" si="8"/>
        <v>0</v>
      </c>
      <c r="R35" s="1321" t="s">
        <v>65</v>
      </c>
      <c r="S35" s="1322">
        <f t="shared" si="10"/>
        <v>100</v>
      </c>
      <c r="T35" s="1321" t="s">
        <v>65</v>
      </c>
      <c r="U35" s="1322">
        <f t="shared" si="11"/>
        <v>100</v>
      </c>
      <c r="V35" s="1321" t="s">
        <v>65</v>
      </c>
      <c r="W35" s="1322">
        <f t="shared" si="12"/>
        <v>100</v>
      </c>
      <c r="X35" s="1315"/>
      <c r="Y35" s="3689"/>
      <c r="Z35" s="1323">
        <f t="shared" si="13"/>
        <v>0</v>
      </c>
      <c r="AA35" s="1324">
        <f t="shared" si="3"/>
        <v>1</v>
      </c>
      <c r="AB35" s="1324">
        <f t="shared" si="4"/>
        <v>1</v>
      </c>
      <c r="AC35" s="1324">
        <f t="shared" si="5"/>
        <v>1</v>
      </c>
    </row>
    <row r="36" spans="1:29" ht="15">
      <c r="A36" s="1081"/>
      <c r="B36" s="2768"/>
      <c r="C36" s="1080"/>
      <c r="D36" s="777">
        <v>100</v>
      </c>
      <c r="E36" s="817"/>
      <c r="F36" s="777">
        <f>SUMIF(112:112,E37,113:113)-SUMIF(112:112,C37,113:113)+100</f>
        <v>100</v>
      </c>
      <c r="G36" s="817"/>
      <c r="H36" s="777">
        <f>SUMIF(112:112,G36,113:113)-SUMIF(112:112,C36,113:113)+100</f>
        <v>100</v>
      </c>
      <c r="I36" s="1080"/>
      <c r="J36" s="777">
        <f>SUMIF(112:112,I36,113:113)-SUMIF(112:112,C36,113:113)+100</f>
        <v>100</v>
      </c>
      <c r="K36" s="953"/>
      <c r="L36" s="2354"/>
      <c r="M36" s="2345"/>
      <c r="N36" s="2345"/>
      <c r="O36" s="2353"/>
      <c r="P36" s="3690" t="s">
        <v>406</v>
      </c>
      <c r="Q36" s="1320">
        <f t="shared" si="8"/>
        <v>0</v>
      </c>
      <c r="R36" s="1321" t="s">
        <v>65</v>
      </c>
      <c r="S36" s="1322">
        <f t="shared" si="10"/>
        <v>100</v>
      </c>
      <c r="T36" s="1321" t="s">
        <v>65</v>
      </c>
      <c r="U36" s="1322">
        <f t="shared" si="11"/>
        <v>100</v>
      </c>
      <c r="V36" s="1321" t="s">
        <v>65</v>
      </c>
      <c r="W36" s="1322">
        <f t="shared" si="12"/>
        <v>100</v>
      </c>
      <c r="X36" s="1315"/>
      <c r="Y36" s="3691" t="s">
        <v>406</v>
      </c>
      <c r="Z36" s="1323">
        <f t="shared" si="13"/>
        <v>0</v>
      </c>
      <c r="AA36" s="1324">
        <f t="shared" si="3"/>
        <v>1</v>
      </c>
      <c r="AB36" s="1324">
        <f t="shared" si="4"/>
        <v>1</v>
      </c>
      <c r="AC36" s="1324">
        <f t="shared" si="5"/>
        <v>1</v>
      </c>
    </row>
    <row r="37" spans="1:29" s="811" customFormat="1" ht="15.75" thickBot="1">
      <c r="A37" s="1082"/>
      <c r="B37" s="2769"/>
      <c r="C37" s="1084"/>
      <c r="D37" s="427">
        <v>100</v>
      </c>
      <c r="E37" s="1107"/>
      <c r="F37" s="780">
        <f>SUMIF(114:114,E37,115:115)-SUMIF(114:114,C37,115:115)+100</f>
        <v>100</v>
      </c>
      <c r="G37" s="1107"/>
      <c r="H37" s="780">
        <f>SUMIF(114:114,G37,115:115)-SUMIF(114:114,C37,115:115)+100</f>
        <v>100</v>
      </c>
      <c r="I37" s="1084"/>
      <c r="J37" s="780">
        <f>SUMIF(114:114,I37,115:115)-SUMIF(114:114,C37,115:115)+100</f>
        <v>100</v>
      </c>
      <c r="K37" s="953"/>
      <c r="L37" s="2352"/>
      <c r="M37" s="2355"/>
      <c r="N37" s="2355"/>
      <c r="O37" s="2356"/>
      <c r="P37" s="3691"/>
      <c r="Q37" s="1320">
        <f t="shared" si="8"/>
        <v>0</v>
      </c>
      <c r="R37" s="1326" t="s">
        <v>65</v>
      </c>
      <c r="S37" s="1327">
        <f t="shared" si="10"/>
        <v>100</v>
      </c>
      <c r="T37" s="1326" t="s">
        <v>65</v>
      </c>
      <c r="U37" s="1327">
        <f t="shared" si="11"/>
        <v>100</v>
      </c>
      <c r="V37" s="1326" t="s">
        <v>65</v>
      </c>
      <c r="W37" s="1327">
        <f t="shared" si="12"/>
        <v>100</v>
      </c>
      <c r="X37" s="1328"/>
      <c r="Y37" s="3691"/>
      <c r="Z37" s="1329">
        <f t="shared" si="13"/>
        <v>0</v>
      </c>
      <c r="AA37" s="1324">
        <f t="shared" si="3"/>
        <v>1</v>
      </c>
      <c r="AB37" s="1324">
        <f t="shared" si="4"/>
        <v>1</v>
      </c>
      <c r="AC37" s="1324">
        <f t="shared" si="5"/>
        <v>1</v>
      </c>
    </row>
    <row r="38" spans="1:29" ht="15">
      <c r="A38" s="812" t="s">
        <v>405</v>
      </c>
      <c r="B38" s="798" t="s">
        <v>483</v>
      </c>
      <c r="C38" s="1085">
        <f>'数据-基础表'!A3</f>
        <v>30690.62</v>
      </c>
      <c r="D38" s="807">
        <v>100</v>
      </c>
      <c r="E38" s="1085">
        <f>土地!D2</f>
        <v>41050.28</v>
      </c>
      <c r="F38" s="807">
        <f>LOOKUP(E38,117:117,118:118)-LOOKUP(C38,117:117,118:118)+100</f>
        <v>100</v>
      </c>
      <c r="G38" s="1085">
        <f>土地!D3</f>
        <v>65820.63</v>
      </c>
      <c r="H38" s="807">
        <f>LOOKUP(G38,117:117,118:118)-LOOKUP(C38,117:117,118:118)+100</f>
        <v>97</v>
      </c>
      <c r="I38" s="1085">
        <f>土地!D4</f>
        <v>82624.91</v>
      </c>
      <c r="J38" s="807">
        <f>LOOKUP(I38,117:117,118:118)-LOOKUP(C38,117:117,118:118)+100</f>
        <v>97</v>
      </c>
      <c r="K38" s="953"/>
      <c r="L38" s="2354"/>
      <c r="M38" s="2345"/>
      <c r="N38" s="2345"/>
      <c r="O38" s="2353"/>
      <c r="P38" s="3691"/>
      <c r="Q38" s="1320" t="str">
        <f>B38</f>
        <v>宗地面积</v>
      </c>
      <c r="R38" s="1321" t="s">
        <v>65</v>
      </c>
      <c r="S38" s="1322">
        <f t="shared" si="10"/>
        <v>100</v>
      </c>
      <c r="T38" s="1321" t="s">
        <v>65</v>
      </c>
      <c r="U38" s="1322">
        <f t="shared" si="11"/>
        <v>97</v>
      </c>
      <c r="V38" s="1321" t="s">
        <v>65</v>
      </c>
      <c r="W38" s="1322">
        <f t="shared" si="12"/>
        <v>97</v>
      </c>
      <c r="X38" s="1315"/>
      <c r="Y38" s="3691"/>
      <c r="Z38" s="1323" t="str">
        <f t="shared" si="13"/>
        <v>宗地面积</v>
      </c>
      <c r="AA38" s="1324">
        <f t="shared" si="3"/>
        <v>1</v>
      </c>
      <c r="AB38" s="1324">
        <f t="shared" si="4"/>
        <v>1.0309278350515463</v>
      </c>
      <c r="AC38" s="1324">
        <f t="shared" si="5"/>
        <v>1.0309278350515463</v>
      </c>
    </row>
    <row r="39" spans="1:29" ht="15">
      <c r="A39" s="812"/>
      <c r="B39" s="764" t="s">
        <v>484</v>
      </c>
      <c r="C39" s="109" t="s">
        <v>3289</v>
      </c>
      <c r="D39" s="777">
        <v>100</v>
      </c>
      <c r="E39" s="109" t="s">
        <v>3289</v>
      </c>
      <c r="F39" s="777">
        <f>SUMIF(119:119,E39,120:120)-SUMIF(119:119,C39,120:120)+100</f>
        <v>100</v>
      </c>
      <c r="G39" s="109" t="s">
        <v>3289</v>
      </c>
      <c r="H39" s="777">
        <f>SUMIF(119:119,G39,120:120)-SUMIF(119:119,C39,120:120)+100</f>
        <v>100</v>
      </c>
      <c r="I39" s="109" t="s">
        <v>3310</v>
      </c>
      <c r="J39" s="777">
        <f>SUMIF(119:119,I39,120:120)-SUMIF(119:119,C39,120:120)+100</f>
        <v>96</v>
      </c>
      <c r="K39" s="952">
        <v>2</v>
      </c>
      <c r="L39" s="2354"/>
      <c r="M39" s="2345"/>
      <c r="N39" s="2345"/>
      <c r="O39" s="2353"/>
      <c r="P39" s="3691"/>
      <c r="Q39" s="1320" t="str">
        <f t="shared" ref="Q39:Q45" si="14">B39</f>
        <v>宗地形状</v>
      </c>
      <c r="R39" s="1321" t="s">
        <v>65</v>
      </c>
      <c r="S39" s="1322">
        <f t="shared" si="10"/>
        <v>100</v>
      </c>
      <c r="T39" s="1321" t="s">
        <v>65</v>
      </c>
      <c r="U39" s="1322">
        <f t="shared" si="11"/>
        <v>100</v>
      </c>
      <c r="V39" s="1321" t="s">
        <v>65</v>
      </c>
      <c r="W39" s="1322">
        <f t="shared" si="12"/>
        <v>96</v>
      </c>
      <c r="X39" s="1315"/>
      <c r="Y39" s="3691"/>
      <c r="Z39" s="1323" t="str">
        <f t="shared" si="13"/>
        <v>宗地形状</v>
      </c>
      <c r="AA39" s="1324">
        <f t="shared" si="3"/>
        <v>1</v>
      </c>
      <c r="AB39" s="1324">
        <f t="shared" si="4"/>
        <v>1</v>
      </c>
      <c r="AC39" s="1324">
        <f t="shared" si="5"/>
        <v>1.0416666666666667</v>
      </c>
    </row>
    <row r="40" spans="1:29" ht="15">
      <c r="A40" s="812"/>
      <c r="B40" s="764" t="s">
        <v>485</v>
      </c>
      <c r="C40" s="109" t="s">
        <v>3290</v>
      </c>
      <c r="D40" s="777">
        <v>100</v>
      </c>
      <c r="E40" s="109" t="s">
        <v>3290</v>
      </c>
      <c r="F40" s="777">
        <f>SUMIF(121:121,E40,122:122)-SUMIF(121:121,C40,122:122)+100</f>
        <v>100</v>
      </c>
      <c r="G40" s="109" t="s">
        <v>3290</v>
      </c>
      <c r="H40" s="777">
        <f>SUMIF(121:121,G40,122:122)-SUMIF(121:121,C40,122:122)+100</f>
        <v>100</v>
      </c>
      <c r="I40" s="109" t="s">
        <v>3290</v>
      </c>
      <c r="J40" s="777">
        <f>SUMIF(121:121,I40,122:122)-SUMIF(121:121,C40,122:122)+100</f>
        <v>100</v>
      </c>
      <c r="K40" s="952">
        <v>1</v>
      </c>
      <c r="L40" s="2354"/>
      <c r="M40" s="2345"/>
      <c r="N40" s="2345"/>
      <c r="O40" s="2353"/>
      <c r="P40" s="3691"/>
      <c r="Q40" s="1320" t="str">
        <f t="shared" si="14"/>
        <v>临街宽度及深度</v>
      </c>
      <c r="R40" s="1321" t="s">
        <v>65</v>
      </c>
      <c r="S40" s="1322">
        <f t="shared" si="10"/>
        <v>100</v>
      </c>
      <c r="T40" s="1321" t="s">
        <v>65</v>
      </c>
      <c r="U40" s="1322">
        <f t="shared" si="11"/>
        <v>100</v>
      </c>
      <c r="V40" s="1321" t="s">
        <v>65</v>
      </c>
      <c r="W40" s="1322">
        <f t="shared" si="12"/>
        <v>100</v>
      </c>
      <c r="X40" s="1315"/>
      <c r="Y40" s="3691"/>
      <c r="Z40" s="1323" t="str">
        <f t="shared" si="13"/>
        <v>临街宽度及深度</v>
      </c>
      <c r="AA40" s="1324">
        <f t="shared" si="3"/>
        <v>1</v>
      </c>
      <c r="AB40" s="1324">
        <f t="shared" si="4"/>
        <v>1</v>
      </c>
      <c r="AC40" s="1324">
        <f t="shared" si="5"/>
        <v>1</v>
      </c>
    </row>
    <row r="41" spans="1:29" s="407" customFormat="1" ht="15">
      <c r="A41" s="813"/>
      <c r="B41" s="2606" t="s">
        <v>2496</v>
      </c>
      <c r="C41" s="1039" t="s">
        <v>3296</v>
      </c>
      <c r="D41" s="426">
        <v>100</v>
      </c>
      <c r="E41" s="1039" t="s">
        <v>3291</v>
      </c>
      <c r="F41" s="777">
        <f>SUMIF(123:123,E41,124:124)-SUMIF(123:123,C41,124:124)+100</f>
        <v>98.5</v>
      </c>
      <c r="G41" s="1039" t="s">
        <v>3291</v>
      </c>
      <c r="H41" s="777">
        <f>SUMIF(123:123,G41,124:124)-SUMIF(123:123,C41,124:124)+100</f>
        <v>98.5</v>
      </c>
      <c r="I41" s="1039" t="s">
        <v>3298</v>
      </c>
      <c r="J41" s="777">
        <f>SUMIF(123:123,I41,124:124)-SUMIF(123:123,C41,124:124)+100</f>
        <v>100.5</v>
      </c>
      <c r="K41" s="952">
        <v>0.5</v>
      </c>
      <c r="L41" s="2346"/>
      <c r="M41" s="2347"/>
      <c r="N41" s="2347"/>
      <c r="O41" s="2348"/>
      <c r="P41" s="3691"/>
      <c r="Q41" s="1320" t="str">
        <f t="shared" si="14"/>
        <v>宗地开发程度</v>
      </c>
      <c r="R41" s="1316" t="s">
        <v>65</v>
      </c>
      <c r="S41" s="1317">
        <f t="shared" si="10"/>
        <v>98.5</v>
      </c>
      <c r="T41" s="1316" t="s">
        <v>65</v>
      </c>
      <c r="U41" s="1317">
        <f t="shared" si="11"/>
        <v>98.5</v>
      </c>
      <c r="V41" s="1316" t="s">
        <v>65</v>
      </c>
      <c r="W41" s="1317">
        <f t="shared" si="12"/>
        <v>100.5</v>
      </c>
      <c r="X41" s="1318"/>
      <c r="Y41" s="3691"/>
      <c r="Z41" s="344" t="str">
        <f t="shared" si="13"/>
        <v>宗地开发程度</v>
      </c>
      <c r="AA41" s="1319">
        <f t="shared" si="3"/>
        <v>1.015228426395939</v>
      </c>
      <c r="AB41" s="1319">
        <f t="shared" si="4"/>
        <v>1.015228426395939</v>
      </c>
      <c r="AC41" s="1319">
        <f t="shared" si="5"/>
        <v>0.99502487562189057</v>
      </c>
    </row>
    <row r="42" spans="1:29" ht="15">
      <c r="A42" s="812"/>
      <c r="B42" s="764" t="s">
        <v>486</v>
      </c>
      <c r="C42" s="109" t="s">
        <v>3286</v>
      </c>
      <c r="D42" s="777">
        <v>100</v>
      </c>
      <c r="E42" s="109" t="s">
        <v>3286</v>
      </c>
      <c r="F42" s="777">
        <f>SUMIF(125:125,E42,126:126)-SUMIF(125:125,C42,126:126)+100</f>
        <v>100</v>
      </c>
      <c r="G42" s="109" t="s">
        <v>3286</v>
      </c>
      <c r="H42" s="777">
        <f>SUMIF(125:125,G42,126:126)-SUMIF(125:125,C42,126:126)+100</f>
        <v>100</v>
      </c>
      <c r="I42" s="109" t="s">
        <v>3286</v>
      </c>
      <c r="J42" s="777">
        <f>SUMIF(125:125,I42,126:126)-SUMIF(125:125,C42,126:126)+100</f>
        <v>100</v>
      </c>
      <c r="K42" s="952">
        <v>1</v>
      </c>
      <c r="L42" s="2354"/>
      <c r="M42" s="2345"/>
      <c r="N42" s="2345"/>
      <c r="O42" s="2353"/>
      <c r="P42" s="3691" t="s">
        <v>406</v>
      </c>
      <c r="Q42" s="1320" t="str">
        <f t="shared" si="14"/>
        <v>工程地质条件</v>
      </c>
      <c r="R42" s="1321" t="s">
        <v>65</v>
      </c>
      <c r="S42" s="1322">
        <f t="shared" si="10"/>
        <v>100</v>
      </c>
      <c r="T42" s="1321" t="s">
        <v>65</v>
      </c>
      <c r="U42" s="1322">
        <f t="shared" si="11"/>
        <v>100</v>
      </c>
      <c r="V42" s="1321" t="s">
        <v>65</v>
      </c>
      <c r="W42" s="1322">
        <f t="shared" si="12"/>
        <v>100</v>
      </c>
      <c r="X42" s="1315"/>
      <c r="Y42" s="3691" t="s">
        <v>406</v>
      </c>
      <c r="Z42" s="1323" t="str">
        <f t="shared" si="13"/>
        <v>工程地质条件</v>
      </c>
      <c r="AA42" s="1324">
        <f t="shared" si="3"/>
        <v>1</v>
      </c>
      <c r="AB42" s="1324">
        <f t="shared" si="4"/>
        <v>1</v>
      </c>
      <c r="AC42" s="1324">
        <f t="shared" si="5"/>
        <v>1</v>
      </c>
    </row>
    <row r="43" spans="1:29" ht="15">
      <c r="A43" s="812"/>
      <c r="B43" s="206"/>
      <c r="C43" s="203"/>
      <c r="D43" s="777">
        <v>100</v>
      </c>
      <c r="E43" s="203"/>
      <c r="F43" s="777">
        <f>SUMIF(127:127,E43,128:128)-SUMIF(127:127,C43,128:128)+100</f>
        <v>100</v>
      </c>
      <c r="G43" s="203"/>
      <c r="H43" s="777">
        <f>SUMIF(127:127,G43,128:128)-SUMIF(127:127,C43,128:128)+100</f>
        <v>100</v>
      </c>
      <c r="I43" s="126"/>
      <c r="J43" s="777">
        <f>SUMIF(127:127,I43,128:128)-SUMIF(127:127,C43,128:128)+100</f>
        <v>100</v>
      </c>
      <c r="K43" s="953"/>
      <c r="L43" s="2354"/>
      <c r="M43" s="2345"/>
      <c r="N43" s="2345"/>
      <c r="O43" s="2353"/>
      <c r="P43" s="3691"/>
      <c r="Q43" s="1320">
        <f t="shared" si="14"/>
        <v>0</v>
      </c>
      <c r="R43" s="1321" t="s">
        <v>65</v>
      </c>
      <c r="S43" s="1322">
        <f t="shared" si="10"/>
        <v>100</v>
      </c>
      <c r="T43" s="1321" t="s">
        <v>65</v>
      </c>
      <c r="U43" s="1322">
        <f t="shared" si="11"/>
        <v>100</v>
      </c>
      <c r="V43" s="1321" t="s">
        <v>65</v>
      </c>
      <c r="W43" s="1322">
        <f t="shared" si="12"/>
        <v>100</v>
      </c>
      <c r="X43" s="1315"/>
      <c r="Y43" s="3691"/>
      <c r="Z43" s="1323">
        <f t="shared" si="13"/>
        <v>0</v>
      </c>
      <c r="AA43" s="1324">
        <f t="shared" si="3"/>
        <v>1</v>
      </c>
      <c r="AB43" s="1324">
        <f t="shared" si="4"/>
        <v>1</v>
      </c>
      <c r="AC43" s="1324">
        <f t="shared" si="5"/>
        <v>1</v>
      </c>
    </row>
    <row r="44" spans="1:29" ht="15">
      <c r="A44" s="812"/>
      <c r="B44" s="206"/>
      <c r="C44" s="203"/>
      <c r="D44" s="777">
        <v>100</v>
      </c>
      <c r="E44" s="203"/>
      <c r="F44" s="777">
        <f>SUMIF(129:129,E44,130:130)-SUMIF(129:129,C44,130:130)+100</f>
        <v>100</v>
      </c>
      <c r="G44" s="203"/>
      <c r="H44" s="777">
        <f>SUMIF(129:129,G44,130:130)-SUMIF(129:129,C44,130:130)+100</f>
        <v>100</v>
      </c>
      <c r="I44" s="126"/>
      <c r="J44" s="777">
        <f>SUMIF(129:129,I44,130:130)-SUMIF(129:129,C44,130:130)+100</f>
        <v>100</v>
      </c>
      <c r="K44" s="953"/>
      <c r="L44" s="2354"/>
      <c r="M44" s="2345"/>
      <c r="N44" s="2345"/>
      <c r="O44" s="2353"/>
      <c r="P44" s="3691"/>
      <c r="Q44" s="1320">
        <f t="shared" si="14"/>
        <v>0</v>
      </c>
      <c r="R44" s="1321" t="s">
        <v>65</v>
      </c>
      <c r="S44" s="1322">
        <f t="shared" si="10"/>
        <v>100</v>
      </c>
      <c r="T44" s="1321" t="s">
        <v>65</v>
      </c>
      <c r="U44" s="1322">
        <f t="shared" si="11"/>
        <v>100</v>
      </c>
      <c r="V44" s="1321" t="s">
        <v>65</v>
      </c>
      <c r="W44" s="1322">
        <f t="shared" si="12"/>
        <v>100</v>
      </c>
      <c r="X44" s="1315"/>
      <c r="Y44" s="3691"/>
      <c r="Z44" s="1323">
        <f t="shared" si="13"/>
        <v>0</v>
      </c>
      <c r="AA44" s="1324">
        <f t="shared" si="3"/>
        <v>1</v>
      </c>
      <c r="AB44" s="1324">
        <f t="shared" si="4"/>
        <v>1</v>
      </c>
      <c r="AC44" s="1324">
        <f t="shared" si="5"/>
        <v>1</v>
      </c>
    </row>
    <row r="45" spans="1:29" s="811" customFormat="1" ht="15.75" thickBot="1">
      <c r="A45" s="808"/>
      <c r="B45" s="206"/>
      <c r="C45" s="1041"/>
      <c r="D45" s="1086">
        <v>100</v>
      </c>
      <c r="E45" s="203"/>
      <c r="F45" s="780">
        <f>SUMIF(131:131,E45,132:132)-SUMIF(131:131,C45,132:132)+100</f>
        <v>100</v>
      </c>
      <c r="G45" s="203"/>
      <c r="H45" s="780">
        <f>SUMIF(131:131,G45,132:132)-SUMIF(131:131,C45,132:132)+100</f>
        <v>100</v>
      </c>
      <c r="I45" s="203"/>
      <c r="J45" s="780">
        <f>SUMIF(131:131,I45,132:132)-SUMIF(131:131,C45,132:132)+100</f>
        <v>100</v>
      </c>
      <c r="K45" s="1087"/>
      <c r="L45" s="2352"/>
      <c r="M45" s="2355"/>
      <c r="N45" s="2355"/>
      <c r="O45" s="2356"/>
      <c r="P45" s="3691"/>
      <c r="Q45" s="1320">
        <f t="shared" si="14"/>
        <v>0</v>
      </c>
      <c r="R45" s="1326" t="s">
        <v>65</v>
      </c>
      <c r="S45" s="1327">
        <f t="shared" si="10"/>
        <v>100</v>
      </c>
      <c r="T45" s="1326" t="s">
        <v>65</v>
      </c>
      <c r="U45" s="1327">
        <f t="shared" si="11"/>
        <v>100</v>
      </c>
      <c r="V45" s="1326" t="s">
        <v>65</v>
      </c>
      <c r="W45" s="1327">
        <f t="shared" si="12"/>
        <v>100</v>
      </c>
      <c r="X45" s="1328"/>
      <c r="Y45" s="3691"/>
      <c r="Z45" s="1329">
        <f t="shared" si="13"/>
        <v>0</v>
      </c>
      <c r="AA45" s="1324">
        <f t="shared" si="3"/>
        <v>1</v>
      </c>
      <c r="AB45" s="1324">
        <f t="shared" si="4"/>
        <v>1</v>
      </c>
      <c r="AC45" s="1324">
        <f t="shared" si="5"/>
        <v>1</v>
      </c>
    </row>
    <row r="46" spans="1:29" ht="15">
      <c r="A46" s="819" t="s">
        <v>487</v>
      </c>
      <c r="B46" s="207" t="s">
        <v>158</v>
      </c>
      <c r="C46" s="1088" t="s">
        <v>23</v>
      </c>
      <c r="D46" s="821"/>
      <c r="E46" s="822">
        <f>ROUND(土地!M2,0)</f>
        <v>22610</v>
      </c>
      <c r="F46" s="823"/>
      <c r="G46" s="822">
        <f>ROUND(土地!M3,0)</f>
        <v>19821</v>
      </c>
      <c r="H46" s="825"/>
      <c r="I46" s="822">
        <f>ROUND(土地!M4,0)</f>
        <v>18519</v>
      </c>
      <c r="J46" s="825"/>
      <c r="K46" s="1396"/>
      <c r="L46" s="2357"/>
      <c r="M46" s="2358"/>
      <c r="N46" s="2345"/>
      <c r="O46" s="2358"/>
      <c r="P46" s="3673" t="str">
        <f>A46</f>
        <v>成交单价</v>
      </c>
      <c r="Q46" s="3673"/>
      <c r="R46" s="3686">
        <f>E46</f>
        <v>22610</v>
      </c>
      <c r="S46" s="3686"/>
      <c r="T46" s="3686">
        <f>G46</f>
        <v>19821</v>
      </c>
      <c r="U46" s="3686"/>
      <c r="V46" s="3686">
        <f>I46</f>
        <v>18519</v>
      </c>
      <c r="W46" s="3686"/>
      <c r="X46" s="1304"/>
      <c r="Y46" s="1330"/>
      <c r="Z46" s="1304"/>
      <c r="AA46" s="1304"/>
      <c r="AB46" s="1304"/>
      <c r="AC46" s="1304"/>
    </row>
    <row r="47" spans="1:29" ht="15.75" thickBot="1">
      <c r="A47" s="826" t="s">
        <v>408</v>
      </c>
      <c r="B47" s="1089"/>
      <c r="C47" s="830">
        <f>R48</f>
        <v>22232</v>
      </c>
      <c r="D47" s="829"/>
      <c r="E47" s="830">
        <f>R47</f>
        <v>24214</v>
      </c>
      <c r="F47" s="831"/>
      <c r="G47" s="828">
        <f>T47</f>
        <v>21999</v>
      </c>
      <c r="H47" s="829"/>
      <c r="I47" s="830">
        <f>V47</f>
        <v>20484</v>
      </c>
      <c r="J47" s="829"/>
      <c r="K47" s="1397"/>
      <c r="L47" s="2357"/>
      <c r="M47" s="2358"/>
      <c r="N47" s="2358"/>
      <c r="O47" s="2358"/>
      <c r="P47" s="3673" t="str">
        <f>A47</f>
        <v>比较价值（元/平方米）</v>
      </c>
      <c r="Q47" s="3673"/>
      <c r="R47" s="3692">
        <f>ROUND(PRODUCT(R46,AA7:AA45),0)</f>
        <v>24214</v>
      </c>
      <c r="S47" s="3692"/>
      <c r="T47" s="3692">
        <f>ROUND(PRODUCT(T46,AB7:AB45),0)</f>
        <v>21999</v>
      </c>
      <c r="U47" s="3692"/>
      <c r="V47" s="3692">
        <f>ROUND(PRODUCT(V46,AC7:AC45),0)</f>
        <v>20484</v>
      </c>
      <c r="W47" s="3692"/>
      <c r="X47" s="1304"/>
      <c r="Y47" s="1304"/>
      <c r="Z47" s="1304"/>
      <c r="AA47" s="1304"/>
      <c r="AB47" s="1304"/>
      <c r="AC47" s="1304"/>
    </row>
    <row r="48" spans="1:29" ht="15.75" thickBot="1">
      <c r="A48" s="115" t="s">
        <v>513</v>
      </c>
      <c r="B48" s="833"/>
      <c r="C48" s="834">
        <f>R48</f>
        <v>22232</v>
      </c>
      <c r="D48" s="834"/>
      <c r="E48" s="834"/>
      <c r="F48" s="834"/>
      <c r="G48" s="834"/>
      <c r="H48" s="834"/>
      <c r="I48" s="834"/>
      <c r="J48" s="834"/>
      <c r="K48" s="1398"/>
      <c r="L48" s="2357"/>
      <c r="M48" s="2358"/>
      <c r="N48" s="2358"/>
      <c r="O48" s="2358"/>
      <c r="P48" s="3693" t="str">
        <f>A48</f>
        <v>估价对象XX用房的比较价值（楼面单价，元/平方米）</v>
      </c>
      <c r="Q48" s="3694"/>
      <c r="R48" s="3695">
        <f>ROUND(AVERAGE(R47:V47),0)</f>
        <v>22232</v>
      </c>
      <c r="S48" s="3695"/>
      <c r="T48" s="3695"/>
      <c r="U48" s="3695"/>
      <c r="V48" s="3695"/>
      <c r="W48" s="3695"/>
      <c r="X48" s="1304"/>
      <c r="Y48" s="1304"/>
      <c r="Z48" s="1304"/>
      <c r="AA48" s="1304"/>
      <c r="AB48" s="1304"/>
      <c r="AC48" s="1304"/>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7" t="s">
        <v>409</v>
      </c>
      <c r="D51" s="838"/>
      <c r="E51" s="839">
        <f>IF(E46&lt;E47,E47/E46-1,E46/E47-1)</f>
        <v>7.0942061034940274E-2</v>
      </c>
      <c r="F51" s="840" t="str">
        <f>IF(OR(E51&gt;=0.3,E51&lt;=-0.3),"超过30%","")</f>
        <v/>
      </c>
      <c r="G51" s="839">
        <f>IF(G46&lt;G47,G47/G46-1,G46/G47-1)</f>
        <v>0.10988345693960944</v>
      </c>
      <c r="H51" s="840" t="str">
        <f>IF(OR(G51&gt;=0.3,G51&lt;=-0.3),"超过30%","")</f>
        <v/>
      </c>
      <c r="I51" s="839">
        <f>IF(I46&lt;I47,I47/I46-1,I46/I47-1)</f>
        <v>0.10610724121172854</v>
      </c>
      <c r="J51" s="840" t="str">
        <f>IF(OR(I51&gt;=0.3,I51&lt;=-0.3),"超过30%","")</f>
        <v/>
      </c>
      <c r="K51" s="2184"/>
      <c r="L51" s="2185"/>
      <c r="M51" s="2358"/>
      <c r="N51" s="2358"/>
      <c r="O51" s="2358"/>
    </row>
    <row r="52" spans="1:15" ht="13.5" customHeight="1">
      <c r="A52" s="2358"/>
      <c r="B52" s="2358"/>
      <c r="C52" s="837" t="s">
        <v>410</v>
      </c>
      <c r="D52" s="841"/>
      <c r="E52" s="839">
        <f>IF(E47&lt;G47,G47/E47-1,E47/G47-1)</f>
        <v>0.10068639483612896</v>
      </c>
      <c r="F52" s="840" t="str">
        <f>IF(OR(E52&gt;=0.2,E52&lt;=-0.2),"超过20%","")</f>
        <v/>
      </c>
      <c r="G52" s="839">
        <f>IF(G47&lt;I47,I47/G47-1,G47/I47-1)</f>
        <v>7.3960164030462794E-2</v>
      </c>
      <c r="H52" s="840" t="str">
        <f>IF(OR(G52&gt;=0.2,G52&lt;=-0.2),"超过20%","")</f>
        <v/>
      </c>
      <c r="I52" s="839">
        <f>IF(I47&lt;E47,E47/I47-1,I47/E47-1)</f>
        <v>0.18209334114430775</v>
      </c>
      <c r="J52" s="840" t="str">
        <f>IF(OR(I52&gt;=0.2,I52&lt;=-0.2),"超过20%","")</f>
        <v/>
      </c>
      <c r="K52" s="2184"/>
      <c r="L52" s="2185"/>
      <c r="M52" s="2358"/>
      <c r="N52" s="2358"/>
      <c r="O52" s="2358"/>
    </row>
    <row r="53" spans="1:15" s="842" customFormat="1" ht="13.5" customHeight="1">
      <c r="A53" s="2359"/>
      <c r="B53" s="2359"/>
      <c r="C53" s="837" t="s">
        <v>411</v>
      </c>
      <c r="D53" s="841"/>
      <c r="E53" s="839">
        <f>IF(E46&lt;G46,G46/E46-1,E46/G46-1)</f>
        <v>0.14070934867060192</v>
      </c>
      <c r="F53" s="840" t="str">
        <f>IF(OR(E53&gt;=0.3,E53&lt;=-0.3),"超过30%","")</f>
        <v/>
      </c>
      <c r="G53" s="839">
        <f>IF(G46&lt;I46,I46/G46-1,G46/I46-1)</f>
        <v>7.0306172039527048E-2</v>
      </c>
      <c r="H53" s="840" t="str">
        <f>IF(OR(G53&gt;=0.3,G53&lt;=-0.3),"超过30%","")</f>
        <v/>
      </c>
      <c r="I53" s="839">
        <f>IF(I46&lt;E46,E46/I46-1,I46/E46-1)</f>
        <v>0.22090825638533396</v>
      </c>
      <c r="J53" s="840" t="str">
        <f>IF(OR(I53&gt;=0.3,I53&lt;=-0.3),"超过30%","")</f>
        <v/>
      </c>
      <c r="K53" s="2362"/>
      <c r="L53" s="2363"/>
      <c r="M53" s="2359"/>
      <c r="N53" s="2359"/>
      <c r="O53" s="2359"/>
    </row>
    <row r="54" spans="1:15" s="842" customFormat="1" ht="15" thickBot="1">
      <c r="A54" s="2359"/>
      <c r="B54" s="2360"/>
      <c r="C54" s="1307"/>
      <c r="D54" s="1305"/>
      <c r="E54" s="1305"/>
      <c r="F54" s="1305"/>
      <c r="G54" s="1305"/>
      <c r="H54" s="1305"/>
      <c r="I54" s="1305"/>
      <c r="J54" s="1305"/>
      <c r="K54" s="2362"/>
      <c r="L54" s="2363"/>
      <c r="M54" s="2359"/>
      <c r="N54" s="2359"/>
      <c r="O54" s="2359"/>
    </row>
    <row r="55" spans="1:15" ht="27" customHeight="1">
      <c r="A55" s="1090" t="s">
        <v>488</v>
      </c>
      <c r="B55" s="1091" t="s">
        <v>489</v>
      </c>
      <c r="C55" s="1773" t="s">
        <v>1882</v>
      </c>
      <c r="D55" s="2389" t="s">
        <v>2320</v>
      </c>
      <c r="E55" s="1092" t="s">
        <v>490</v>
      </c>
      <c r="F55" s="2186" t="s">
        <v>491</v>
      </c>
      <c r="G55" s="3696" t="s">
        <v>2313</v>
      </c>
      <c r="H55" s="3697"/>
      <c r="I55" s="2187" t="s">
        <v>1881</v>
      </c>
      <c r="J55" s="2191">
        <f>项目基本情况!F35</f>
        <v>0</v>
      </c>
      <c r="K55" s="2372" t="s">
        <v>1883</v>
      </c>
      <c r="L55" s="2185"/>
      <c r="M55" s="2358"/>
      <c r="N55" s="2358"/>
      <c r="O55" s="2358"/>
    </row>
    <row r="56" spans="1:15" s="1098" customFormat="1">
      <c r="A56" s="1094" t="s">
        <v>492</v>
      </c>
      <c r="B56" s="1095">
        <f>C48</f>
        <v>22232</v>
      </c>
      <c r="C56" s="1096">
        <v>1</v>
      </c>
      <c r="D56" s="2390">
        <v>1</v>
      </c>
      <c r="E56" s="1096">
        <f>'数据-汇总表'!E8+'数据-汇总表'!E9</f>
        <v>42674.060000000005</v>
      </c>
      <c r="F56" s="2182">
        <f t="shared" ref="F56:F65" si="15">ROUND(B56*E56/10000,0)</f>
        <v>94873</v>
      </c>
      <c r="G56" s="3698"/>
      <c r="H56" s="3699"/>
      <c r="I56" s="2188">
        <v>1</v>
      </c>
      <c r="J56" s="2192">
        <v>1</v>
      </c>
      <c r="K56" s="2359"/>
      <c r="L56" s="1770"/>
      <c r="M56" s="1770"/>
      <c r="N56" s="1770"/>
      <c r="O56" s="1770"/>
    </row>
    <row r="57" spans="1:15" s="1098" customFormat="1">
      <c r="A57" s="1099" t="s">
        <v>493</v>
      </c>
      <c r="B57" s="594">
        <f>ROUND($C$48*C57*D57,0)</f>
        <v>3335</v>
      </c>
      <c r="C57" s="532">
        <f t="shared" ref="C57:C65" si="16">IF($C$55="北京市系数",I57,J57)</f>
        <v>0.6</v>
      </c>
      <c r="D57" s="2391">
        <v>0.25</v>
      </c>
      <c r="E57" s="1100"/>
      <c r="F57" s="2182">
        <f t="shared" si="15"/>
        <v>0</v>
      </c>
      <c r="G57" s="3700" t="s">
        <v>2314</v>
      </c>
      <c r="H57" s="2183" t="str">
        <f>项目基本情况!B37</f>
        <v>九级</v>
      </c>
      <c r="I57" s="2188">
        <f>SUMIF(修正!A45:A56,H57,修正!B45:B56)</f>
        <v>0.6</v>
      </c>
      <c r="J57" s="2193"/>
      <c r="K57" s="2358"/>
      <c r="L57" s="1770"/>
      <c r="M57" s="1770"/>
      <c r="N57" s="1770"/>
      <c r="O57" s="1770"/>
    </row>
    <row r="58" spans="1:15" s="1098" customFormat="1">
      <c r="A58" s="1099" t="s">
        <v>494</v>
      </c>
      <c r="B58" s="594">
        <f t="shared" ref="B58:B65" si="17">ROUND($C$48*C58*D58,0)</f>
        <v>1667</v>
      </c>
      <c r="C58" s="532">
        <f t="shared" si="16"/>
        <v>0.3</v>
      </c>
      <c r="D58" s="2391">
        <v>0.25</v>
      </c>
      <c r="E58" s="1100"/>
      <c r="F58" s="2182">
        <f t="shared" si="15"/>
        <v>0</v>
      </c>
      <c r="G58" s="3700"/>
      <c r="H58" s="2183" t="str">
        <f>项目基本情况!B37</f>
        <v>九级</v>
      </c>
      <c r="I58" s="2188">
        <f>SUMIF(修正!A45:A56,H58,修正!C45:C56)</f>
        <v>0.3</v>
      </c>
      <c r="J58" s="2193"/>
      <c r="K58" s="2359"/>
      <c r="L58" s="1770"/>
      <c r="M58" s="1770"/>
      <c r="N58" s="1770"/>
      <c r="O58" s="1770"/>
    </row>
    <row r="59" spans="1:15" s="1098" customFormat="1">
      <c r="A59" s="1099" t="s">
        <v>495</v>
      </c>
      <c r="B59" s="594">
        <f t="shared" si="17"/>
        <v>1112</v>
      </c>
      <c r="C59" s="532">
        <f t="shared" si="16"/>
        <v>0.2</v>
      </c>
      <c r="D59" s="2391">
        <v>0.25</v>
      </c>
      <c r="E59" s="1100"/>
      <c r="F59" s="2182">
        <f t="shared" si="15"/>
        <v>0</v>
      </c>
      <c r="G59" s="3700"/>
      <c r="H59" s="2183" t="str">
        <f>项目基本情况!B37</f>
        <v>九级</v>
      </c>
      <c r="I59" s="2188">
        <f>SUMIF(修正!A45:A56,H59,修正!D45:D56)</f>
        <v>0.2</v>
      </c>
      <c r="J59" s="2193"/>
      <c r="K59" s="2358"/>
      <c r="L59" s="1770"/>
      <c r="M59" s="1770"/>
      <c r="N59" s="1770"/>
      <c r="O59" s="1770"/>
    </row>
    <row r="60" spans="1:15" s="1098" customFormat="1">
      <c r="A60" s="1099" t="s">
        <v>496</v>
      </c>
      <c r="B60" s="594">
        <f t="shared" si="17"/>
        <v>1112</v>
      </c>
      <c r="C60" s="532">
        <f t="shared" si="16"/>
        <v>0.2</v>
      </c>
      <c r="D60" s="2391">
        <v>0.25</v>
      </c>
      <c r="E60" s="1100"/>
      <c r="F60" s="2182">
        <f t="shared" si="15"/>
        <v>0</v>
      </c>
      <c r="G60" s="3700"/>
      <c r="H60" s="2183" t="str">
        <f>项目基本情况!B37</f>
        <v>九级</v>
      </c>
      <c r="I60" s="2188">
        <f>SUMIF(修正!A45:A56,H60,修正!E45:E56)</f>
        <v>0.2</v>
      </c>
      <c r="J60" s="2193"/>
      <c r="K60" s="2359"/>
      <c r="L60" s="1770"/>
      <c r="M60" s="1770"/>
      <c r="N60" s="1770"/>
      <c r="O60" s="1770"/>
    </row>
    <row r="61" spans="1:15" s="1098" customFormat="1">
      <c r="A61" s="2511" t="s">
        <v>2395</v>
      </c>
      <c r="B61" s="594">
        <f t="shared" si="17"/>
        <v>1112</v>
      </c>
      <c r="C61" s="532">
        <f t="shared" si="16"/>
        <v>0.2</v>
      </c>
      <c r="D61" s="2391">
        <v>0.25</v>
      </c>
      <c r="E61" s="593">
        <f>'数据-汇总表'!E11</f>
        <v>0</v>
      </c>
      <c r="F61" s="2182">
        <f t="shared" si="15"/>
        <v>0</v>
      </c>
      <c r="G61" s="2195" t="s">
        <v>2315</v>
      </c>
      <c r="H61" s="2183" t="str">
        <f>项目基本情况!C37</f>
        <v>九级</v>
      </c>
      <c r="I61" s="2188">
        <f>SUMIF(修正!A45:A56,H61,修正!F45:F56)</f>
        <v>0.2</v>
      </c>
      <c r="J61" s="2193"/>
      <c r="K61" s="2358"/>
      <c r="L61" s="1770"/>
      <c r="M61" s="1770"/>
      <c r="N61" s="1770"/>
      <c r="O61" s="1770"/>
    </row>
    <row r="62" spans="1:15" s="1098" customFormat="1">
      <c r="A62" s="1099" t="s">
        <v>497</v>
      </c>
      <c r="B62" s="594">
        <f t="shared" si="17"/>
        <v>1112</v>
      </c>
      <c r="C62" s="532">
        <f t="shared" si="16"/>
        <v>0.2</v>
      </c>
      <c r="D62" s="2391">
        <v>0.25</v>
      </c>
      <c r="E62" s="593">
        <f>'数据-汇总表'!E12</f>
        <v>2611.2199999999998</v>
      </c>
      <c r="F62" s="2182">
        <f t="shared" si="15"/>
        <v>290</v>
      </c>
      <c r="G62" s="2189" t="s">
        <v>141</v>
      </c>
      <c r="H62" s="2183" t="str">
        <f>IF(G62="商业",项目基本情况!B37,IF(G62="办公",项目基本情况!C37,IF(G62="住宅",项目基本情况!D37,项目基本情况!E37)))</f>
        <v>九级</v>
      </c>
      <c r="I62" s="2188">
        <f>SUMIF(修正!A45:A56,H62,修正!G45:G56)</f>
        <v>0.2</v>
      </c>
      <c r="J62" s="2193"/>
      <c r="K62" s="2359"/>
      <c r="L62" s="1770"/>
      <c r="M62" s="1770"/>
      <c r="N62" s="1770"/>
      <c r="O62" s="1770"/>
    </row>
    <row r="63" spans="1:15" s="1098" customFormat="1">
      <c r="A63" s="1099" t="s">
        <v>498</v>
      </c>
      <c r="B63" s="594">
        <f t="shared" si="17"/>
        <v>834</v>
      </c>
      <c r="C63" s="532">
        <f t="shared" si="16"/>
        <v>0.15</v>
      </c>
      <c r="D63" s="2391">
        <v>0.25</v>
      </c>
      <c r="E63" s="593">
        <f>'数据-汇总表'!E13</f>
        <v>5952.24</v>
      </c>
      <c r="F63" s="2182">
        <f t="shared" si="15"/>
        <v>496</v>
      </c>
      <c r="G63" s="2189" t="s">
        <v>40</v>
      </c>
      <c r="H63" s="2183" t="str">
        <f>IF(G63="商业",项目基本情况!B37,IF(G63="办公",项目基本情况!C37,IF(G63="住宅",项目基本情况!D37,项目基本情况!E37)))</f>
        <v>九级</v>
      </c>
      <c r="I63" s="2188">
        <f>SUMIF(修正!A45:A56,H63,修正!H45:H56)</f>
        <v>0.15</v>
      </c>
      <c r="J63" s="2193"/>
      <c r="K63" s="2358"/>
      <c r="L63" s="1770"/>
      <c r="M63" s="1770"/>
      <c r="N63" s="1770"/>
      <c r="O63" s="1770"/>
    </row>
    <row r="64" spans="1:15" s="1098" customFormat="1">
      <c r="A64" s="1099" t="s">
        <v>499</v>
      </c>
      <c r="B64" s="594">
        <f t="shared" si="17"/>
        <v>834</v>
      </c>
      <c r="C64" s="532">
        <f t="shared" si="16"/>
        <v>0.15</v>
      </c>
      <c r="D64" s="2391">
        <v>0.25</v>
      </c>
      <c r="E64" s="593">
        <f>'数据-汇总表'!E14</f>
        <v>0</v>
      </c>
      <c r="F64" s="2182">
        <f t="shared" si="15"/>
        <v>0</v>
      </c>
      <c r="G64" s="2195" t="s">
        <v>2316</v>
      </c>
      <c r="H64" s="2183" t="str">
        <f>项目基本情况!B37</f>
        <v>九级</v>
      </c>
      <c r="I64" s="2188">
        <f>SUMIF(修正!A45:A56,H64,修正!H45:H56)</f>
        <v>0.15</v>
      </c>
      <c r="J64" s="2193"/>
      <c r="K64" s="2359"/>
      <c r="L64" s="1770"/>
      <c r="M64" s="1770"/>
      <c r="N64" s="1770"/>
      <c r="O64" s="1770"/>
    </row>
    <row r="65" spans="1:17" s="1098" customFormat="1" ht="15" thickBot="1">
      <c r="A65" s="1099" t="s">
        <v>500</v>
      </c>
      <c r="B65" s="594">
        <f t="shared" si="17"/>
        <v>834</v>
      </c>
      <c r="C65" s="532">
        <f t="shared" si="16"/>
        <v>0.15</v>
      </c>
      <c r="D65" s="2391">
        <v>0.25</v>
      </c>
      <c r="E65" s="593">
        <f>'数据-汇总表'!E15</f>
        <v>0</v>
      </c>
      <c r="F65" s="2182">
        <f t="shared" si="15"/>
        <v>0</v>
      </c>
      <c r="G65" s="2196" t="s">
        <v>2315</v>
      </c>
      <c r="H65" s="2197" t="str">
        <f>项目基本情况!C37</f>
        <v>九级</v>
      </c>
      <c r="I65" s="2190">
        <f>SUMIF(修正!A45:A56,H65,修正!H45:H56)</f>
        <v>0.15</v>
      </c>
      <c r="J65" s="2194"/>
      <c r="K65" s="2358"/>
      <c r="L65" s="1770"/>
      <c r="M65" s="1770"/>
      <c r="N65" s="1770"/>
      <c r="O65" s="1770"/>
    </row>
    <row r="66" spans="1:17" s="1098" customFormat="1" ht="13.5" thickBot="1">
      <c r="A66" s="1101" t="s">
        <v>501</v>
      </c>
      <c r="B66" s="1102" t="s">
        <v>156</v>
      </c>
      <c r="C66" s="1102" t="s">
        <v>157</v>
      </c>
      <c r="D66" s="1102" t="s">
        <v>2321</v>
      </c>
      <c r="E66" s="1102">
        <f>IF(B46="楼面地价",SUM(E56:E65),'数据-汇总表'!D3)</f>
        <v>51237.520000000004</v>
      </c>
      <c r="F66" s="1103">
        <f>IF(B46="楼面地价",SUM(F56:F65),ROUND(C48*E66/10000,0))</f>
        <v>95659</v>
      </c>
      <c r="G66" s="1411"/>
      <c r="H66" s="1411"/>
      <c r="I66" s="1411"/>
      <c r="J66" s="1411"/>
      <c r="K66" s="2373"/>
      <c r="L66" s="1770"/>
      <c r="M66" s="1770"/>
      <c r="N66" s="1770"/>
      <c r="O66" s="1770"/>
    </row>
    <row r="67" spans="1:17">
      <c r="A67" s="1304"/>
      <c r="B67" s="1306"/>
      <c r="C67" s="1307"/>
      <c r="D67" s="1304"/>
      <c r="E67" s="1304"/>
      <c r="F67" s="1304"/>
      <c r="G67" s="1304"/>
      <c r="H67" s="1304"/>
      <c r="I67" s="1304"/>
      <c r="J67" s="2358"/>
      <c r="K67" s="2184"/>
      <c r="L67" s="2185"/>
      <c r="M67" s="2358"/>
      <c r="N67" s="2358"/>
      <c r="O67" s="2358"/>
    </row>
    <row r="68" spans="1:17">
      <c r="A68" s="1304"/>
      <c r="B68" s="1306"/>
      <c r="C68" s="1306" t="str">
        <f>YEAR(C7)&amp;"-"&amp;MONTH(C7)&amp;"-1"</f>
        <v>2017-8-1</v>
      </c>
      <c r="D68" s="1306">
        <f>EDATE(C68,-3)</f>
        <v>42856</v>
      </c>
      <c r="E68" s="1306">
        <f>EDATE(D68,-3)</f>
        <v>42767</v>
      </c>
      <c r="F68" s="1306">
        <f t="shared" ref="F68:O68" si="18">EDATE(E68,-3)</f>
        <v>42675</v>
      </c>
      <c r="G68" s="1306">
        <f t="shared" si="18"/>
        <v>42583</v>
      </c>
      <c r="H68" s="1306">
        <f t="shared" si="18"/>
        <v>42491</v>
      </c>
      <c r="I68" s="1306">
        <f t="shared" si="18"/>
        <v>42401</v>
      </c>
      <c r="J68" s="1306">
        <f t="shared" si="18"/>
        <v>42309</v>
      </c>
      <c r="K68" s="1306">
        <f t="shared" si="18"/>
        <v>42217</v>
      </c>
      <c r="L68" s="1306">
        <f t="shared" si="18"/>
        <v>42125</v>
      </c>
      <c r="M68" s="1306">
        <f t="shared" si="18"/>
        <v>42036</v>
      </c>
      <c r="N68" s="1306">
        <f t="shared" si="18"/>
        <v>41944</v>
      </c>
      <c r="O68" s="1306">
        <f t="shared" si="18"/>
        <v>41852</v>
      </c>
    </row>
    <row r="69" spans="1:17" ht="21.75" thickBot="1">
      <c r="A69" s="1308" t="s">
        <v>412</v>
      </c>
      <c r="B69" s="1304"/>
      <c r="C69" s="1309"/>
      <c r="D69" s="1309"/>
      <c r="E69" s="1309"/>
      <c r="F69" s="1310"/>
      <c r="G69" s="1310"/>
      <c r="H69" s="1309"/>
      <c r="I69" s="1309"/>
      <c r="J69" s="2374"/>
      <c r="K69" s="2375"/>
      <c r="L69" s="2376"/>
      <c r="M69" s="2374"/>
      <c r="N69" s="2374"/>
      <c r="O69" s="2374"/>
      <c r="P69" s="843"/>
      <c r="Q69" s="844"/>
    </row>
    <row r="70" spans="1:17" s="848" customFormat="1" ht="15">
      <c r="A70" s="2702" t="s">
        <v>2786</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7"/>
    </row>
    <row r="71" spans="1:17" s="407" customFormat="1" ht="30" customHeight="1">
      <c r="A71" s="3036" t="s">
        <v>40</v>
      </c>
      <c r="B71" s="664" t="str">
        <f>"北京市平均增长率"&amp;TEXT(SUMIF(基准地价修正!N21:N25,A71,基准地价修正!P21:P25),"0.00%")</f>
        <v>北京市平均增长率2.75%</v>
      </c>
      <c r="C71" s="943">
        <v>100</v>
      </c>
      <c r="D71" s="3416">
        <v>99.5</v>
      </c>
      <c r="E71" s="3416">
        <v>99</v>
      </c>
      <c r="F71" s="3416">
        <v>98.5</v>
      </c>
      <c r="G71" s="3416">
        <v>98</v>
      </c>
      <c r="H71" s="3416">
        <v>97.5</v>
      </c>
      <c r="I71" s="935">
        <v>97</v>
      </c>
      <c r="J71" s="935">
        <v>96.5</v>
      </c>
      <c r="K71" s="935">
        <v>96</v>
      </c>
      <c r="L71" s="935">
        <v>95.5</v>
      </c>
      <c r="M71" s="3027">
        <v>95</v>
      </c>
      <c r="N71" s="935"/>
      <c r="O71" s="3028"/>
      <c r="P71" s="844"/>
    </row>
    <row r="72" spans="1:17" s="407" customFormat="1" ht="15.75" thickBot="1">
      <c r="A72" s="855" t="s">
        <v>413</v>
      </c>
      <c r="B72" s="856"/>
      <c r="C72" s="857"/>
      <c r="D72" s="858"/>
      <c r="E72" s="858"/>
      <c r="F72" s="858"/>
      <c r="G72" s="858"/>
      <c r="H72" s="858"/>
      <c r="I72" s="858"/>
      <c r="J72" s="858"/>
      <c r="K72" s="858"/>
      <c r="L72" s="858"/>
      <c r="M72" s="859"/>
      <c r="N72" s="858"/>
      <c r="O72" s="2377"/>
      <c r="P72" s="844"/>
      <c r="Q72" s="844"/>
    </row>
    <row r="73" spans="1:17" s="407" customFormat="1" ht="15">
      <c r="A73" s="861" t="s">
        <v>397</v>
      </c>
      <c r="B73" s="850"/>
      <c r="C73" s="862" t="s">
        <v>414</v>
      </c>
      <c r="D73" s="140"/>
      <c r="E73" s="140"/>
      <c r="F73" s="140"/>
      <c r="G73" s="140"/>
      <c r="H73" s="140"/>
      <c r="I73" s="140"/>
      <c r="J73" s="140"/>
      <c r="K73" s="140"/>
      <c r="L73" s="141"/>
      <c r="M73" s="1048"/>
      <c r="N73" s="2365"/>
      <c r="O73" s="2365"/>
      <c r="P73" s="866"/>
      <c r="Q73" s="844"/>
    </row>
    <row r="74" spans="1:17" s="407" customFormat="1" ht="15.75" thickBot="1">
      <c r="A74" s="861"/>
      <c r="B74" s="850"/>
      <c r="C74" s="979">
        <v>100</v>
      </c>
      <c r="D74" s="852"/>
      <c r="E74" s="852"/>
      <c r="F74" s="852"/>
      <c r="G74" s="852"/>
      <c r="H74" s="852"/>
      <c r="I74" s="852"/>
      <c r="J74" s="852"/>
      <c r="K74" s="852"/>
      <c r="L74" s="852"/>
      <c r="M74" s="854"/>
      <c r="N74" s="2365"/>
      <c r="O74" s="2365"/>
      <c r="P74" s="844"/>
      <c r="Q74" s="844"/>
    </row>
    <row r="75" spans="1:17" ht="27">
      <c r="A75" s="867" t="s">
        <v>415</v>
      </c>
      <c r="B75" s="868" t="s">
        <v>416</v>
      </c>
      <c r="C75" s="122" t="s">
        <v>3260</v>
      </c>
      <c r="D75" s="122" t="s">
        <v>3257</v>
      </c>
      <c r="E75" s="122" t="s">
        <v>3258</v>
      </c>
      <c r="F75" s="122"/>
      <c r="G75" s="122"/>
      <c r="H75" s="122"/>
      <c r="I75" s="122"/>
      <c r="J75" s="122"/>
      <c r="K75" s="123"/>
      <c r="L75" s="124"/>
      <c r="M75" s="125"/>
      <c r="N75" s="2366"/>
      <c r="O75" s="2366"/>
      <c r="P75" s="334"/>
      <c r="Q75" s="844"/>
    </row>
    <row r="76" spans="1:17" ht="15.75" thickBot="1">
      <c r="A76" s="874"/>
      <c r="B76" s="875"/>
      <c r="C76" s="3417">
        <v>102</v>
      </c>
      <c r="D76" s="3417">
        <v>101</v>
      </c>
      <c r="E76" s="876">
        <v>100</v>
      </c>
      <c r="F76" s="876"/>
      <c r="G76" s="876"/>
      <c r="H76" s="876"/>
      <c r="I76" s="876"/>
      <c r="J76" s="876"/>
      <c r="K76" s="876"/>
      <c r="L76" s="876"/>
      <c r="M76" s="877"/>
      <c r="N76" s="2367"/>
      <c r="O76" s="2367"/>
      <c r="P76" s="334"/>
      <c r="Q76" s="844"/>
    </row>
    <row r="77" spans="1:17" ht="27.75" thickTop="1">
      <c r="A77" s="874"/>
      <c r="B77" s="878" t="s">
        <v>401</v>
      </c>
      <c r="C77" s="879"/>
      <c r="D77" s="879"/>
      <c r="E77" s="879"/>
      <c r="F77" s="879"/>
      <c r="G77" s="879"/>
      <c r="H77" s="879"/>
      <c r="I77" s="879"/>
      <c r="J77" s="879"/>
      <c r="K77" s="880"/>
      <c r="L77" s="881"/>
      <c r="M77" s="882"/>
      <c r="N77" s="2366"/>
      <c r="O77" s="2366"/>
      <c r="P77" s="334"/>
      <c r="Q77" s="844"/>
    </row>
    <row r="78" spans="1:17" ht="15.75" thickBot="1">
      <c r="A78" s="874"/>
      <c r="B78" s="883"/>
      <c r="C78" s="884"/>
      <c r="D78" s="884"/>
      <c r="E78" s="884"/>
      <c r="F78" s="884"/>
      <c r="G78" s="884"/>
      <c r="H78" s="884"/>
      <c r="I78" s="884"/>
      <c r="J78" s="884"/>
      <c r="K78" s="884"/>
      <c r="L78" s="884"/>
      <c r="M78" s="885"/>
      <c r="N78" s="2367"/>
      <c r="O78" s="2367"/>
      <c r="P78" s="334"/>
      <c r="Q78" s="844"/>
    </row>
    <row r="79" spans="1:17" ht="15.75" thickTop="1">
      <c r="A79" s="874"/>
      <c r="B79" s="886" t="s">
        <v>402</v>
      </c>
      <c r="C79" s="887" t="str">
        <f>C80&amp;"（含）"&amp;"-"&amp;D80</f>
        <v>0（含）-1</v>
      </c>
      <c r="D79" s="887" t="str">
        <f t="shared" ref="D79:L79" si="20">D80&amp;"（含）"&amp;"-"&amp;E80</f>
        <v>1（含）-2</v>
      </c>
      <c r="E79" s="887" t="str">
        <f t="shared" si="20"/>
        <v>2（含）-3</v>
      </c>
      <c r="F79" s="887" t="str">
        <f t="shared" si="20"/>
        <v>3（含）-4</v>
      </c>
      <c r="G79" s="887" t="str">
        <f t="shared" si="20"/>
        <v>4（含）-5</v>
      </c>
      <c r="H79" s="887" t="str">
        <f t="shared" si="20"/>
        <v>5（含）-</v>
      </c>
      <c r="I79" s="887" t="str">
        <f t="shared" si="20"/>
        <v>（含）-</v>
      </c>
      <c r="J79" s="887" t="str">
        <f t="shared" si="20"/>
        <v>（含）-</v>
      </c>
      <c r="K79" s="887" t="str">
        <f t="shared" si="20"/>
        <v>（含）-</v>
      </c>
      <c r="L79" s="887" t="str">
        <f t="shared" si="20"/>
        <v>（含）-</v>
      </c>
      <c r="M79" s="790" t="str">
        <f>M80&amp;"（含）"&amp;"-"&amp;P80</f>
        <v>（含）-</v>
      </c>
      <c r="N79" s="2367"/>
      <c r="O79" s="2367"/>
      <c r="P79" s="334"/>
      <c r="Q79" s="844"/>
    </row>
    <row r="80" spans="1:17" ht="15">
      <c r="A80" s="874"/>
      <c r="B80" s="888"/>
      <c r="C80" s="126">
        <v>0</v>
      </c>
      <c r="D80" s="126">
        <v>1</v>
      </c>
      <c r="E80" s="126">
        <v>2</v>
      </c>
      <c r="F80" s="126">
        <v>3</v>
      </c>
      <c r="G80" s="126">
        <v>4</v>
      </c>
      <c r="H80" s="126">
        <v>5</v>
      </c>
      <c r="I80" s="889"/>
      <c r="J80" s="889"/>
      <c r="K80" s="890"/>
      <c r="L80" s="891"/>
      <c r="M80" s="892"/>
      <c r="N80" s="2366"/>
      <c r="O80" s="2366"/>
      <c r="P80" s="334"/>
      <c r="Q80" s="844"/>
    </row>
    <row r="81" spans="1:17" ht="15.75" thickBot="1">
      <c r="A81" s="874"/>
      <c r="B81" s="875"/>
      <c r="C81" s="884">
        <v>100</v>
      </c>
      <c r="D81" s="884">
        <f t="shared" ref="D81:M81" si="21">IF($B$46="单位面积地价",C81+$K11,C81-$K11)</f>
        <v>98</v>
      </c>
      <c r="E81" s="884">
        <f t="shared" si="21"/>
        <v>96</v>
      </c>
      <c r="F81" s="884">
        <f t="shared" si="21"/>
        <v>94</v>
      </c>
      <c r="G81" s="884">
        <f t="shared" si="21"/>
        <v>92</v>
      </c>
      <c r="H81" s="884">
        <f t="shared" si="21"/>
        <v>90</v>
      </c>
      <c r="I81" s="884">
        <f t="shared" si="21"/>
        <v>88</v>
      </c>
      <c r="J81" s="884">
        <f t="shared" si="21"/>
        <v>86</v>
      </c>
      <c r="K81" s="884">
        <f t="shared" si="21"/>
        <v>84</v>
      </c>
      <c r="L81" s="884">
        <f t="shared" si="21"/>
        <v>82</v>
      </c>
      <c r="M81" s="884">
        <f t="shared" si="21"/>
        <v>80</v>
      </c>
      <c r="N81" s="2367"/>
      <c r="O81" s="2367"/>
      <c r="P81" s="334"/>
      <c r="Q81" s="844"/>
    </row>
    <row r="82" spans="1:17" s="811" customFormat="1" ht="15.75" thickTop="1">
      <c r="A82" s="893"/>
      <c r="B82" s="878">
        <f>B12</f>
        <v>0</v>
      </c>
      <c r="C82" s="139"/>
      <c r="D82" s="139"/>
      <c r="E82" s="139"/>
      <c r="F82" s="139"/>
      <c r="G82" s="139"/>
      <c r="H82" s="1056"/>
      <c r="I82" s="1056"/>
      <c r="J82" s="1056"/>
      <c r="K82" s="1056"/>
      <c r="L82" s="1057"/>
      <c r="M82" s="1058"/>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0</v>
      </c>
      <c r="C84" s="139"/>
      <c r="D84" s="139"/>
      <c r="E84" s="139"/>
      <c r="F84" s="139"/>
      <c r="G84" s="139"/>
      <c r="H84" s="1056"/>
      <c r="I84" s="1056"/>
      <c r="J84" s="1056"/>
      <c r="K84" s="1056"/>
      <c r="L84" s="1057"/>
      <c r="M84" s="1058"/>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0</v>
      </c>
      <c r="C86" s="140"/>
      <c r="D86" s="140"/>
      <c r="E86" s="140"/>
      <c r="F86" s="140"/>
      <c r="G86" s="140"/>
      <c r="H86" s="1063"/>
      <c r="I86" s="1063"/>
      <c r="J86" s="1063"/>
      <c r="K86" s="1063"/>
      <c r="L86" s="1064"/>
      <c r="M86" s="1065"/>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403</v>
      </c>
      <c r="B88" s="868" t="s">
        <v>421</v>
      </c>
      <c r="C88" s="913" t="s">
        <v>422</v>
      </c>
      <c r="D88" s="913" t="s">
        <v>423</v>
      </c>
      <c r="E88" s="913" t="s">
        <v>424</v>
      </c>
      <c r="F88" s="913" t="s">
        <v>425</v>
      </c>
      <c r="G88" s="913" t="s">
        <v>426</v>
      </c>
      <c r="H88" s="869"/>
      <c r="I88" s="869"/>
      <c r="J88" s="869"/>
      <c r="K88" s="914"/>
      <c r="L88" s="915"/>
      <c r="M88" s="916"/>
      <c r="N88" s="2366"/>
      <c r="O88" s="2366"/>
      <c r="P88" s="917"/>
      <c r="Q88" s="844"/>
    </row>
    <row r="89" spans="1:17" ht="15.75" thickBot="1">
      <c r="A89" s="874"/>
      <c r="B89" s="883"/>
      <c r="C89" s="884">
        <v>100</v>
      </c>
      <c r="D89" s="884">
        <f>C89-$K15</f>
        <v>97</v>
      </c>
      <c r="E89" s="884">
        <f>D89-$K15</f>
        <v>94</v>
      </c>
      <c r="F89" s="884">
        <f>E89-$K15</f>
        <v>91</v>
      </c>
      <c r="G89" s="884">
        <f>F89-$K15</f>
        <v>88</v>
      </c>
      <c r="H89" s="884"/>
      <c r="I89" s="884"/>
      <c r="J89" s="884"/>
      <c r="K89" s="884"/>
      <c r="L89" s="884"/>
      <c r="M89" s="885"/>
      <c r="N89" s="2367"/>
      <c r="O89" s="2367"/>
      <c r="P89" s="334"/>
      <c r="Q89" s="844"/>
    </row>
    <row r="90" spans="1:17" ht="15.75" thickTop="1">
      <c r="A90" s="874"/>
      <c r="B90" s="878" t="s">
        <v>502</v>
      </c>
      <c r="C90" s="918" t="s">
        <v>422</v>
      </c>
      <c r="D90" s="918" t="s">
        <v>423</v>
      </c>
      <c r="E90" s="918" t="s">
        <v>424</v>
      </c>
      <c r="F90" s="918" t="s">
        <v>425</v>
      </c>
      <c r="G90" s="918" t="s">
        <v>426</v>
      </c>
      <c r="H90" s="879"/>
      <c r="I90" s="879"/>
      <c r="J90" s="879"/>
      <c r="K90" s="880"/>
      <c r="L90" s="881"/>
      <c r="M90" s="882"/>
      <c r="N90" s="2366"/>
      <c r="O90" s="2366"/>
      <c r="P90" s="334"/>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67"/>
      <c r="O91" s="2367"/>
      <c r="P91" s="334"/>
      <c r="Q91" s="844"/>
    </row>
    <row r="92" spans="1:17" ht="15.75" thickTop="1">
      <c r="A92" s="874"/>
      <c r="B92" s="878" t="s">
        <v>440</v>
      </c>
      <c r="C92" s="918" t="s">
        <v>422</v>
      </c>
      <c r="D92" s="918" t="s">
        <v>423</v>
      </c>
      <c r="E92" s="918" t="s">
        <v>424</v>
      </c>
      <c r="F92" s="918" t="s">
        <v>425</v>
      </c>
      <c r="G92" s="918" t="s">
        <v>426</v>
      </c>
      <c r="H92" s="879"/>
      <c r="I92" s="879"/>
      <c r="J92" s="879"/>
      <c r="K92" s="880"/>
      <c r="L92" s="881"/>
      <c r="M92" s="882"/>
      <c r="N92" s="2366"/>
      <c r="O92" s="2366"/>
      <c r="P92" s="334"/>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7"/>
      <c r="O93" s="2367"/>
      <c r="P93" s="334"/>
      <c r="Q93" s="844"/>
    </row>
    <row r="94" spans="1:17" ht="15.75" thickTop="1">
      <c r="A94" s="874"/>
      <c r="B94" s="878" t="s">
        <v>427</v>
      </c>
      <c r="C94" s="918" t="s">
        <v>422</v>
      </c>
      <c r="D94" s="918" t="s">
        <v>423</v>
      </c>
      <c r="E94" s="918" t="s">
        <v>424</v>
      </c>
      <c r="F94" s="918" t="s">
        <v>425</v>
      </c>
      <c r="G94" s="918" t="s">
        <v>426</v>
      </c>
      <c r="H94" s="879"/>
      <c r="I94" s="879"/>
      <c r="J94" s="879"/>
      <c r="K94" s="880"/>
      <c r="L94" s="881"/>
      <c r="M94" s="882"/>
      <c r="N94" s="2366"/>
      <c r="O94" s="2366"/>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4"/>
      <c r="Q95" s="844"/>
    </row>
    <row r="96" spans="1:17" s="407" customFormat="1" ht="27.75" thickTop="1">
      <c r="A96" s="919"/>
      <c r="B96" s="878" t="s">
        <v>503</v>
      </c>
      <c r="C96" s="918" t="s">
        <v>422</v>
      </c>
      <c r="D96" s="918" t="s">
        <v>423</v>
      </c>
      <c r="E96" s="918" t="s">
        <v>424</v>
      </c>
      <c r="F96" s="918" t="s">
        <v>425</v>
      </c>
      <c r="G96" s="918" t="s">
        <v>426</v>
      </c>
      <c r="H96" s="918"/>
      <c r="I96" s="918"/>
      <c r="J96" s="918"/>
      <c r="K96" s="918"/>
      <c r="L96" s="1104"/>
      <c r="M96" s="962"/>
      <c r="N96" s="2365"/>
      <c r="O96" s="2365"/>
      <c r="P96" s="334"/>
      <c r="Q96" s="844"/>
    </row>
    <row r="97" spans="1:17" s="407" customFormat="1" ht="15.75" thickBot="1">
      <c r="A97" s="919"/>
      <c r="B97" s="883"/>
      <c r="C97" s="922">
        <v>100</v>
      </c>
      <c r="D97" s="884">
        <f>C97-$K23</f>
        <v>98</v>
      </c>
      <c r="E97" s="884">
        <f>D97-$K23</f>
        <v>96</v>
      </c>
      <c r="F97" s="884">
        <f>E97-$K23</f>
        <v>94</v>
      </c>
      <c r="G97" s="884">
        <f>F97-$K23</f>
        <v>92</v>
      </c>
      <c r="H97" s="884"/>
      <c r="I97" s="884"/>
      <c r="J97" s="884"/>
      <c r="K97" s="884"/>
      <c r="L97" s="884"/>
      <c r="M97" s="885"/>
      <c r="N97" s="2367"/>
      <c r="O97" s="2367"/>
      <c r="P97" s="334"/>
      <c r="Q97" s="844"/>
    </row>
    <row r="98" spans="1:17" s="407" customFormat="1" ht="27.75" thickTop="1">
      <c r="A98" s="919"/>
      <c r="B98" s="878" t="s">
        <v>504</v>
      </c>
      <c r="C98" s="913" t="s">
        <v>422</v>
      </c>
      <c r="D98" s="913" t="s">
        <v>423</v>
      </c>
      <c r="E98" s="913" t="s">
        <v>424</v>
      </c>
      <c r="F98" s="913" t="s">
        <v>425</v>
      </c>
      <c r="G98" s="913" t="s">
        <v>426</v>
      </c>
      <c r="H98" s="918"/>
      <c r="I98" s="918"/>
      <c r="J98" s="918"/>
      <c r="K98" s="918"/>
      <c r="L98" s="918"/>
      <c r="M98" s="962"/>
      <c r="N98" s="2365"/>
      <c r="O98" s="2365"/>
      <c r="P98" s="334"/>
      <c r="Q98" s="844"/>
    </row>
    <row r="99" spans="1:17" s="407" customFormat="1" ht="15.75" thickBot="1">
      <c r="A99" s="919"/>
      <c r="B99" s="883"/>
      <c r="C99" s="884">
        <v>100</v>
      </c>
      <c r="D99" s="884">
        <f>C99-$K25</f>
        <v>95</v>
      </c>
      <c r="E99" s="884">
        <f>D99-$K25</f>
        <v>90</v>
      </c>
      <c r="F99" s="884">
        <f>E99-$K25</f>
        <v>85</v>
      </c>
      <c r="G99" s="884">
        <f>F99-$K25</f>
        <v>80</v>
      </c>
      <c r="H99" s="884"/>
      <c r="I99" s="884"/>
      <c r="J99" s="884"/>
      <c r="K99" s="884"/>
      <c r="L99" s="884"/>
      <c r="M99" s="885"/>
      <c r="N99" s="2367"/>
      <c r="O99" s="2367"/>
      <c r="P99" s="334"/>
      <c r="Q99" s="844"/>
    </row>
    <row r="100" spans="1:17" s="811" customFormat="1" ht="15.75" thickTop="1">
      <c r="A100" s="893"/>
      <c r="B100" s="1051" t="s">
        <v>2664</v>
      </c>
      <c r="C100" s="913" t="s">
        <v>422</v>
      </c>
      <c r="D100" s="913" t="s">
        <v>423</v>
      </c>
      <c r="E100" s="913" t="s">
        <v>424</v>
      </c>
      <c r="F100" s="913" t="s">
        <v>425</v>
      </c>
      <c r="G100" s="913" t="s">
        <v>426</v>
      </c>
      <c r="H100" s="940"/>
      <c r="I100" s="940"/>
      <c r="J100" s="940"/>
      <c r="K100" s="940"/>
      <c r="L100" s="941"/>
      <c r="M100" s="942"/>
      <c r="N100" s="2368"/>
      <c r="O100" s="2368"/>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8"/>
      <c r="O101" s="2368"/>
      <c r="P101" s="898"/>
      <c r="Q101" s="899"/>
    </row>
    <row r="102" spans="1:17" s="811" customFormat="1" ht="15.75" thickTop="1">
      <c r="A102" s="893"/>
      <c r="B102" s="1053" t="s">
        <v>2651</v>
      </c>
      <c r="C102" s="213" t="s">
        <v>2652</v>
      </c>
      <c r="D102" s="213" t="s">
        <v>2653</v>
      </c>
      <c r="E102" s="213" t="s">
        <v>2654</v>
      </c>
      <c r="F102" s="213" t="s">
        <v>2655</v>
      </c>
      <c r="G102" s="213" t="s">
        <v>2656</v>
      </c>
      <c r="H102" s="940"/>
      <c r="I102" s="940"/>
      <c r="J102" s="940"/>
      <c r="K102" s="940"/>
      <c r="L102" s="940"/>
      <c r="M102" s="2766"/>
      <c r="N102" s="2368"/>
      <c r="O102" s="2368"/>
      <c r="P102" s="898"/>
      <c r="Q102" s="899"/>
    </row>
    <row r="103" spans="1:17" s="811" customFormat="1" ht="15.75" thickBot="1">
      <c r="A103" s="893"/>
      <c r="B103" s="1053"/>
      <c r="C103" s="884">
        <v>100</v>
      </c>
      <c r="D103" s="884">
        <f>C103-$K29</f>
        <v>99</v>
      </c>
      <c r="E103" s="884">
        <f>D103-$K29</f>
        <v>98</v>
      </c>
      <c r="F103" s="884">
        <f>E103-$K29</f>
        <v>97</v>
      </c>
      <c r="G103" s="884">
        <f>F103-$K29</f>
        <v>96</v>
      </c>
      <c r="H103" s="888"/>
      <c r="I103" s="888"/>
      <c r="J103" s="888"/>
      <c r="K103" s="888"/>
      <c r="L103" s="888"/>
      <c r="M103" s="2766"/>
      <c r="N103" s="2368"/>
      <c r="O103" s="2368"/>
      <c r="P103" s="898"/>
      <c r="Q103" s="899"/>
    </row>
    <row r="104" spans="1:17" ht="15.75" thickTop="1">
      <c r="A104" s="874"/>
      <c r="B104" s="1051" t="str">
        <f>B31</f>
        <v>临街状况</v>
      </c>
      <c r="C104" s="879" t="s">
        <v>505</v>
      </c>
      <c r="D104" s="879" t="s">
        <v>506</v>
      </c>
      <c r="E104" s="879" t="s">
        <v>507</v>
      </c>
      <c r="F104" s="879" t="s">
        <v>508</v>
      </c>
      <c r="G104" s="879"/>
      <c r="H104" s="879"/>
      <c r="I104" s="879"/>
      <c r="J104" s="879"/>
      <c r="K104" s="880"/>
      <c r="L104" s="881"/>
      <c r="M104" s="882"/>
      <c r="N104" s="2366"/>
      <c r="O104" s="2366"/>
      <c r="P104" s="334"/>
      <c r="Q104" s="844"/>
    </row>
    <row r="105" spans="1:17" ht="15.75" thickBot="1">
      <c r="A105" s="874"/>
      <c r="B105" s="883"/>
      <c r="C105" s="884">
        <v>100</v>
      </c>
      <c r="D105" s="884">
        <f>C105-$K31</f>
        <v>98</v>
      </c>
      <c r="E105" s="884">
        <f t="shared" ref="E105:M105" si="22">D105-$K31</f>
        <v>96</v>
      </c>
      <c r="F105" s="884">
        <f t="shared" si="22"/>
        <v>94</v>
      </c>
      <c r="G105" s="884">
        <f t="shared" si="22"/>
        <v>92</v>
      </c>
      <c r="H105" s="884">
        <f t="shared" si="22"/>
        <v>90</v>
      </c>
      <c r="I105" s="884">
        <f t="shared" si="22"/>
        <v>88</v>
      </c>
      <c r="J105" s="884">
        <f t="shared" si="22"/>
        <v>86</v>
      </c>
      <c r="K105" s="884">
        <f t="shared" si="22"/>
        <v>84</v>
      </c>
      <c r="L105" s="884">
        <f t="shared" si="22"/>
        <v>82</v>
      </c>
      <c r="M105" s="884">
        <f t="shared" si="22"/>
        <v>80</v>
      </c>
      <c r="N105" s="2367"/>
      <c r="O105" s="2367"/>
      <c r="P105" s="334"/>
      <c r="Q105" s="844"/>
    </row>
    <row r="106" spans="1:17" ht="27.75" thickTop="1">
      <c r="A106" s="874"/>
      <c r="B106" s="878" t="s">
        <v>439</v>
      </c>
      <c r="C106" s="139" t="s">
        <v>3261</v>
      </c>
      <c r="D106" s="139" t="s">
        <v>3262</v>
      </c>
      <c r="E106" s="139" t="s">
        <v>3263</v>
      </c>
      <c r="F106" s="139" t="s">
        <v>3264</v>
      </c>
      <c r="G106" s="139" t="s">
        <v>3265</v>
      </c>
      <c r="H106" s="131"/>
      <c r="I106" s="131"/>
      <c r="J106" s="131"/>
      <c r="K106" s="132"/>
      <c r="L106" s="133"/>
      <c r="M106" s="134"/>
      <c r="N106" s="2366"/>
      <c r="O106" s="2366"/>
      <c r="P106" s="334"/>
      <c r="Q106" s="844"/>
    </row>
    <row r="107" spans="1:17" ht="15.75" thickBot="1">
      <c r="A107" s="874"/>
      <c r="B107" s="883"/>
      <c r="C107" s="884">
        <v>100</v>
      </c>
      <c r="D107" s="884">
        <f>C107-$K32</f>
        <v>99</v>
      </c>
      <c r="E107" s="884">
        <f t="shared" ref="E107:M107" si="23">D107-$K32</f>
        <v>98</v>
      </c>
      <c r="F107" s="884">
        <f t="shared" si="23"/>
        <v>97</v>
      </c>
      <c r="G107" s="884">
        <f t="shared" si="23"/>
        <v>96</v>
      </c>
      <c r="H107" s="884">
        <f t="shared" si="23"/>
        <v>95</v>
      </c>
      <c r="I107" s="884">
        <f t="shared" si="23"/>
        <v>94</v>
      </c>
      <c r="J107" s="884">
        <f t="shared" si="23"/>
        <v>93</v>
      </c>
      <c r="K107" s="884">
        <f t="shared" si="23"/>
        <v>92</v>
      </c>
      <c r="L107" s="884">
        <f t="shared" si="23"/>
        <v>91</v>
      </c>
      <c r="M107" s="884">
        <f t="shared" si="23"/>
        <v>90</v>
      </c>
      <c r="N107" s="2367"/>
      <c r="O107" s="2367"/>
      <c r="P107" s="334"/>
      <c r="Q107" s="844"/>
    </row>
    <row r="108" spans="1:17" ht="15.75" thickTop="1">
      <c r="A108" s="874"/>
      <c r="B108" s="878" t="s">
        <v>482</v>
      </c>
      <c r="C108" s="131"/>
      <c r="D108" s="131"/>
      <c r="E108" s="131"/>
      <c r="F108" s="131"/>
      <c r="G108" s="131"/>
      <c r="H108" s="131"/>
      <c r="I108" s="131"/>
      <c r="J108" s="131"/>
      <c r="K108" s="132"/>
      <c r="L108" s="133"/>
      <c r="M108" s="134"/>
      <c r="N108" s="2366"/>
      <c r="O108" s="2366"/>
      <c r="P108" s="334"/>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7"/>
      <c r="O109" s="2367"/>
      <c r="P109" s="334"/>
      <c r="Q109" s="844"/>
    </row>
    <row r="110" spans="1:17" ht="15.75" thickTop="1">
      <c r="A110" s="874"/>
      <c r="B110" s="886">
        <f>B35</f>
        <v>0</v>
      </c>
      <c r="C110" s="139"/>
      <c r="D110" s="139"/>
      <c r="E110" s="139"/>
      <c r="F110" s="139"/>
      <c r="G110" s="135"/>
      <c r="H110" s="135"/>
      <c r="I110" s="135"/>
      <c r="J110" s="135"/>
      <c r="K110" s="136"/>
      <c r="L110" s="137"/>
      <c r="M110" s="138"/>
      <c r="N110" s="2366"/>
      <c r="O110" s="2366"/>
      <c r="P110" s="334"/>
      <c r="Q110" s="844"/>
    </row>
    <row r="111" spans="1:17" ht="15.75" thickBot="1">
      <c r="A111" s="874"/>
      <c r="B111" s="909"/>
      <c r="C111" s="900"/>
      <c r="D111" s="900"/>
      <c r="E111" s="900"/>
      <c r="F111" s="900"/>
      <c r="G111" s="931"/>
      <c r="H111" s="931"/>
      <c r="I111" s="931"/>
      <c r="J111" s="931"/>
      <c r="K111" s="931"/>
      <c r="L111" s="931"/>
      <c r="M111" s="932"/>
      <c r="N111" s="2367"/>
      <c r="O111" s="2367"/>
      <c r="P111" s="334"/>
      <c r="Q111" s="844"/>
    </row>
    <row r="112" spans="1:17" ht="15" thickTop="1">
      <c r="A112" s="1081"/>
      <c r="B112" s="878">
        <f>B36</f>
        <v>0</v>
      </c>
      <c r="C112" s="140"/>
      <c r="D112" s="140"/>
      <c r="E112" s="140"/>
      <c r="F112" s="140"/>
      <c r="G112" s="131"/>
      <c r="H112" s="131"/>
      <c r="I112" s="131"/>
      <c r="J112" s="131"/>
      <c r="K112" s="132"/>
      <c r="L112" s="133"/>
      <c r="M112" s="134"/>
      <c r="N112" s="2366"/>
      <c r="O112" s="2366"/>
      <c r="P112" s="334"/>
      <c r="Q112" s="844"/>
    </row>
    <row r="113" spans="1:17" ht="15.75" thickBot="1">
      <c r="A113" s="874"/>
      <c r="B113" s="883"/>
      <c r="C113" s="910"/>
      <c r="D113" s="910"/>
      <c r="E113" s="910"/>
      <c r="F113" s="910"/>
      <c r="G113" s="876"/>
      <c r="H113" s="876"/>
      <c r="I113" s="876"/>
      <c r="J113" s="876"/>
      <c r="K113" s="876"/>
      <c r="L113" s="876"/>
      <c r="M113" s="877"/>
      <c r="N113" s="2367"/>
      <c r="O113" s="2367"/>
      <c r="P113" s="334"/>
      <c r="Q113" s="844"/>
    </row>
    <row r="114" spans="1:17" s="811" customFormat="1" ht="15" thickTop="1">
      <c r="A114" s="933"/>
      <c r="B114" s="934">
        <f>B37</f>
        <v>0</v>
      </c>
      <c r="C114" s="1072"/>
      <c r="D114" s="1072"/>
      <c r="E114" s="1072"/>
      <c r="F114" s="1072"/>
      <c r="G114" s="1072"/>
      <c r="H114" s="1072"/>
      <c r="I114" s="1072"/>
      <c r="J114" s="1073"/>
      <c r="K114" s="1073"/>
      <c r="L114" s="1074"/>
      <c r="M114" s="1075"/>
      <c r="N114" s="2368"/>
      <c r="O114" s="2368"/>
      <c r="P114" s="898"/>
      <c r="Q114" s="899"/>
    </row>
    <row r="115" spans="1:17" s="811" customFormat="1" ht="15.75" thickBot="1">
      <c r="A115" s="893"/>
      <c r="B115" s="886"/>
      <c r="C115" s="852"/>
      <c r="D115" s="1083"/>
      <c r="E115" s="1083"/>
      <c r="F115" s="1083"/>
      <c r="G115" s="1083"/>
      <c r="H115" s="1083"/>
      <c r="I115" s="1083"/>
      <c r="J115" s="1083"/>
      <c r="K115" s="1083"/>
      <c r="L115" s="1083"/>
      <c r="M115" s="1105"/>
      <c r="N115" s="2367"/>
      <c r="O115" s="2367"/>
      <c r="P115" s="898"/>
      <c r="Q115" s="899"/>
    </row>
    <row r="116" spans="1:17" ht="27">
      <c r="A116" s="867" t="s">
        <v>405</v>
      </c>
      <c r="B116" s="868" t="s">
        <v>509</v>
      </c>
      <c r="C116" s="122" t="str">
        <f t="shared" ref="C116:F116" si="25">C117&amp;"(含)"&amp;"-"&amp;D117</f>
        <v>0(含)-30000</v>
      </c>
      <c r="D116" s="122" t="str">
        <f t="shared" si="25"/>
        <v>30000(含)-60000</v>
      </c>
      <c r="E116" s="122" t="str">
        <f t="shared" si="25"/>
        <v>60000(含)-90000</v>
      </c>
      <c r="F116" s="122" t="str">
        <f t="shared" si="25"/>
        <v>90000(含)-</v>
      </c>
      <c r="G116" s="870"/>
      <c r="H116" s="870"/>
      <c r="I116" s="870"/>
      <c r="J116" s="870"/>
      <c r="K116" s="871"/>
      <c r="L116" s="872"/>
      <c r="M116" s="873"/>
      <c r="N116" s="2366"/>
      <c r="O116" s="2366"/>
      <c r="P116" s="334"/>
      <c r="Q116" s="844"/>
    </row>
    <row r="117" spans="1:17" ht="15">
      <c r="A117" s="874"/>
      <c r="B117" s="886"/>
      <c r="C117" s="1072">
        <v>0</v>
      </c>
      <c r="D117" s="1072">
        <v>30000</v>
      </c>
      <c r="E117" s="1072">
        <v>60000</v>
      </c>
      <c r="F117" s="1072">
        <v>90000</v>
      </c>
      <c r="G117" s="935"/>
      <c r="H117" s="935"/>
      <c r="I117" s="935"/>
      <c r="J117" s="936"/>
      <c r="K117" s="936"/>
      <c r="L117" s="937"/>
      <c r="M117" s="938"/>
      <c r="N117" s="2366"/>
      <c r="O117" s="2366"/>
      <c r="P117" s="334"/>
      <c r="Q117" s="844"/>
    </row>
    <row r="118" spans="1:17" ht="15.75" thickBot="1">
      <c r="A118" s="874"/>
      <c r="B118" s="883"/>
      <c r="C118" s="3418">
        <v>97</v>
      </c>
      <c r="D118" s="3419">
        <v>100</v>
      </c>
      <c r="E118" s="3419">
        <v>97</v>
      </c>
      <c r="F118" s="3419">
        <v>94</v>
      </c>
      <c r="G118" s="931"/>
      <c r="H118" s="931"/>
      <c r="I118" s="931"/>
      <c r="J118" s="931"/>
      <c r="K118" s="931"/>
      <c r="L118" s="931"/>
      <c r="M118" s="932"/>
      <c r="N118" s="2367"/>
      <c r="O118" s="2367"/>
      <c r="P118" s="334"/>
      <c r="Q118" s="844"/>
    </row>
    <row r="119" spans="1:17" ht="15" thickTop="1">
      <c r="A119" s="939"/>
      <c r="B119" s="878" t="s">
        <v>510</v>
      </c>
      <c r="C119" s="131" t="s">
        <v>3266</v>
      </c>
      <c r="D119" s="131" t="s">
        <v>3267</v>
      </c>
      <c r="E119" s="131" t="s">
        <v>3268</v>
      </c>
      <c r="F119" s="131" t="s">
        <v>3269</v>
      </c>
      <c r="G119" s="131"/>
      <c r="H119" s="131"/>
      <c r="I119" s="131"/>
      <c r="J119" s="131"/>
      <c r="K119" s="132"/>
      <c r="L119" s="133"/>
      <c r="M119" s="134"/>
      <c r="N119" s="2366"/>
      <c r="O119" s="2366"/>
      <c r="P119" s="334"/>
      <c r="Q119" s="844"/>
    </row>
    <row r="120" spans="1:17" ht="15.75" thickBot="1">
      <c r="A120" s="874"/>
      <c r="B120" s="883"/>
      <c r="C120" s="884">
        <v>100</v>
      </c>
      <c r="D120" s="884">
        <f t="shared" ref="D120:M120" si="26">C120-$K39</f>
        <v>98</v>
      </c>
      <c r="E120" s="884">
        <f t="shared" si="26"/>
        <v>96</v>
      </c>
      <c r="F120" s="884">
        <f t="shared" si="26"/>
        <v>94</v>
      </c>
      <c r="G120" s="884">
        <f t="shared" si="26"/>
        <v>92</v>
      </c>
      <c r="H120" s="884">
        <f t="shared" si="26"/>
        <v>90</v>
      </c>
      <c r="I120" s="884">
        <f t="shared" si="26"/>
        <v>88</v>
      </c>
      <c r="J120" s="884">
        <f t="shared" si="26"/>
        <v>86</v>
      </c>
      <c r="K120" s="884">
        <f t="shared" si="26"/>
        <v>84</v>
      </c>
      <c r="L120" s="884">
        <f t="shared" si="26"/>
        <v>82</v>
      </c>
      <c r="M120" s="885">
        <f t="shared" si="26"/>
        <v>80</v>
      </c>
      <c r="N120" s="2367"/>
      <c r="O120" s="2367"/>
      <c r="P120" s="334"/>
      <c r="Q120" s="844"/>
    </row>
    <row r="121" spans="1:17" ht="15" thickTop="1">
      <c r="A121" s="939"/>
      <c r="B121" s="878" t="s">
        <v>511</v>
      </c>
      <c r="C121" s="139" t="s">
        <v>3270</v>
      </c>
      <c r="D121" s="139" t="s">
        <v>3271</v>
      </c>
      <c r="E121" s="139" t="s">
        <v>3272</v>
      </c>
      <c r="F121" s="131"/>
      <c r="G121" s="131"/>
      <c r="H121" s="131"/>
      <c r="I121" s="131"/>
      <c r="J121" s="131"/>
      <c r="K121" s="132"/>
      <c r="L121" s="133"/>
      <c r="M121" s="134"/>
      <c r="N121" s="2366"/>
      <c r="O121" s="2366"/>
      <c r="P121" s="334"/>
      <c r="Q121" s="844"/>
    </row>
    <row r="122" spans="1:17" ht="15.75" thickBot="1">
      <c r="A122" s="874"/>
      <c r="B122" s="883"/>
      <c r="C122" s="884">
        <v>100</v>
      </c>
      <c r="D122" s="884">
        <f t="shared" ref="D122:M122" si="27">C122-$K40</f>
        <v>99</v>
      </c>
      <c r="E122" s="884">
        <f t="shared" si="27"/>
        <v>98</v>
      </c>
      <c r="F122" s="884">
        <f t="shared" si="27"/>
        <v>97</v>
      </c>
      <c r="G122" s="884">
        <f t="shared" si="27"/>
        <v>96</v>
      </c>
      <c r="H122" s="884">
        <f t="shared" si="27"/>
        <v>95</v>
      </c>
      <c r="I122" s="884">
        <f t="shared" si="27"/>
        <v>94</v>
      </c>
      <c r="J122" s="884">
        <f t="shared" si="27"/>
        <v>93</v>
      </c>
      <c r="K122" s="884">
        <f t="shared" si="27"/>
        <v>92</v>
      </c>
      <c r="L122" s="884">
        <f t="shared" si="27"/>
        <v>91</v>
      </c>
      <c r="M122" s="885">
        <f t="shared" si="27"/>
        <v>90</v>
      </c>
      <c r="N122" s="2367"/>
      <c r="O122" s="2367"/>
      <c r="P122" s="334"/>
      <c r="Q122" s="844"/>
    </row>
    <row r="123" spans="1:17" s="811" customFormat="1" ht="15" thickTop="1">
      <c r="A123" s="933"/>
      <c r="B123" s="1051" t="s">
        <v>2495</v>
      </c>
      <c r="C123" s="139" t="s">
        <v>3273</v>
      </c>
      <c r="D123" s="139" t="s">
        <v>3274</v>
      </c>
      <c r="E123" s="139" t="s">
        <v>3275</v>
      </c>
      <c r="F123" s="139" t="s">
        <v>3276</v>
      </c>
      <c r="G123" s="139" t="s">
        <v>3277</v>
      </c>
      <c r="H123" s="131"/>
      <c r="I123" s="131"/>
      <c r="J123" s="131"/>
      <c r="K123" s="132"/>
      <c r="L123" s="133"/>
      <c r="M123" s="134"/>
      <c r="N123" s="2368"/>
      <c r="O123" s="2368"/>
      <c r="P123" s="898"/>
      <c r="Q123" s="899"/>
    </row>
    <row r="124" spans="1:17" s="811" customFormat="1" ht="15.75" thickBot="1">
      <c r="A124" s="893"/>
      <c r="B124" s="883"/>
      <c r="C124" s="884">
        <v>100</v>
      </c>
      <c r="D124" s="884">
        <f>C124-$K41</f>
        <v>99.5</v>
      </c>
      <c r="E124" s="884">
        <f t="shared" ref="E124:M124" si="28">D124-$K41</f>
        <v>99</v>
      </c>
      <c r="F124" s="884">
        <f t="shared" si="28"/>
        <v>98.5</v>
      </c>
      <c r="G124" s="884">
        <f t="shared" si="28"/>
        <v>98</v>
      </c>
      <c r="H124" s="884">
        <f t="shared" si="28"/>
        <v>97.5</v>
      </c>
      <c r="I124" s="884">
        <f t="shared" si="28"/>
        <v>97</v>
      </c>
      <c r="J124" s="884">
        <f t="shared" si="28"/>
        <v>96.5</v>
      </c>
      <c r="K124" s="884">
        <f t="shared" si="28"/>
        <v>96</v>
      </c>
      <c r="L124" s="884">
        <f t="shared" si="28"/>
        <v>95.5</v>
      </c>
      <c r="M124" s="885">
        <f t="shared" si="28"/>
        <v>95</v>
      </c>
      <c r="N124" s="2368"/>
      <c r="O124" s="2368"/>
      <c r="P124" s="898"/>
      <c r="Q124" s="899"/>
    </row>
    <row r="125" spans="1:17" ht="15" thickTop="1">
      <c r="A125" s="939"/>
      <c r="B125" s="878" t="s">
        <v>512</v>
      </c>
      <c r="C125" s="139" t="s">
        <v>3278</v>
      </c>
      <c r="D125" s="139" t="s">
        <v>3279</v>
      </c>
      <c r="E125" s="131" t="s">
        <v>3280</v>
      </c>
      <c r="F125" s="131" t="s">
        <v>3281</v>
      </c>
      <c r="G125" s="131" t="s">
        <v>3282</v>
      </c>
      <c r="H125" s="131"/>
      <c r="I125" s="131"/>
      <c r="J125" s="131"/>
      <c r="K125" s="132"/>
      <c r="L125" s="133"/>
      <c r="M125" s="134"/>
      <c r="N125" s="2366"/>
      <c r="O125" s="2366"/>
      <c r="P125" s="334"/>
      <c r="Q125" s="844"/>
    </row>
    <row r="126" spans="1:17" ht="15.75" thickBot="1">
      <c r="A126" s="874"/>
      <c r="B126" s="883"/>
      <c r="C126" s="884">
        <v>100</v>
      </c>
      <c r="D126" s="884">
        <f t="shared" ref="D126:M126" si="29">C126-$K42</f>
        <v>99</v>
      </c>
      <c r="E126" s="884">
        <f t="shared" si="29"/>
        <v>98</v>
      </c>
      <c r="F126" s="884">
        <f t="shared" si="29"/>
        <v>97</v>
      </c>
      <c r="G126" s="884">
        <f t="shared" si="29"/>
        <v>96</v>
      </c>
      <c r="H126" s="884">
        <f t="shared" si="29"/>
        <v>95</v>
      </c>
      <c r="I126" s="884">
        <f t="shared" si="29"/>
        <v>94</v>
      </c>
      <c r="J126" s="884">
        <f t="shared" si="29"/>
        <v>93</v>
      </c>
      <c r="K126" s="884">
        <f t="shared" si="29"/>
        <v>92</v>
      </c>
      <c r="L126" s="884">
        <f t="shared" si="29"/>
        <v>91</v>
      </c>
      <c r="M126" s="885">
        <f t="shared" si="29"/>
        <v>90</v>
      </c>
      <c r="N126" s="2367"/>
      <c r="O126" s="2367"/>
      <c r="P126" s="334"/>
      <c r="Q126" s="844"/>
    </row>
    <row r="127" spans="1:17" ht="15" thickTop="1">
      <c r="A127" s="939"/>
      <c r="B127" s="878">
        <f>B43</f>
        <v>0</v>
      </c>
      <c r="C127" s="139"/>
      <c r="D127" s="139"/>
      <c r="E127" s="139"/>
      <c r="F127" s="139"/>
      <c r="G127" s="139"/>
      <c r="H127" s="131"/>
      <c r="I127" s="131"/>
      <c r="J127" s="131"/>
      <c r="K127" s="132"/>
      <c r="L127" s="133"/>
      <c r="M127" s="134"/>
      <c r="N127" s="2366"/>
      <c r="O127" s="2366"/>
      <c r="P127" s="334"/>
      <c r="Q127" s="844"/>
    </row>
    <row r="128" spans="1:17" ht="15.75" thickBot="1">
      <c r="A128" s="874"/>
      <c r="B128" s="883"/>
      <c r="C128" s="900"/>
      <c r="D128" s="900"/>
      <c r="E128" s="900"/>
      <c r="F128" s="900"/>
      <c r="G128" s="876"/>
      <c r="H128" s="876"/>
      <c r="I128" s="876"/>
      <c r="J128" s="876"/>
      <c r="K128" s="876"/>
      <c r="L128" s="876"/>
      <c r="M128" s="877"/>
      <c r="N128" s="2367"/>
      <c r="O128" s="2367"/>
      <c r="P128" s="334"/>
      <c r="Q128" s="844"/>
    </row>
    <row r="129" spans="1:17" ht="15" thickTop="1">
      <c r="A129" s="939"/>
      <c r="B129" s="878">
        <f>B44</f>
        <v>0</v>
      </c>
      <c r="C129" s="140"/>
      <c r="D129" s="140"/>
      <c r="E129" s="140"/>
      <c r="F129" s="140"/>
      <c r="G129" s="131"/>
      <c r="H129" s="131"/>
      <c r="I129" s="131"/>
      <c r="J129" s="131"/>
      <c r="K129" s="132"/>
      <c r="L129" s="133"/>
      <c r="M129" s="134"/>
      <c r="N129" s="2366"/>
      <c r="O129" s="2366"/>
      <c r="P129" s="334"/>
      <c r="Q129" s="844"/>
    </row>
    <row r="130" spans="1:17" ht="15.75" thickBot="1">
      <c r="A130" s="874"/>
      <c r="B130" s="883"/>
      <c r="C130" s="910"/>
      <c r="D130" s="910"/>
      <c r="E130" s="910"/>
      <c r="F130" s="910"/>
      <c r="G130" s="876"/>
      <c r="H130" s="876"/>
      <c r="I130" s="876"/>
      <c r="J130" s="876"/>
      <c r="K130" s="876"/>
      <c r="L130" s="876"/>
      <c r="M130" s="877"/>
      <c r="N130" s="2367"/>
      <c r="O130" s="2367"/>
      <c r="P130" s="334"/>
      <c r="Q130" s="844"/>
    </row>
    <row r="131" spans="1:17" s="811" customFormat="1" ht="15" thickTop="1">
      <c r="A131" s="933"/>
      <c r="B131" s="878">
        <f>B45</f>
        <v>0</v>
      </c>
      <c r="C131" s="140"/>
      <c r="D131" s="140"/>
      <c r="E131" s="140"/>
      <c r="F131" s="140"/>
      <c r="G131" s="1056"/>
      <c r="H131" s="1056"/>
      <c r="I131" s="1056"/>
      <c r="J131" s="1056"/>
      <c r="K131" s="1056"/>
      <c r="L131" s="1057"/>
      <c r="M131" s="1058"/>
      <c r="N131" s="2368"/>
      <c r="O131" s="2368"/>
      <c r="P131" s="898"/>
      <c r="Q131" s="899"/>
    </row>
    <row r="132" spans="1:17" s="811" customFormat="1" ht="15.75" thickBot="1">
      <c r="A132" s="908"/>
      <c r="B132" s="1106"/>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4" sqref="G24"/>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812</v>
      </c>
      <c r="B1" s="2748"/>
      <c r="C1" s="574"/>
      <c r="D1" s="574"/>
      <c r="E1" s="574"/>
      <c r="F1" s="574"/>
      <c r="G1" s="2749">
        <f>MATCH(B1,'数据-取费表'!A6:A16,0)+5</f>
        <v>10</v>
      </c>
    </row>
    <row r="2" spans="1:9" s="576" customFormat="1" ht="18" customHeight="1">
      <c r="A2" s="577" t="s">
        <v>443</v>
      </c>
      <c r="B2" s="578">
        <f ca="1">IF(D2="——",C52,C52-E2)</f>
        <v>140490</v>
      </c>
      <c r="C2" s="85" t="s">
        <v>862</v>
      </c>
      <c r="D2" s="2866" t="s">
        <v>528</v>
      </c>
      <c r="E2" s="2864" t="e">
        <f ca="1">SUMIF(INDIRECT("'"&amp;G2&amp;"'"&amp;"!A:A"),"承租人权益价值",INDIRECT("'"&amp;G2&amp;"'"&amp;"!c:c"))</f>
        <v>#REF!</v>
      </c>
      <c r="F2" s="2862" t="s">
        <v>862</v>
      </c>
      <c r="G2" s="2865"/>
    </row>
    <row r="3" spans="1:9" s="576" customFormat="1" ht="18" customHeight="1" thickBot="1">
      <c r="A3" s="579" t="s">
        <v>444</v>
      </c>
      <c r="B3" s="580">
        <f ca="1">ROUND(B2*10000/(IF(B1="",'数据-汇总表'!E3,INDIRECT("'数据-取费表'!k"&amp;$G$1))),0)</f>
        <v>25545</v>
      </c>
      <c r="C3" s="85" t="s">
        <v>863</v>
      </c>
      <c r="D3" s="575"/>
      <c r="E3" s="575"/>
      <c r="F3" s="575"/>
      <c r="G3" s="575"/>
    </row>
    <row r="4" spans="1:9" s="584" customFormat="1" ht="15.75">
      <c r="A4" s="581" t="s">
        <v>815</v>
      </c>
      <c r="B4" s="582"/>
      <c r="C4" s="582"/>
      <c r="D4" s="582"/>
      <c r="E4" s="582"/>
      <c r="F4" s="582"/>
      <c r="G4" s="583"/>
    </row>
    <row r="5" spans="1:9" s="590" customFormat="1" ht="13.5" customHeight="1">
      <c r="A5" s="631" t="s">
        <v>2502</v>
      </c>
      <c r="B5" s="586" t="s">
        <v>816</v>
      </c>
      <c r="C5" s="587">
        <f>C6+C7+C8</f>
        <v>99287</v>
      </c>
      <c r="D5" s="587" t="s">
        <v>817</v>
      </c>
      <c r="E5" s="588" t="s">
        <v>818</v>
      </c>
      <c r="F5" s="588" t="s">
        <v>819</v>
      </c>
      <c r="G5" s="589"/>
    </row>
    <row r="6" spans="1:9" s="590" customFormat="1" ht="13.5" customHeight="1">
      <c r="A6" s="1800" t="s">
        <v>1915</v>
      </c>
      <c r="B6" s="591" t="s">
        <v>820</v>
      </c>
      <c r="C6" s="592">
        <f>'土地比较法-住宅、综合'!F66</f>
        <v>95659</v>
      </c>
      <c r="D6" s="593"/>
      <c r="E6" s="594"/>
      <c r="F6" s="594"/>
      <c r="G6" s="595"/>
    </row>
    <row r="7" spans="1:9" s="590" customFormat="1" ht="13.5" customHeight="1">
      <c r="A7" s="1800" t="s">
        <v>1916</v>
      </c>
      <c r="B7" s="591" t="s">
        <v>344</v>
      </c>
      <c r="C7" s="596">
        <f>ROUND(C6*F7,0)</f>
        <v>2918</v>
      </c>
      <c r="D7" s="596"/>
      <c r="E7" s="594"/>
      <c r="F7" s="597">
        <f>'数据-取费表'!B48+'数据-取费表'!B49</f>
        <v>3.0499999999999999E-2</v>
      </c>
      <c r="G7" s="595"/>
    </row>
    <row r="8" spans="1:9" s="599" customFormat="1">
      <c r="A8" s="1800" t="s">
        <v>1917</v>
      </c>
      <c r="B8" s="591" t="s">
        <v>821</v>
      </c>
      <c r="C8" s="596">
        <f>IF(G8="已包含在土地购买价格中","0",IF(B1="",'数据-取费表'!B29,IF(G9="全部缴纳",C9+C10,H9)))</f>
        <v>710</v>
      </c>
      <c r="D8" s="598"/>
      <c r="E8" s="596"/>
      <c r="F8" s="597"/>
      <c r="G8" s="84" t="s">
        <v>3318</v>
      </c>
    </row>
    <row r="9" spans="1:9" s="590" customFormat="1" ht="13.5" customHeight="1">
      <c r="A9" s="1801" t="s">
        <v>1924</v>
      </c>
      <c r="B9" s="600" t="s">
        <v>822</v>
      </c>
      <c r="C9" s="601">
        <f ca="1">ROUND(D9*E9/10000,0)</f>
        <v>510</v>
      </c>
      <c r="D9" s="1905">
        <f ca="1">IF(B1="",'数据-汇总表'!E5,IF(INDIRECT("'数据-取费表'!c"&amp;$G$1)="住宅",INDIRECT("'数据-取费表'!k"&amp;$G$1),0))</f>
        <v>42524.060000000005</v>
      </c>
      <c r="E9" s="601">
        <f>'数据-取费表'!B27</f>
        <v>120</v>
      </c>
      <c r="F9" s="597"/>
      <c r="G9" s="2796"/>
      <c r="H9" s="2797"/>
      <c r="I9" s="2798" t="s">
        <v>2683</v>
      </c>
    </row>
    <row r="10" spans="1:9" s="590" customFormat="1" ht="13.5" customHeight="1">
      <c r="A10" s="1801" t="s">
        <v>1925</v>
      </c>
      <c r="B10" s="600" t="s">
        <v>823</v>
      </c>
      <c r="C10" s="601">
        <f ca="1">ROUND(D10*E10/10000,0)</f>
        <v>200</v>
      </c>
      <c r="D10" s="1905">
        <f ca="1">IF(B1="",'数据-汇总表'!E6,IF(INDIRECT("'数据-取费表'!c"&amp;$G$1)="住宅",INDIRECT("'数据-取费表'!s"&amp;$G$1),INDIRECT("'数据-取费表'!k"&amp;$G$1)+INDIRECT("'数据-取费表'!s"&amp;$G$1)))</f>
        <v>12472.739999999998</v>
      </c>
      <c r="E10" s="601">
        <f>'数据-取费表'!B28</f>
        <v>160</v>
      </c>
      <c r="F10" s="597"/>
      <c r="G10" s="602"/>
    </row>
    <row r="11" spans="1:9" s="590" customFormat="1" ht="13.5" hidden="1" customHeight="1">
      <c r="A11" s="603" t="s">
        <v>42</v>
      </c>
      <c r="B11" s="591" t="s">
        <v>824</v>
      </c>
      <c r="C11" s="587"/>
      <c r="D11" s="1907"/>
      <c r="E11" s="594"/>
      <c r="F11" s="594"/>
      <c r="G11" s="595"/>
    </row>
    <row r="12" spans="1:9" s="590" customFormat="1" ht="13.5" hidden="1" customHeight="1">
      <c r="A12" s="603" t="s">
        <v>43</v>
      </c>
      <c r="B12" s="591" t="s">
        <v>825</v>
      </c>
      <c r="C12" s="587">
        <v>0</v>
      </c>
      <c r="D12" s="1907"/>
      <c r="E12" s="604"/>
      <c r="F12" s="597">
        <v>3.0499999999999999E-2</v>
      </c>
      <c r="G12" s="595"/>
    </row>
    <row r="13" spans="1:9" s="590" customFormat="1" ht="13.5" hidden="1" customHeight="1">
      <c r="A13" s="603" t="s">
        <v>44</v>
      </c>
      <c r="B13" s="591" t="s">
        <v>826</v>
      </c>
      <c r="C13" s="587"/>
      <c r="D13" s="1907"/>
      <c r="E13" s="594"/>
      <c r="F13" s="594"/>
      <c r="G13" s="595"/>
    </row>
    <row r="14" spans="1:9" s="590" customFormat="1" ht="13.5" hidden="1" customHeight="1">
      <c r="A14" s="603" t="s">
        <v>45</v>
      </c>
      <c r="B14" s="591" t="s">
        <v>821</v>
      </c>
      <c r="C14" s="587"/>
      <c r="D14" s="1907"/>
      <c r="E14" s="594"/>
      <c r="F14" s="594"/>
      <c r="G14" s="595" t="s">
        <v>827</v>
      </c>
    </row>
    <row r="15" spans="1:9" s="590" customFormat="1" ht="13.5" hidden="1" customHeight="1">
      <c r="A15" s="603" t="s">
        <v>46</v>
      </c>
      <c r="B15" s="591" t="s">
        <v>828</v>
      </c>
      <c r="C15" s="596"/>
      <c r="D15" s="1907"/>
      <c r="E15" s="594"/>
      <c r="F15" s="594"/>
      <c r="G15" s="595" t="s">
        <v>829</v>
      </c>
    </row>
    <row r="16" spans="1:9" s="590" customFormat="1" ht="13.5" hidden="1" customHeight="1">
      <c r="A16" s="603" t="s">
        <v>47</v>
      </c>
      <c r="B16" s="591" t="s">
        <v>821</v>
      </c>
      <c r="C16" s="596"/>
      <c r="D16" s="1907"/>
      <c r="E16" s="594"/>
      <c r="F16" s="594"/>
      <c r="G16" s="595"/>
    </row>
    <row r="17" spans="1:7" s="590" customFormat="1" ht="13.5" hidden="1" customHeight="1">
      <c r="A17" s="603" t="s">
        <v>48</v>
      </c>
      <c r="B17" s="591" t="s">
        <v>830</v>
      </c>
      <c r="C17" s="605"/>
      <c r="D17" s="1908"/>
      <c r="E17" s="605"/>
      <c r="F17" s="605"/>
      <c r="G17" s="595" t="s">
        <v>829</v>
      </c>
    </row>
    <row r="18" spans="1:7" s="590" customFormat="1" ht="13.5" hidden="1" customHeight="1">
      <c r="A18" s="603" t="s">
        <v>49</v>
      </c>
      <c r="B18" s="591" t="s">
        <v>831</v>
      </c>
      <c r="C18" s="596">
        <v>0</v>
      </c>
      <c r="D18" s="1907"/>
      <c r="E18" s="594"/>
      <c r="F18" s="597">
        <v>3.0499999999999999E-2</v>
      </c>
      <c r="G18" s="595" t="s">
        <v>832</v>
      </c>
    </row>
    <row r="19" spans="1:7" s="599" customFormat="1" ht="13.5" customHeight="1">
      <c r="A19" s="1799" t="s">
        <v>2503</v>
      </c>
      <c r="B19" s="586" t="s">
        <v>840</v>
      </c>
      <c r="C19" s="587" t="str">
        <f>IF(G19="已包含在土地取得成本中","0",ROUND(D19*E19/10000,0))</f>
        <v>0</v>
      </c>
      <c r="D19" s="1909">
        <f ca="1">D9+D10</f>
        <v>54996.800000000003</v>
      </c>
      <c r="E19" s="587">
        <f>'数据-取费表'!B31</f>
        <v>200</v>
      </c>
      <c r="F19" s="607"/>
      <c r="G19" s="84" t="s">
        <v>3319</v>
      </c>
    </row>
    <row r="20" spans="1:7" s="590" customFormat="1" ht="13.5" customHeight="1">
      <c r="A20" s="1799" t="s">
        <v>2505</v>
      </c>
      <c r="B20" s="586" t="s">
        <v>833</v>
      </c>
      <c r="C20" s="608">
        <f>ROUND((C5+C19)*F20,0)</f>
        <v>1986</v>
      </c>
      <c r="D20" s="608"/>
      <c r="E20" s="608"/>
      <c r="F20" s="609">
        <f>'数据-取费表'!B37</f>
        <v>0.02</v>
      </c>
      <c r="G20" s="2616" t="s">
        <v>2516</v>
      </c>
    </row>
    <row r="21" spans="1:7" s="590" customFormat="1" ht="13.5" customHeight="1">
      <c r="A21" s="1799" t="s">
        <v>2507</v>
      </c>
      <c r="B21" s="586" t="s">
        <v>834</v>
      </c>
      <c r="C21" s="611">
        <f>F21</f>
        <v>0.02</v>
      </c>
      <c r="D21" s="612" t="s">
        <v>855</v>
      </c>
      <c r="E21" s="608"/>
      <c r="F21" s="609">
        <f>'数据-取费表'!B38</f>
        <v>0.02</v>
      </c>
      <c r="G21" s="610" t="s">
        <v>835</v>
      </c>
    </row>
    <row r="22" spans="1:7" s="590" customFormat="1" ht="13.5" customHeight="1">
      <c r="A22" s="1799" t="s">
        <v>1910</v>
      </c>
      <c r="B22" s="586" t="s">
        <v>836</v>
      </c>
      <c r="C22" s="2695">
        <f ca="1">ROUND(SUM(C23:C25),0)</f>
        <v>5742</v>
      </c>
      <c r="D22" s="611">
        <f ca="1">C26</f>
        <v>5.9999999999999995E-4</v>
      </c>
      <c r="E22" s="612" t="s">
        <v>855</v>
      </c>
      <c r="F22" s="613">
        <f ca="1">'数据-取费表'!B40</f>
        <v>4.7500000000000001E-2</v>
      </c>
      <c r="G22" s="2616" t="str">
        <f>IF('数据-取费表'!B22&lt;=1,"单利计息","复利计息")</f>
        <v>复利计息</v>
      </c>
    </row>
    <row r="23" spans="1:7" s="590" customFormat="1" ht="13.5" customHeight="1">
      <c r="A23" s="1802" t="s">
        <v>1915</v>
      </c>
      <c r="B23" s="591" t="s">
        <v>2509</v>
      </c>
      <c r="C23" s="2696">
        <f ca="1">ROUND(IF('数据-取费表'!B22&lt;=1,C5*F22*'数据-取费表'!B23,C5*(POWER((1+F22),'数据-取费表'!B23)-1)),0)</f>
        <v>5686</v>
      </c>
      <c r="D23" s="614"/>
      <c r="E23" s="614"/>
      <c r="F23" s="615"/>
      <c r="G23" s="616" t="s">
        <v>837</v>
      </c>
    </row>
    <row r="24" spans="1:7" s="590" customFormat="1" ht="13.5" customHeight="1">
      <c r="A24" s="1802" t="s">
        <v>1916</v>
      </c>
      <c r="B24" s="591" t="s">
        <v>2504</v>
      </c>
      <c r="C24" s="2696">
        <f ca="1">ROUND(IF('数据-取费表'!B22&lt;=1,C19*F22*('数据-取费表'!B19/2+'数据-取费表'!B21),C19*(POWER((1+F22),('数据-取费表'!B19/2+'数据-取费表'!B21))-1)),0)</f>
        <v>0</v>
      </c>
      <c r="D24" s="614"/>
      <c r="E24" s="614"/>
      <c r="F24" s="615"/>
      <c r="G24" s="616" t="s">
        <v>838</v>
      </c>
    </row>
    <row r="25" spans="1:7" s="590" customFormat="1" ht="24">
      <c r="A25" s="1802" t="s">
        <v>1917</v>
      </c>
      <c r="B25" s="591" t="s">
        <v>2506</v>
      </c>
      <c r="C25" s="2696">
        <f ca="1">ROUND(IF('数据-取费表'!B22&lt;=1,C20*F22*'数据-取费表'!B23/2,C20*(POWER((1+F22),'数据-取费表'!B23/2)-1)),0)</f>
        <v>56</v>
      </c>
      <c r="D25" s="614"/>
      <c r="E25" s="617"/>
      <c r="F25" s="615"/>
      <c r="G25" s="618" t="s">
        <v>839</v>
      </c>
    </row>
    <row r="26" spans="1:7" s="590" customFormat="1">
      <c r="A26" s="1802" t="s">
        <v>1919</v>
      </c>
      <c r="B26" s="591" t="s">
        <v>2508</v>
      </c>
      <c r="C26" s="614">
        <f ca="1">ROUND(IF('数据-取费表'!B22&lt;=1,F21*F22*'数据-取费表'!B23/2,F21*(POWER((1+F22),'数据-取费表'!B23/2)-1)),4)</f>
        <v>5.9999999999999995E-4</v>
      </c>
      <c r="D26" s="614"/>
      <c r="E26" s="617"/>
      <c r="F26" s="615"/>
      <c r="G26" s="619"/>
    </row>
    <row r="27" spans="1:7" s="590" customFormat="1" ht="24.75">
      <c r="A27" s="1799" t="s">
        <v>1911</v>
      </c>
      <c r="B27" s="620" t="s">
        <v>841</v>
      </c>
      <c r="C27" s="621">
        <f ca="1">C28</f>
        <v>10937</v>
      </c>
      <c r="D27" s="611">
        <f ca="1">C29</f>
        <v>2.2000000000000001E-3</v>
      </c>
      <c r="E27" s="612" t="s">
        <v>855</v>
      </c>
      <c r="F27" s="622">
        <f ca="1">IF(B1="",'数据-取费表'!Q16,INDIRECT("'数据-取费表'!q"&amp;$G$1))</f>
        <v>0.18</v>
      </c>
      <c r="G27" s="623" t="s">
        <v>2517</v>
      </c>
    </row>
    <row r="28" spans="1:7" s="590" customFormat="1" ht="13.5" customHeight="1">
      <c r="A28" s="1802" t="s">
        <v>1915</v>
      </c>
      <c r="B28" s="624" t="s">
        <v>2510</v>
      </c>
      <c r="C28" s="625">
        <f ca="1">ROUND((C5+C19+C20)*F27*'数据-取费表'!B21/'数据-取费表'!B20,0)</f>
        <v>10937</v>
      </c>
      <c r="D28" s="611"/>
      <c r="E28" s="612"/>
      <c r="F28" s="622"/>
      <c r="G28" s="623"/>
    </row>
    <row r="29" spans="1:7" s="590" customFormat="1" ht="13.5" customHeight="1">
      <c r="A29" s="1802" t="s">
        <v>1916</v>
      </c>
      <c r="B29" s="624" t="s">
        <v>2511</v>
      </c>
      <c r="C29" s="614">
        <f ca="1">ROUND(C21*F27*'数据-取费表'!B21/'数据-取费表'!B20,4)</f>
        <v>2.2000000000000001E-3</v>
      </c>
      <c r="D29" s="611"/>
      <c r="E29" s="612"/>
      <c r="F29" s="622"/>
      <c r="G29" s="623"/>
    </row>
    <row r="30" spans="1:7" s="590" customFormat="1" ht="13.5" customHeight="1">
      <c r="A30" s="1799" t="s">
        <v>1912</v>
      </c>
      <c r="B30" s="586" t="s">
        <v>345</v>
      </c>
      <c r="C30" s="611">
        <f>ROUND(F30/(1+'数据-取费表'!C42),4)</f>
        <v>5.33E-2</v>
      </c>
      <c r="D30" s="612" t="s">
        <v>2935</v>
      </c>
      <c r="E30" s="617"/>
      <c r="F30" s="613">
        <f>'数据-取费表'!B41</f>
        <v>5.6000000000000001E-2</v>
      </c>
      <c r="G30" s="2616" t="s">
        <v>2936</v>
      </c>
    </row>
    <row r="31" spans="1:7" ht="16.5" customHeight="1">
      <c r="A31" s="585">
        <v>1</v>
      </c>
      <c r="B31" s="586" t="s">
        <v>857</v>
      </c>
      <c r="C31" s="587">
        <f ca="1">ROUND((C5+C19+C20+C22+C27)/(1-C21-D22-D27-C30),0)</f>
        <v>127667</v>
      </c>
      <c r="D31" s="606"/>
      <c r="E31" s="587"/>
      <c r="F31" s="626"/>
      <c r="G31" s="610" t="s">
        <v>2518</v>
      </c>
    </row>
    <row r="32" spans="1:7" s="584" customFormat="1" ht="15.75">
      <c r="A32" s="628" t="s">
        <v>843</v>
      </c>
      <c r="B32" s="629"/>
      <c r="C32" s="629"/>
      <c r="D32" s="629"/>
      <c r="E32" s="629"/>
      <c r="F32" s="629"/>
      <c r="G32" s="630"/>
    </row>
    <row r="33" spans="1:7" s="590" customFormat="1" ht="13.5" customHeight="1">
      <c r="A33" s="631" t="s">
        <v>1906</v>
      </c>
      <c r="B33" s="586" t="s">
        <v>844</v>
      </c>
      <c r="C33" s="632">
        <f ca="1">SUM(C34:C38)</f>
        <v>9599.2999999999993</v>
      </c>
      <c r="D33" s="608"/>
      <c r="E33" s="588"/>
      <c r="F33" s="617"/>
      <c r="G33" s="610"/>
    </row>
    <row r="34" spans="1:7" s="634" customFormat="1" ht="13.5" customHeight="1">
      <c r="A34" s="1802" t="s">
        <v>1915</v>
      </c>
      <c r="B34" s="591" t="s">
        <v>346</v>
      </c>
      <c r="C34" s="596">
        <f ca="1">IF(B1="",IF(F34=100%,'数据-取费表'!M16,'数据-取费表'!O16),IF(F34=100%,INDIRECT("'数据-取费表'!m"&amp;$G$1)+INDIRECT("'数据-取费表'!t"&amp;$G$1),INDIRECT("'数据-取费表'!o"&amp;$G$1)+INDIRECT("'数据-取费表'!aq"&amp;$G$1)))</f>
        <v>8232</v>
      </c>
      <c r="D34" s="593"/>
      <c r="E34" s="596"/>
      <c r="F34" s="633">
        <f ca="1">IF('数据-取费表'!B24=0,1,IF(B1="",'数据-取费表'!N16,INDIRECT("'数据-取费表'!n"&amp;$G$1)))</f>
        <v>0.59399999999999997</v>
      </c>
      <c r="G34" s="595" t="s">
        <v>845</v>
      </c>
    </row>
    <row r="35" spans="1:7" ht="13.5" customHeight="1">
      <c r="A35" s="1802" t="s">
        <v>1920</v>
      </c>
      <c r="B35" s="591" t="s">
        <v>347</v>
      </c>
      <c r="C35" s="596">
        <f ca="1">ROUND(C34*F35,0)</f>
        <v>247</v>
      </c>
      <c r="D35" s="596"/>
      <c r="E35" s="596"/>
      <c r="F35" s="635">
        <f>'数据-取费表'!B33</f>
        <v>0.03</v>
      </c>
      <c r="G35" s="595" t="s">
        <v>846</v>
      </c>
    </row>
    <row r="36" spans="1:7" ht="24">
      <c r="A36" s="1802" t="s">
        <v>1921</v>
      </c>
      <c r="B36" s="591" t="s">
        <v>348</v>
      </c>
      <c r="C36" s="596">
        <f ca="1">IF(B1="",SUMIF('数据-取费表'!C:C,"住宅",IF(F34=100%,'数据-取费表'!M:M,'数据-取费表'!O:O))*F36,IF(INDIRECT("'数据-取费表'!c"&amp;$G$1)="住宅",IF(F34=100%,INDIRECT("'数据-取费表'!m"&amp;$G$1)*F36,INDIRECT("'数据-取费表'!o"&amp;$G$1)*F36),0))</f>
        <v>344.3</v>
      </c>
      <c r="D36" s="596"/>
      <c r="E36" s="596"/>
      <c r="F36" s="635">
        <f>'数据-取费表'!B34</f>
        <v>0.05</v>
      </c>
      <c r="G36" s="636" t="s">
        <v>349</v>
      </c>
    </row>
    <row r="37" spans="1:7" s="634" customFormat="1" ht="13.5" customHeight="1">
      <c r="A37" s="1802" t="s">
        <v>1922</v>
      </c>
      <c r="B37" s="591" t="s">
        <v>847</v>
      </c>
      <c r="C37" s="625">
        <f ca="1">ROUND(E37*D37*F34/10000,0)</f>
        <v>653</v>
      </c>
      <c r="D37" s="593">
        <f ca="1">D19</f>
        <v>54996.800000000003</v>
      </c>
      <c r="E37" s="625">
        <f>'数据-取费表'!B35</f>
        <v>200</v>
      </c>
      <c r="F37" s="635"/>
      <c r="G37" s="637" t="s">
        <v>848</v>
      </c>
    </row>
    <row r="38" spans="1:7" ht="13.5" customHeight="1">
      <c r="A38" s="1802" t="s">
        <v>1923</v>
      </c>
      <c r="B38" s="591" t="s">
        <v>350</v>
      </c>
      <c r="C38" s="596">
        <f ca="1">ROUND(C34*F38,0)</f>
        <v>123</v>
      </c>
      <c r="D38" s="596"/>
      <c r="E38" s="596"/>
      <c r="F38" s="635">
        <f>'数据-取费表'!B36</f>
        <v>1.4999999999999999E-2</v>
      </c>
      <c r="G38" s="595" t="s">
        <v>846</v>
      </c>
    </row>
    <row r="39" spans="1:7" s="590" customFormat="1" ht="13.5" customHeight="1">
      <c r="A39" s="1799" t="s">
        <v>1907</v>
      </c>
      <c r="B39" s="586" t="s">
        <v>833</v>
      </c>
      <c r="C39" s="608">
        <f ca="1">ROUND(C33*F20,0)</f>
        <v>192</v>
      </c>
      <c r="D39" s="608"/>
      <c r="E39" s="608"/>
      <c r="F39" s="609"/>
      <c r="G39" s="2616" t="s">
        <v>2519</v>
      </c>
    </row>
    <row r="40" spans="1:7" s="590" customFormat="1" ht="13.5" customHeight="1">
      <c r="A40" s="1799" t="s">
        <v>1908</v>
      </c>
      <c r="B40" s="586" t="s">
        <v>834</v>
      </c>
      <c r="C40" s="3229">
        <f>F21</f>
        <v>0.02</v>
      </c>
      <c r="D40" s="612" t="s">
        <v>858</v>
      </c>
      <c r="E40" s="608"/>
      <c r="F40" s="609"/>
      <c r="G40" s="610" t="s">
        <v>849</v>
      </c>
    </row>
    <row r="41" spans="1:7" s="590" customFormat="1" ht="13.5" customHeight="1">
      <c r="A41" s="1799" t="s">
        <v>1909</v>
      </c>
      <c r="B41" s="586" t="s">
        <v>836</v>
      </c>
      <c r="C41" s="608">
        <f ca="1">ROUND(SUM(C42:C43),0)</f>
        <v>276</v>
      </c>
      <c r="D41" s="611">
        <f ca="1">C44</f>
        <v>5.9999999999999995E-4</v>
      </c>
      <c r="E41" s="612" t="s">
        <v>858</v>
      </c>
      <c r="F41" s="613"/>
      <c r="G41" s="2616" t="str">
        <f>IF('数据-取费表'!B22&lt;=1,"单利计息","复利计息")</f>
        <v>复利计息</v>
      </c>
    </row>
    <row r="42" spans="1:7" ht="13.5" customHeight="1">
      <c r="A42" s="1802" t="s">
        <v>1915</v>
      </c>
      <c r="B42" s="591" t="s">
        <v>2509</v>
      </c>
      <c r="C42" s="614">
        <f ca="1">ROUND(IF('数据-取费表'!B22&lt;=1,C33*F22*'数据-取费表'!B21/2,C33*(POWER((1+F22),'数据-取费表'!B21/2)-1)),0)</f>
        <v>271</v>
      </c>
      <c r="D42" s="614"/>
      <c r="E42" s="614"/>
      <c r="F42" s="615"/>
      <c r="G42" s="3701" t="s">
        <v>850</v>
      </c>
    </row>
    <row r="43" spans="1:7" ht="13.5" customHeight="1">
      <c r="A43" s="1802" t="s">
        <v>1916</v>
      </c>
      <c r="B43" s="591" t="s">
        <v>2512</v>
      </c>
      <c r="C43" s="614">
        <f ca="1">ROUND(IF('数据-取费表'!B22&lt;=1,C39*F22*'数据-取费表'!B21/2,C39*(POWER((1+F22),'数据-取费表'!B21/2)-1)),0)</f>
        <v>5</v>
      </c>
      <c r="D43" s="614"/>
      <c r="E43" s="614"/>
      <c r="F43" s="615"/>
      <c r="G43" s="3702"/>
    </row>
    <row r="44" spans="1:7" ht="13.5" customHeight="1">
      <c r="A44" s="1802" t="s">
        <v>1917</v>
      </c>
      <c r="B44" s="591" t="s">
        <v>2514</v>
      </c>
      <c r="C44" s="614">
        <f ca="1">ROUND(IF('数据-取费表'!B22&lt;=1,C40*F22*'数据-取费表'!B21/2,C40*(POWER((1+F22),'数据-取费表'!B21/2)-1)),4)</f>
        <v>5.9999999999999995E-4</v>
      </c>
      <c r="D44" s="614"/>
      <c r="E44" s="614"/>
      <c r="F44" s="615"/>
      <c r="G44" s="3703"/>
    </row>
    <row r="45" spans="1:7" s="590" customFormat="1" ht="13.5" customHeight="1">
      <c r="A45" s="1799" t="s">
        <v>1910</v>
      </c>
      <c r="B45" s="620" t="s">
        <v>841</v>
      </c>
      <c r="C45" s="621">
        <f ca="1">C46</f>
        <v>1762</v>
      </c>
      <c r="D45" s="611">
        <f ca="1">C47</f>
        <v>3.5999999999999999E-3</v>
      </c>
      <c r="E45" s="612" t="s">
        <v>858</v>
      </c>
      <c r="F45" s="622"/>
      <c r="G45" s="623" t="s">
        <v>2520</v>
      </c>
    </row>
    <row r="46" spans="1:7" s="590" customFormat="1" ht="13.5" customHeight="1">
      <c r="A46" s="1802" t="s">
        <v>1915</v>
      </c>
      <c r="B46" s="624" t="s">
        <v>2513</v>
      </c>
      <c r="C46" s="625">
        <f ca="1">ROUND((C33+C39)*F27,0)</f>
        <v>1762</v>
      </c>
      <c r="D46" s="639"/>
      <c r="E46" s="612"/>
      <c r="F46" s="622"/>
      <c r="G46" s="623"/>
    </row>
    <row r="47" spans="1:7" s="590" customFormat="1" ht="13.5" customHeight="1">
      <c r="A47" s="1802" t="s">
        <v>1916</v>
      </c>
      <c r="B47" s="624" t="s">
        <v>2515</v>
      </c>
      <c r="C47" s="614">
        <f ca="1">ROUND(C40*F27,4)</f>
        <v>3.5999999999999999E-3</v>
      </c>
      <c r="D47" s="639"/>
      <c r="E47" s="612"/>
      <c r="F47" s="622"/>
      <c r="G47" s="623"/>
    </row>
    <row r="48" spans="1:7" s="590" customFormat="1" ht="13.5" customHeight="1">
      <c r="A48" s="1799" t="s">
        <v>1911</v>
      </c>
      <c r="B48" s="586" t="s">
        <v>851</v>
      </c>
      <c r="C48" s="3229">
        <f>ROUND(F30/(1+'数据-取费表'!C42),4)</f>
        <v>5.33E-2</v>
      </c>
      <c r="D48" s="612" t="s">
        <v>2937</v>
      </c>
      <c r="E48" s="608"/>
      <c r="F48" s="613"/>
      <c r="G48" s="2616" t="s">
        <v>2938</v>
      </c>
    </row>
    <row r="49" spans="1:7" ht="16.5" customHeight="1">
      <c r="A49" s="1799" t="s">
        <v>1912</v>
      </c>
      <c r="B49" s="586" t="s">
        <v>860</v>
      </c>
      <c r="C49" s="608">
        <f ca="1">ROUND((C33+C39+C41+C45)/(1-C40-D41-D45-C48),0)</f>
        <v>12823</v>
      </c>
      <c r="D49" s="608"/>
      <c r="E49" s="608"/>
      <c r="F49" s="640"/>
      <c r="G49" s="610" t="s">
        <v>2521</v>
      </c>
    </row>
    <row r="50" spans="1:7" s="634" customFormat="1" ht="24">
      <c r="A50" s="1799" t="s">
        <v>1913</v>
      </c>
      <c r="B50" s="586" t="s">
        <v>853</v>
      </c>
      <c r="C50" s="608"/>
      <c r="D50" s="608"/>
      <c r="E50" s="608"/>
      <c r="F50" s="640">
        <f>IF('数据-取费表'!B24=0,'数据-取费表'!N16,1)</f>
        <v>1</v>
      </c>
      <c r="G50" s="623" t="s">
        <v>854</v>
      </c>
    </row>
    <row r="51" spans="1:7" ht="16.5" customHeight="1">
      <c r="A51" s="1799" t="s">
        <v>1914</v>
      </c>
      <c r="B51" s="586" t="s">
        <v>861</v>
      </c>
      <c r="C51" s="608">
        <f ca="1">ROUND(C49*F50,0)</f>
        <v>12823</v>
      </c>
      <c r="D51" s="608"/>
      <c r="E51" s="608"/>
      <c r="F51" s="640"/>
      <c r="G51" s="610" t="s">
        <v>351</v>
      </c>
    </row>
    <row r="52" spans="1:7" s="584" customFormat="1" ht="16.5" thickBot="1">
      <c r="A52" s="641" t="s">
        <v>352</v>
      </c>
      <c r="B52" s="642"/>
      <c r="C52" s="643">
        <f ca="1">C31+C51</f>
        <v>140490</v>
      </c>
      <c r="D52" s="642"/>
      <c r="E52" s="642"/>
      <c r="F52" s="642"/>
      <c r="G52" s="644"/>
    </row>
    <row r="55" spans="1:7" ht="15">
      <c r="B55" s="646" t="s">
        <v>353</v>
      </c>
      <c r="C55" s="647"/>
    </row>
    <row r="56" spans="1:7">
      <c r="B56" s="2868" t="s">
        <v>2695</v>
      </c>
      <c r="C56" s="651">
        <f ca="1">1-C57</f>
        <v>0.90900000000000003</v>
      </c>
    </row>
    <row r="57" spans="1:7">
      <c r="B57" s="2868" t="s">
        <v>2694</v>
      </c>
      <c r="C57" s="650">
        <f ca="1">ROUND(C51/C52,3)</f>
        <v>9.0999999999999998E-2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812</v>
      </c>
      <c r="B1" s="2748"/>
      <c r="C1" s="2753" t="s">
        <v>2626</v>
      </c>
      <c r="D1" s="574"/>
      <c r="E1" s="574"/>
      <c r="F1" s="574"/>
      <c r="G1" s="2749">
        <f>MATCH(B1,'数据-取费表'!A6:A16,0)+5</f>
        <v>10</v>
      </c>
      <c r="H1" s="2580" t="str">
        <f>IF(ISERROR(FIND("住宅",B1)),"非住宅","住宅")</f>
        <v>非住宅</v>
      </c>
    </row>
    <row r="2" spans="1:8" s="576" customFormat="1" ht="18" customHeight="1">
      <c r="A2" s="577" t="s">
        <v>342</v>
      </c>
      <c r="B2" s="578">
        <f ca="1">ROUND(IF(D2="——",C52/10000,C52/10000-E2),0)</f>
        <v>24498</v>
      </c>
      <c r="C2" s="85" t="s">
        <v>862</v>
      </c>
      <c r="D2" s="2866" t="s">
        <v>528</v>
      </c>
      <c r="E2" s="2864" t="e">
        <f ca="1">SUMIF(INDIRECT("'"&amp;G2&amp;"'"&amp;"!A:A"),"承租人权益价值",INDIRECT("'"&amp;G2&amp;"'"&amp;"!c:c"))</f>
        <v>#REF!</v>
      </c>
      <c r="F2" s="2862" t="s">
        <v>862</v>
      </c>
      <c r="G2" s="2865"/>
    </row>
    <row r="3" spans="1:8" s="576" customFormat="1" ht="18" customHeight="1" thickBot="1">
      <c r="A3" s="579" t="s">
        <v>343</v>
      </c>
      <c r="B3" s="580">
        <f ca="1">ROUND(B2*10000/(IF(B1="",'数据-汇总表'!E3,INDIRECT("'数据-取费表'!k"&amp;$G$1))),0)</f>
        <v>4454</v>
      </c>
      <c r="C3" s="85" t="s">
        <v>863</v>
      </c>
      <c r="D3" s="575"/>
      <c r="E3" s="575"/>
      <c r="F3" s="575"/>
      <c r="G3" s="575"/>
    </row>
    <row r="4" spans="1:8" s="584" customFormat="1" ht="15.75">
      <c r="A4" s="581" t="s">
        <v>815</v>
      </c>
      <c r="B4" s="582"/>
      <c r="C4" s="582"/>
      <c r="D4" s="582"/>
      <c r="E4" s="582"/>
      <c r="F4" s="582"/>
      <c r="G4" s="583"/>
    </row>
    <row r="5" spans="1:8" s="590" customFormat="1" ht="13.5" customHeight="1">
      <c r="A5" s="631" t="s">
        <v>1906</v>
      </c>
      <c r="B5" s="586" t="s">
        <v>816</v>
      </c>
      <c r="C5" s="587">
        <f ca="1">C6+C7+C8</f>
        <v>7098525</v>
      </c>
      <c r="D5" s="587" t="s">
        <v>817</v>
      </c>
      <c r="E5" s="588" t="s">
        <v>818</v>
      </c>
      <c r="F5" s="588" t="s">
        <v>819</v>
      </c>
      <c r="G5" s="589"/>
    </row>
    <row r="6" spans="1:8" s="590" customFormat="1" ht="13.5" customHeight="1">
      <c r="A6" s="1800" t="s">
        <v>1915</v>
      </c>
      <c r="B6" s="591" t="s">
        <v>820</v>
      </c>
      <c r="C6" s="592"/>
      <c r="D6" s="593"/>
      <c r="E6" s="594"/>
      <c r="F6" s="594"/>
      <c r="G6" s="595"/>
    </row>
    <row r="7" spans="1:8" s="590" customFormat="1" ht="13.5" customHeight="1">
      <c r="A7" s="1800" t="s">
        <v>1916</v>
      </c>
      <c r="B7" s="591" t="s">
        <v>344</v>
      </c>
      <c r="C7" s="596">
        <f>ROUND(C6*F7,0)</f>
        <v>0</v>
      </c>
      <c r="D7" s="596"/>
      <c r="E7" s="594"/>
      <c r="F7" s="597">
        <f>'数据-取费表'!B48+'数据-取费表'!B49</f>
        <v>3.0499999999999999E-2</v>
      </c>
      <c r="G7" s="595"/>
    </row>
    <row r="8" spans="1:8" s="599" customFormat="1">
      <c r="A8" s="1800" t="s">
        <v>1917</v>
      </c>
      <c r="B8" s="591" t="s">
        <v>821</v>
      </c>
      <c r="C8" s="596">
        <f ca="1">IF(G8="已包含在土地购买价格中",0,C9+C10)</f>
        <v>7098525</v>
      </c>
      <c r="D8" s="598"/>
      <c r="E8" s="596"/>
      <c r="F8" s="597"/>
      <c r="G8" s="84"/>
    </row>
    <row r="9" spans="1:8" s="590" customFormat="1" ht="13.5" customHeight="1">
      <c r="A9" s="1801" t="s">
        <v>1924</v>
      </c>
      <c r="B9" s="600" t="s">
        <v>822</v>
      </c>
      <c r="C9" s="601">
        <f ca="1">ROUND(D9*E9,0)</f>
        <v>5102887</v>
      </c>
      <c r="D9" s="1905">
        <f ca="1">IF(B1="",'数据-汇总表'!E5,IF(INDIRECT("'数据-取费表'!c"&amp;$G$1)="住宅",INDIRECT("'数据-取费表'!k"&amp;$G$1),0))</f>
        <v>42524.060000000005</v>
      </c>
      <c r="E9" s="601">
        <f>'数据-取费表'!B27</f>
        <v>120</v>
      </c>
      <c r="F9" s="597"/>
      <c r="G9" s="602"/>
    </row>
    <row r="10" spans="1:8" s="590" customFormat="1" ht="13.5" customHeight="1">
      <c r="A10" s="1801" t="s">
        <v>1925</v>
      </c>
      <c r="B10" s="600" t="s">
        <v>823</v>
      </c>
      <c r="C10" s="601">
        <f ca="1">ROUND(D10*E10,0)</f>
        <v>1995638</v>
      </c>
      <c r="D10" s="1905">
        <f ca="1">IF(B1="",'数据-汇总表'!E6,IF(INDIRECT("'数据-取费表'!c"&amp;$G$1)="住宅",INDIRECT("'数据-取费表'!s"&amp;$G$1),INDIRECT("'数据-取费表'!k"&amp;$G$1)+INDIRECT("'数据-取费表'!s"&amp;$G$1)))</f>
        <v>12472.739999999998</v>
      </c>
      <c r="E10" s="601">
        <f>'数据-取费表'!B28</f>
        <v>160</v>
      </c>
      <c r="F10" s="597"/>
      <c r="G10" s="602"/>
    </row>
    <row r="11" spans="1:8" s="590" customFormat="1" ht="13.5" hidden="1" customHeight="1">
      <c r="A11" s="603" t="s">
        <v>42</v>
      </c>
      <c r="B11" s="591" t="s">
        <v>824</v>
      </c>
      <c r="C11" s="587"/>
      <c r="D11" s="1907"/>
      <c r="E11" s="594"/>
      <c r="F11" s="594"/>
      <c r="G11" s="595"/>
    </row>
    <row r="12" spans="1:8" s="590" customFormat="1" ht="13.5" hidden="1" customHeight="1">
      <c r="A12" s="603" t="s">
        <v>43</v>
      </c>
      <c r="B12" s="591" t="s">
        <v>825</v>
      </c>
      <c r="C12" s="587">
        <v>0</v>
      </c>
      <c r="D12" s="1907"/>
      <c r="E12" s="604"/>
      <c r="F12" s="597">
        <v>3.0499999999999999E-2</v>
      </c>
      <c r="G12" s="595"/>
    </row>
    <row r="13" spans="1:8" s="590" customFormat="1" ht="13.5" hidden="1" customHeight="1">
      <c r="A13" s="603" t="s">
        <v>44</v>
      </c>
      <c r="B13" s="591" t="s">
        <v>826</v>
      </c>
      <c r="C13" s="587"/>
      <c r="D13" s="1907"/>
      <c r="E13" s="594"/>
      <c r="F13" s="594"/>
      <c r="G13" s="595"/>
    </row>
    <row r="14" spans="1:8" s="590" customFormat="1" ht="13.5" hidden="1" customHeight="1">
      <c r="A14" s="603" t="s">
        <v>45</v>
      </c>
      <c r="B14" s="591" t="s">
        <v>821</v>
      </c>
      <c r="C14" s="587"/>
      <c r="D14" s="1907"/>
      <c r="E14" s="594"/>
      <c r="F14" s="594"/>
      <c r="G14" s="595" t="s">
        <v>827</v>
      </c>
    </row>
    <row r="15" spans="1:8" s="590" customFormat="1" ht="13.5" hidden="1" customHeight="1">
      <c r="A15" s="603" t="s">
        <v>46</v>
      </c>
      <c r="B15" s="591" t="s">
        <v>828</v>
      </c>
      <c r="C15" s="596"/>
      <c r="D15" s="1907"/>
      <c r="E15" s="594"/>
      <c r="F15" s="594"/>
      <c r="G15" s="595" t="s">
        <v>829</v>
      </c>
    </row>
    <row r="16" spans="1:8" s="590" customFormat="1" ht="13.5" hidden="1" customHeight="1">
      <c r="A16" s="603" t="s">
        <v>47</v>
      </c>
      <c r="B16" s="591" t="s">
        <v>821</v>
      </c>
      <c r="C16" s="596"/>
      <c r="D16" s="1907"/>
      <c r="E16" s="594"/>
      <c r="F16" s="594"/>
      <c r="G16" s="595"/>
    </row>
    <row r="17" spans="1:7" s="590" customFormat="1" ht="13.5" hidden="1" customHeight="1">
      <c r="A17" s="603" t="s">
        <v>48</v>
      </c>
      <c r="B17" s="591" t="s">
        <v>830</v>
      </c>
      <c r="C17" s="605"/>
      <c r="D17" s="1908"/>
      <c r="E17" s="605"/>
      <c r="F17" s="605"/>
      <c r="G17" s="595" t="s">
        <v>829</v>
      </c>
    </row>
    <row r="18" spans="1:7" s="590" customFormat="1" ht="13.5" hidden="1" customHeight="1">
      <c r="A18" s="603" t="s">
        <v>49</v>
      </c>
      <c r="B18" s="591" t="s">
        <v>831</v>
      </c>
      <c r="C18" s="596">
        <v>0</v>
      </c>
      <c r="D18" s="1907"/>
      <c r="E18" s="594"/>
      <c r="F18" s="597">
        <v>3.0499999999999999E-2</v>
      </c>
      <c r="G18" s="595" t="s">
        <v>832</v>
      </c>
    </row>
    <row r="19" spans="1:7" s="599" customFormat="1" ht="13.5" customHeight="1">
      <c r="A19" s="1799" t="s">
        <v>1907</v>
      </c>
      <c r="B19" s="586" t="s">
        <v>840</v>
      </c>
      <c r="C19" s="587">
        <f ca="1">IF(G19="已包含在土地取得成本中","0",ROUND(D19*E19,0))</f>
        <v>10999360</v>
      </c>
      <c r="D19" s="1909">
        <f ca="1">D9+D10</f>
        <v>54996.800000000003</v>
      </c>
      <c r="E19" s="587">
        <f>'数据-取费表'!B31</f>
        <v>200</v>
      </c>
      <c r="F19" s="607"/>
      <c r="G19" s="84"/>
    </row>
    <row r="20" spans="1:7" s="590" customFormat="1" ht="13.5" customHeight="1">
      <c r="A20" s="1799" t="s">
        <v>1908</v>
      </c>
      <c r="B20" s="586" t="s">
        <v>833</v>
      </c>
      <c r="C20" s="608">
        <f ca="1">ROUND((C5+C19)*F20,0)</f>
        <v>361958</v>
      </c>
      <c r="D20" s="608"/>
      <c r="E20" s="608"/>
      <c r="F20" s="609">
        <f>'数据-取费表'!B37</f>
        <v>0.02</v>
      </c>
      <c r="G20" s="2616" t="s">
        <v>2516</v>
      </c>
    </row>
    <row r="21" spans="1:7" s="590" customFormat="1" ht="13.5" customHeight="1">
      <c r="A21" s="1799" t="s">
        <v>1909</v>
      </c>
      <c r="B21" s="586" t="s">
        <v>834</v>
      </c>
      <c r="C21" s="611">
        <f>F21</f>
        <v>0.02</v>
      </c>
      <c r="D21" s="612" t="s">
        <v>855</v>
      </c>
      <c r="E21" s="608"/>
      <c r="F21" s="609">
        <f>'数据-取费表'!B38</f>
        <v>0.02</v>
      </c>
      <c r="G21" s="610" t="s">
        <v>835</v>
      </c>
    </row>
    <row r="22" spans="1:7" s="590" customFormat="1" ht="13.5" customHeight="1">
      <c r="A22" s="1799" t="s">
        <v>1910</v>
      </c>
      <c r="B22" s="586" t="s">
        <v>836</v>
      </c>
      <c r="C22" s="2750">
        <f ca="1">ROUND(SUM(C23:C25),0)</f>
        <v>1777326</v>
      </c>
      <c r="D22" s="611">
        <f ca="1">C26</f>
        <v>1E-3</v>
      </c>
      <c r="E22" s="612" t="s">
        <v>855</v>
      </c>
      <c r="F22" s="613">
        <f ca="1">'数据-取费表'!B40</f>
        <v>4.7500000000000001E-2</v>
      </c>
      <c r="G22" s="2616" t="str">
        <f>IF('数据-取费表'!B22&lt;=1,"单利计息","复利计息")</f>
        <v>复利计息</v>
      </c>
    </row>
    <row r="23" spans="1:7" s="590" customFormat="1" ht="13.5" customHeight="1">
      <c r="A23" s="1802" t="s">
        <v>1915</v>
      </c>
      <c r="B23" s="591" t="s">
        <v>2509</v>
      </c>
      <c r="C23" s="2751">
        <f ca="1">ROUND(IF('数据-取费表'!B22&lt;=1,C5*F22*'数据-取费表'!B22,C5*(POWER((1+F22),'数据-取费表'!B22)-1)),0)</f>
        <v>690376</v>
      </c>
      <c r="D23" s="614"/>
      <c r="E23" s="614"/>
      <c r="F23" s="615"/>
      <c r="G23" s="616" t="s">
        <v>837</v>
      </c>
    </row>
    <row r="24" spans="1:7" s="590" customFormat="1" ht="13.5" customHeight="1">
      <c r="A24" s="1802" t="s">
        <v>1916</v>
      </c>
      <c r="B24" s="591" t="s">
        <v>2504</v>
      </c>
      <c r="C24" s="2751">
        <f ca="1">ROUND(IF('数据-取费表'!B22&lt;=1,C19*F22*('数据-取费表'!B19/2+'数据-取费表'!B20),C19*(POWER((1+F22),('数据-取费表'!B19/2+'数据-取费表'!B20))-1)),0)</f>
        <v>1069757</v>
      </c>
      <c r="D24" s="614"/>
      <c r="E24" s="614"/>
      <c r="F24" s="615"/>
      <c r="G24" s="616" t="s">
        <v>838</v>
      </c>
    </row>
    <row r="25" spans="1:7" s="590" customFormat="1" ht="24">
      <c r="A25" s="1802" t="s">
        <v>1917</v>
      </c>
      <c r="B25" s="591" t="s">
        <v>2506</v>
      </c>
      <c r="C25" s="2751">
        <f ca="1">ROUND(IF('数据-取费表'!B22&lt;=1,C20*F22*'数据-取费表'!B22/2,C20*(POWER((1+F22),'数据-取费表'!B22/2)-1)),0)</f>
        <v>17193</v>
      </c>
      <c r="D25" s="614"/>
      <c r="E25" s="617"/>
      <c r="F25" s="615"/>
      <c r="G25" s="618" t="s">
        <v>839</v>
      </c>
    </row>
    <row r="26" spans="1:7" s="590" customFormat="1">
      <c r="A26" s="1802" t="s">
        <v>1919</v>
      </c>
      <c r="B26" s="591" t="s">
        <v>2508</v>
      </c>
      <c r="C26" s="614">
        <f ca="1">ROUND(IF('数据-取费表'!B22&lt;=1,F21*F22*'数据-取费表'!B22/2,F21*(POWER((1+F22),'数据-取费表'!B22/2)-1)),4)</f>
        <v>1E-3</v>
      </c>
      <c r="D26" s="614"/>
      <c r="E26" s="617"/>
      <c r="F26" s="615"/>
      <c r="G26" s="619"/>
    </row>
    <row r="27" spans="1:7" s="590" customFormat="1" ht="24.75">
      <c r="A27" s="1799" t="s">
        <v>1911</v>
      </c>
      <c r="B27" s="620" t="s">
        <v>841</v>
      </c>
      <c r="C27" s="621">
        <f ca="1">C28</f>
        <v>3322772</v>
      </c>
      <c r="D27" s="611">
        <f ca="1">C29</f>
        <v>3.5999999999999999E-3</v>
      </c>
      <c r="E27" s="612" t="s">
        <v>855</v>
      </c>
      <c r="F27" s="622">
        <f ca="1">IF(B1="",'数据-取费表'!Q16,INDIRECT("'数据-取费表'!q"&amp;$G$1))</f>
        <v>0.18</v>
      </c>
      <c r="G27" s="623" t="s">
        <v>2517</v>
      </c>
    </row>
    <row r="28" spans="1:7" s="590" customFormat="1" ht="13.5" customHeight="1">
      <c r="A28" s="1802" t="s">
        <v>1915</v>
      </c>
      <c r="B28" s="624" t="s">
        <v>2510</v>
      </c>
      <c r="C28" s="625">
        <f ca="1">ROUND((C5+C19+C20)*F27,0)</f>
        <v>3322772</v>
      </c>
      <c r="D28" s="611"/>
      <c r="E28" s="612"/>
      <c r="F28" s="622"/>
      <c r="G28" s="623"/>
    </row>
    <row r="29" spans="1:7" s="590" customFormat="1" ht="13.5" customHeight="1">
      <c r="A29" s="1802" t="s">
        <v>1916</v>
      </c>
      <c r="B29" s="624" t="s">
        <v>2511</v>
      </c>
      <c r="C29" s="614">
        <f ca="1">ROUND(C21*F27,4)</f>
        <v>3.5999999999999999E-3</v>
      </c>
      <c r="D29" s="611"/>
      <c r="E29" s="612"/>
      <c r="F29" s="622"/>
      <c r="G29" s="623"/>
    </row>
    <row r="30" spans="1:7" s="590" customFormat="1" ht="13.5" customHeight="1">
      <c r="A30" s="1799" t="s">
        <v>1912</v>
      </c>
      <c r="B30" s="586" t="s">
        <v>345</v>
      </c>
      <c r="C30" s="611">
        <f>ROUND(F30/(1+'数据-取费表'!C42),4)</f>
        <v>5.33E-2</v>
      </c>
      <c r="D30" s="612" t="s">
        <v>2939</v>
      </c>
      <c r="E30" s="617"/>
      <c r="F30" s="613">
        <f>'数据-取费表'!B41</f>
        <v>5.6000000000000001E-2</v>
      </c>
      <c r="G30" s="2616" t="s">
        <v>2940</v>
      </c>
    </row>
    <row r="31" spans="1:7" ht="16.5" customHeight="1">
      <c r="A31" s="585">
        <v>1</v>
      </c>
      <c r="B31" s="586" t="s">
        <v>857</v>
      </c>
      <c r="C31" s="587">
        <f ca="1">ROUND((C5+C19+C20+C22+C27)/(1-C21-D22-D27-C30),0)</f>
        <v>25550310</v>
      </c>
      <c r="D31" s="606"/>
      <c r="E31" s="587"/>
      <c r="F31" s="626"/>
      <c r="G31" s="610" t="s">
        <v>2518</v>
      </c>
    </row>
    <row r="32" spans="1:7" s="584" customFormat="1" ht="15.75">
      <c r="A32" s="628" t="s">
        <v>2621</v>
      </c>
      <c r="B32" s="629"/>
      <c r="C32" s="629"/>
      <c r="D32" s="629"/>
      <c r="E32" s="629"/>
      <c r="F32" s="629"/>
      <c r="G32" s="630"/>
    </row>
    <row r="33" spans="1:7" s="590" customFormat="1" ht="13.5" customHeight="1">
      <c r="A33" s="631" t="s">
        <v>1906</v>
      </c>
      <c r="B33" s="2752" t="s">
        <v>2622</v>
      </c>
      <c r="C33" s="632">
        <f ca="1">SUM(C34:C38)</f>
        <v>161602175</v>
      </c>
      <c r="D33" s="608"/>
      <c r="E33" s="588"/>
      <c r="F33" s="617"/>
      <c r="G33" s="610"/>
    </row>
    <row r="34" spans="1:7" s="634" customFormat="1" ht="13.5" customHeight="1">
      <c r="A34" s="1802" t="s">
        <v>1915</v>
      </c>
      <c r="B34" s="591" t="s">
        <v>346</v>
      </c>
      <c r="C34" s="596">
        <f ca="1">ROUND(IF(B1="",SUMPRODUCT('数据-取费表'!K6:K14,'数据-取费表'!L6:L14),INDIRECT("'数据-取费表'!l"&amp;$G$1)*INDIRECT("'数据-取费表'!k"&amp;$G$1)+'数据-取费表'!L14*INDIRECT("'数据-取费表'!S"&amp;$G$1)),0)</f>
        <v>138623987</v>
      </c>
      <c r="D34" s="593"/>
      <c r="E34" s="596"/>
      <c r="F34" s="633"/>
      <c r="G34" s="595"/>
    </row>
    <row r="35" spans="1:7" ht="13.5" customHeight="1">
      <c r="A35" s="1802" t="s">
        <v>1920</v>
      </c>
      <c r="B35" s="591" t="s">
        <v>347</v>
      </c>
      <c r="C35" s="596">
        <f ca="1">ROUND(C34*F35,0)</f>
        <v>4158720</v>
      </c>
      <c r="D35" s="596"/>
      <c r="E35" s="596"/>
      <c r="F35" s="635">
        <f>'数据-取费表'!B33</f>
        <v>0.03</v>
      </c>
      <c r="G35" s="595" t="s">
        <v>846</v>
      </c>
    </row>
    <row r="36" spans="1:7" ht="24">
      <c r="A36" s="1802" t="s">
        <v>1921</v>
      </c>
      <c r="B36" s="591" t="s">
        <v>348</v>
      </c>
      <c r="C36" s="596">
        <f ca="1">ROUND(IF(B1="",SUM('数据-取费表'!AP6:AP13)*F36,IF(INDIRECT("'数据-取费表'!c"&amp;$G$1)="住宅",INDIRECT("'数据-取费表'!k"&amp;$G$1)*INDIRECT("'数据-取费表'!l"&amp;$G$1)*F36,0)),0)</f>
        <v>5740748</v>
      </c>
      <c r="D36" s="596"/>
      <c r="E36" s="596"/>
      <c r="F36" s="635">
        <f>'数据-取费表'!B34</f>
        <v>0.05</v>
      </c>
      <c r="G36" s="636" t="s">
        <v>349</v>
      </c>
    </row>
    <row r="37" spans="1:7" s="634" customFormat="1" ht="13.5" customHeight="1">
      <c r="A37" s="1802" t="s">
        <v>1922</v>
      </c>
      <c r="B37" s="591" t="s">
        <v>847</v>
      </c>
      <c r="C37" s="625">
        <f ca="1">ROUND(E37*D37,0)</f>
        <v>10999360</v>
      </c>
      <c r="D37" s="593">
        <f ca="1">D19</f>
        <v>54996.800000000003</v>
      </c>
      <c r="E37" s="625">
        <f>'数据-取费表'!B35</f>
        <v>200</v>
      </c>
      <c r="F37" s="635"/>
      <c r="G37" s="637"/>
    </row>
    <row r="38" spans="1:7" ht="13.5" customHeight="1">
      <c r="A38" s="1802" t="s">
        <v>1923</v>
      </c>
      <c r="B38" s="591" t="s">
        <v>350</v>
      </c>
      <c r="C38" s="596">
        <f ca="1">ROUND(C34*F38,0)</f>
        <v>2079360</v>
      </c>
      <c r="D38" s="596"/>
      <c r="E38" s="596"/>
      <c r="F38" s="635">
        <f>'数据-取费表'!B36</f>
        <v>1.4999999999999999E-2</v>
      </c>
      <c r="G38" s="595" t="s">
        <v>846</v>
      </c>
    </row>
    <row r="39" spans="1:7" s="590" customFormat="1" ht="13.5" customHeight="1">
      <c r="A39" s="1799" t="s">
        <v>1907</v>
      </c>
      <c r="B39" s="586" t="s">
        <v>833</v>
      </c>
      <c r="C39" s="608">
        <f ca="1">ROUND(C33*F20,0)</f>
        <v>3232044</v>
      </c>
      <c r="D39" s="608"/>
      <c r="E39" s="608"/>
      <c r="F39" s="609"/>
      <c r="G39" s="2616" t="s">
        <v>2519</v>
      </c>
    </row>
    <row r="40" spans="1:7" s="590" customFormat="1" ht="13.5" customHeight="1">
      <c r="A40" s="1799" t="s">
        <v>1908</v>
      </c>
      <c r="B40" s="586" t="s">
        <v>834</v>
      </c>
      <c r="C40" s="3229">
        <f>F21</f>
        <v>0.02</v>
      </c>
      <c r="D40" s="612" t="s">
        <v>858</v>
      </c>
      <c r="E40" s="608"/>
      <c r="F40" s="609"/>
      <c r="G40" s="610" t="s">
        <v>849</v>
      </c>
    </row>
    <row r="41" spans="1:7" s="590" customFormat="1" ht="13.5" customHeight="1">
      <c r="A41" s="1799" t="s">
        <v>1909</v>
      </c>
      <c r="B41" s="586" t="s">
        <v>836</v>
      </c>
      <c r="C41" s="608">
        <f ca="1">ROUND(SUM(C42:C43),0)</f>
        <v>7829625</v>
      </c>
      <c r="D41" s="611">
        <f ca="1">C44</f>
        <v>1E-3</v>
      </c>
      <c r="E41" s="612" t="s">
        <v>858</v>
      </c>
      <c r="F41" s="613"/>
      <c r="G41" s="2616" t="str">
        <f>IF('数据-取费表'!B22&lt;=1,"单利计息","复利计息")</f>
        <v>复利计息</v>
      </c>
    </row>
    <row r="42" spans="1:7" ht="13.5" customHeight="1">
      <c r="A42" s="1802" t="s">
        <v>1915</v>
      </c>
      <c r="B42" s="591" t="s">
        <v>2509</v>
      </c>
      <c r="C42" s="614">
        <f ca="1">ROUND(IF('数据-取费表'!B22&lt;=1,C33*F22*'数据-取费表'!B20/2,C33*(POWER((1+F22),'数据-取费表'!B20/2)-1)),0)</f>
        <v>7676103</v>
      </c>
      <c r="D42" s="614"/>
      <c r="E42" s="614"/>
      <c r="F42" s="615"/>
      <c r="G42" s="3704" t="s">
        <v>2625</v>
      </c>
    </row>
    <row r="43" spans="1:7" ht="13.5" customHeight="1">
      <c r="A43" s="1802" t="s">
        <v>1916</v>
      </c>
      <c r="B43" s="591" t="s">
        <v>2504</v>
      </c>
      <c r="C43" s="614">
        <f ca="1">ROUND(IF('数据-取费表'!B22&lt;=1,C39*F22*'数据-取费表'!B20/2,C39*(POWER((1+F22),'数据-取费表'!B20/2)-1)),0)</f>
        <v>153522</v>
      </c>
      <c r="D43" s="614"/>
      <c r="E43" s="614"/>
      <c r="F43" s="615"/>
      <c r="G43" s="3702"/>
    </row>
    <row r="44" spans="1:7" ht="13.5" customHeight="1">
      <c r="A44" s="1802" t="s">
        <v>1917</v>
      </c>
      <c r="B44" s="591" t="s">
        <v>2506</v>
      </c>
      <c r="C44" s="614">
        <f ca="1">ROUND(IF('数据-取费表'!B22&lt;=1,C40*F22*'数据-取费表'!B20/2,C40*(POWER((1+F22),'数据-取费表'!B20/2)-1)),4)</f>
        <v>1E-3</v>
      </c>
      <c r="D44" s="614"/>
      <c r="E44" s="614"/>
      <c r="F44" s="615"/>
      <c r="G44" s="3703"/>
    </row>
    <row r="45" spans="1:7" s="590" customFormat="1" ht="13.5" customHeight="1">
      <c r="A45" s="1799" t="s">
        <v>1910</v>
      </c>
      <c r="B45" s="620" t="s">
        <v>841</v>
      </c>
      <c r="C45" s="621">
        <f ca="1">C46</f>
        <v>29670159</v>
      </c>
      <c r="D45" s="611">
        <f ca="1">C47</f>
        <v>3.5999999999999999E-3</v>
      </c>
      <c r="E45" s="612" t="s">
        <v>858</v>
      </c>
      <c r="F45" s="622"/>
      <c r="G45" s="623" t="s">
        <v>2520</v>
      </c>
    </row>
    <row r="46" spans="1:7" s="590" customFormat="1" ht="13.5" customHeight="1">
      <c r="A46" s="1802" t="s">
        <v>1915</v>
      </c>
      <c r="B46" s="624" t="s">
        <v>2513</v>
      </c>
      <c r="C46" s="625">
        <f ca="1">ROUND((C33+C39)*F27,0)</f>
        <v>29670159</v>
      </c>
      <c r="D46" s="639"/>
      <c r="E46" s="612"/>
      <c r="F46" s="622"/>
      <c r="G46" s="623"/>
    </row>
    <row r="47" spans="1:7" s="590" customFormat="1" ht="13.5" customHeight="1">
      <c r="A47" s="1802" t="s">
        <v>1916</v>
      </c>
      <c r="B47" s="624" t="s">
        <v>2515</v>
      </c>
      <c r="C47" s="614">
        <f ca="1">ROUND(C40*F27,4)</f>
        <v>3.5999999999999999E-3</v>
      </c>
      <c r="D47" s="639"/>
      <c r="E47" s="612"/>
      <c r="F47" s="622"/>
      <c r="G47" s="623"/>
    </row>
    <row r="48" spans="1:7" s="590" customFormat="1" ht="13.5" customHeight="1">
      <c r="A48" s="1799" t="s">
        <v>1911</v>
      </c>
      <c r="B48" s="586" t="s">
        <v>851</v>
      </c>
      <c r="C48" s="638">
        <f>ROUND(F30/(1+'数据-取费表'!C42),4)</f>
        <v>5.33E-2</v>
      </c>
      <c r="D48" s="612" t="s">
        <v>2937</v>
      </c>
      <c r="E48" s="608"/>
      <c r="F48" s="613"/>
      <c r="G48" s="2616" t="s">
        <v>2938</v>
      </c>
    </row>
    <row r="49" spans="1:7" ht="16.5" customHeight="1">
      <c r="A49" s="1799" t="s">
        <v>1912</v>
      </c>
      <c r="B49" s="586" t="s">
        <v>2623</v>
      </c>
      <c r="C49" s="608">
        <f ca="1">ROUND((C33+C39+C41+C45)/(1-C40-D41-D45-C48),0)</f>
        <v>219427397</v>
      </c>
      <c r="D49" s="608"/>
      <c r="E49" s="608"/>
      <c r="F49" s="640"/>
      <c r="G49" s="610" t="s">
        <v>2521</v>
      </c>
    </row>
    <row r="50" spans="1:7" s="634" customFormat="1">
      <c r="A50" s="1799" t="s">
        <v>1913</v>
      </c>
      <c r="B50" s="586" t="s">
        <v>853</v>
      </c>
      <c r="C50" s="608"/>
      <c r="D50" s="608"/>
      <c r="E50" s="608"/>
      <c r="F50" s="640">
        <f>IF('数据-取费表'!B24=0,'数据-取费表'!N16,1)</f>
        <v>1</v>
      </c>
      <c r="G50" s="623"/>
    </row>
    <row r="51" spans="1:7" ht="16.5" customHeight="1">
      <c r="A51" s="1799" t="s">
        <v>1914</v>
      </c>
      <c r="B51" s="586" t="s">
        <v>2624</v>
      </c>
      <c r="C51" s="608">
        <f ca="1">ROUND(C49*F50,0)</f>
        <v>219427397</v>
      </c>
      <c r="D51" s="608"/>
      <c r="E51" s="608"/>
      <c r="F51" s="640"/>
      <c r="G51" s="610" t="s">
        <v>351</v>
      </c>
    </row>
    <row r="52" spans="1:7" s="584" customFormat="1" ht="16.5" thickBot="1">
      <c r="A52" s="641" t="s">
        <v>352</v>
      </c>
      <c r="B52" s="642"/>
      <c r="C52" s="643">
        <f ca="1">C31+C51</f>
        <v>244977707</v>
      </c>
      <c r="D52" s="642"/>
      <c r="E52" s="642"/>
      <c r="F52" s="642"/>
      <c r="G52" s="644"/>
    </row>
    <row r="55" spans="1:7" ht="15">
      <c r="B55" s="646" t="s">
        <v>353</v>
      </c>
      <c r="C55" s="647"/>
    </row>
    <row r="56" spans="1:7">
      <c r="B56" s="2868" t="s">
        <v>2695</v>
      </c>
      <c r="C56" s="651">
        <f ca="1">1-C57</f>
        <v>0.10399999999999998</v>
      </c>
    </row>
    <row r="57" spans="1:7">
      <c r="B57" s="2868" t="s">
        <v>2694</v>
      </c>
      <c r="C57" s="650">
        <f ca="1">ROUND(C51/C52,3)</f>
        <v>0.89600000000000002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1462" customWidth="1"/>
    <col min="2" max="2" width="25.75" style="1803" customWidth="1"/>
    <col min="3" max="3" width="10.375" style="1847" customWidth="1"/>
    <col min="4" max="4" width="9.875" style="1803" customWidth="1"/>
    <col min="5" max="5" width="9.5" style="1462"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864</v>
      </c>
      <c r="B1" s="3046"/>
      <c r="C1" s="3047"/>
      <c r="D1" s="3045"/>
      <c r="E1" s="652"/>
      <c r="F1" s="652"/>
      <c r="G1" s="3046"/>
      <c r="H1" s="652"/>
      <c r="I1" s="652"/>
      <c r="J1" s="652"/>
      <c r="K1" s="652">
        <f>MATCH(C1,'数据-取费表'!A6:A16,0)+5</f>
        <v>10</v>
      </c>
    </row>
    <row r="2" spans="1:33" ht="18" customHeight="1">
      <c r="A2" s="577" t="s">
        <v>813</v>
      </c>
      <c r="B2" s="580">
        <f ca="1">C32</f>
        <v>190361</v>
      </c>
      <c r="C2" s="88" t="s">
        <v>1093</v>
      </c>
      <c r="D2" s="652"/>
      <c r="E2" s="652"/>
      <c r="F2" s="652"/>
      <c r="G2" s="652"/>
      <c r="H2" s="652"/>
      <c r="I2" s="652"/>
      <c r="J2" s="652"/>
      <c r="K2" s="652"/>
    </row>
    <row r="3" spans="1:33" ht="18" customHeight="1" thickBot="1">
      <c r="A3" s="579" t="s">
        <v>814</v>
      </c>
      <c r="B3" s="580">
        <f ca="1">ROUND(B2*10000/IF(C1="",'数据-汇总表'!E3,INDIRECT("'数据-取费表'!K"&amp;$K$1)),0)</f>
        <v>34613</v>
      </c>
      <c r="C3" s="88" t="s">
        <v>863</v>
      </c>
      <c r="D3" s="652"/>
      <c r="E3" s="652"/>
      <c r="F3" s="652"/>
      <c r="G3" s="652"/>
      <c r="H3" s="652"/>
      <c r="I3" s="652"/>
      <c r="J3" s="652"/>
      <c r="K3" s="652"/>
    </row>
    <row r="4" spans="1:33" s="1807" customFormat="1" ht="16.5" customHeight="1">
      <c r="A4" s="1804" t="s">
        <v>865</v>
      </c>
      <c r="B4" s="1805"/>
      <c r="C4" s="1848">
        <f ca="1">SUM(C8:K8)</f>
        <v>240587</v>
      </c>
      <c r="D4" s="1805"/>
      <c r="E4" s="1805"/>
      <c r="F4" s="1805"/>
      <c r="G4" s="1805"/>
      <c r="H4" s="1805"/>
      <c r="I4" s="1805"/>
      <c r="J4" s="1805"/>
      <c r="K4" s="1806"/>
    </row>
    <row r="5" spans="1:33" s="1811" customFormat="1" ht="15">
      <c r="A5" s="1808" t="s">
        <v>866</v>
      </c>
      <c r="B5" s="1809" t="s">
        <v>867</v>
      </c>
      <c r="C5" s="1270" t="s">
        <v>3103</v>
      </c>
      <c r="D5" s="1270" t="s">
        <v>3329</v>
      </c>
      <c r="E5" s="1270" t="s">
        <v>194</v>
      </c>
      <c r="F5" s="1270" t="s">
        <v>3106</v>
      </c>
      <c r="G5" s="1270"/>
      <c r="H5" s="1270"/>
      <c r="I5" s="1270"/>
      <c r="J5" s="1270"/>
      <c r="K5" s="1270"/>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1926</v>
      </c>
      <c r="B6" s="471" t="s">
        <v>868</v>
      </c>
      <c r="C6" s="1813">
        <f>'比较法-洋房'!C48</f>
        <v>55282</v>
      </c>
      <c r="D6" s="1813">
        <f>'比较法-别墅'!C48</f>
        <v>56471</v>
      </c>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1907</v>
      </c>
      <c r="B7" s="471" t="s">
        <v>869</v>
      </c>
      <c r="C7" s="653">
        <f>SUMIF('数据-汇总表'!$C19:$C33,假设开发法!C5,'数据-汇总表'!$E19:$E33)</f>
        <v>33969.820000000007</v>
      </c>
      <c r="D7" s="653">
        <f>SUMIF('数据-汇总表'!$C19:$C33,假设开发法!D5,'数据-汇总表'!$E19:$E33)</f>
        <v>8554.24</v>
      </c>
      <c r="E7" s="653">
        <f>SUMIF('数据-汇总表'!$C19:$C33,假设开发法!E5,'数据-汇总表'!$E19:$E33)</f>
        <v>5952.24</v>
      </c>
      <c r="F7" s="653">
        <f>SUMIF('数据-汇总表'!$C19:$C33,假设开发法!F5,'数据-汇总表'!$E19:$E33)</f>
        <v>2611.2199999999998</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1908</v>
      </c>
      <c r="B8" s="509" t="s">
        <v>870</v>
      </c>
      <c r="C8" s="1850">
        <f>ROUND(C6*C7/10000,0)</f>
        <v>187792</v>
      </c>
      <c r="D8" s="1850">
        <f>ROUND(D6*D7/10000,0)</f>
        <v>48307</v>
      </c>
      <c r="E8" s="1850">
        <f ca="1">收益法车!B2</f>
        <v>2628</v>
      </c>
      <c r="F8" s="1851">
        <f ca="1">收益法仓!B2</f>
        <v>1860</v>
      </c>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871</v>
      </c>
      <c r="B9" s="1805"/>
      <c r="C9" s="1805"/>
      <c r="D9" s="1805"/>
      <c r="E9" s="1805"/>
      <c r="F9" s="1805"/>
      <c r="G9" s="1805"/>
      <c r="H9" s="1805"/>
      <c r="I9" s="1805"/>
      <c r="J9" s="1805"/>
      <c r="K9" s="1806"/>
    </row>
    <row r="10" spans="1:33" s="1822" customFormat="1" ht="13.5" customHeight="1">
      <c r="A10" s="1808" t="s">
        <v>866</v>
      </c>
      <c r="B10" s="295" t="s">
        <v>867</v>
      </c>
      <c r="C10" s="1818" t="s">
        <v>872</v>
      </c>
      <c r="D10" s="1819" t="s">
        <v>873</v>
      </c>
      <c r="E10" s="1819" t="s">
        <v>874</v>
      </c>
      <c r="F10" s="1819" t="s">
        <v>875</v>
      </c>
      <c r="G10" s="295"/>
      <c r="H10" s="1820"/>
      <c r="I10" s="1820"/>
      <c r="J10" s="1820"/>
      <c r="K10" s="1821"/>
    </row>
    <row r="11" spans="1:33" s="1827" customFormat="1" ht="13.5" customHeight="1">
      <c r="A11" s="1823" t="s">
        <v>2943</v>
      </c>
      <c r="B11" s="1824" t="s">
        <v>876</v>
      </c>
      <c r="C11" s="655">
        <f ca="1">IF(C1="",'数据-取费表'!P16,INDIRECT("'数据-取费表'!p"&amp;$K$1)+INDIRECT("'数据-取费表'!ar"&amp;$K$1))</f>
        <v>5631</v>
      </c>
      <c r="D11" s="1825"/>
      <c r="E11" s="714"/>
      <c r="F11" s="1826">
        <f ca="1">1-IF('数据-取费表'!B24=0,1,IF(C1="",'数据-取费表'!N16,INDIRECT("'数据-取费表'!n"&amp;$K$1)))</f>
        <v>0.40600000000000003</v>
      </c>
      <c r="G11" s="295"/>
      <c r="H11" s="1820"/>
      <c r="I11" s="1820"/>
      <c r="J11" s="1820"/>
      <c r="K11" s="1821"/>
    </row>
    <row r="12" spans="1:33" s="1827" customFormat="1" ht="13.5" customHeight="1">
      <c r="A12" s="1823" t="s">
        <v>2944</v>
      </c>
      <c r="B12" s="1824" t="s">
        <v>877</v>
      </c>
      <c r="C12" s="313">
        <f ca="1">ROUND(C11*F12,0)</f>
        <v>169</v>
      </c>
      <c r="D12" s="1825"/>
      <c r="E12" s="714"/>
      <c r="F12" s="1828">
        <f>'数据-取费表'!B33</f>
        <v>0.03</v>
      </c>
      <c r="G12" s="295" t="s">
        <v>878</v>
      </c>
      <c r="H12" s="1820"/>
      <c r="I12" s="1820"/>
      <c r="J12" s="1820"/>
      <c r="K12" s="1821"/>
    </row>
    <row r="13" spans="1:33" s="1827" customFormat="1" ht="13.5" customHeight="1">
      <c r="A13" s="1823" t="s">
        <v>2945</v>
      </c>
      <c r="B13" s="1824" t="s">
        <v>879</v>
      </c>
      <c r="C13" s="313">
        <f ca="1">ROUND(IF(C1="",SUMIF('数据-取费表'!C:C,"住宅",'数据-取费表'!P:P)*F13,IF(INDIRECT("'数据-取费表'!c"&amp;$K$1)="住宅",INDIRECT("'数据-取费表'!P"&amp;$K$1)*F13,0)),0)</f>
        <v>230</v>
      </c>
      <c r="D13" s="1906"/>
      <c r="E13" s="714"/>
      <c r="F13" s="1828">
        <f>'数据-取费表'!B34</f>
        <v>0.05</v>
      </c>
      <c r="G13" s="295" t="s">
        <v>880</v>
      </c>
      <c r="H13" s="1820"/>
      <c r="I13" s="1820"/>
      <c r="J13" s="1820"/>
      <c r="K13" s="1821"/>
    </row>
    <row r="14" spans="1:33" s="1829" customFormat="1" ht="13.5" customHeight="1">
      <c r="A14" s="1823" t="s">
        <v>2946</v>
      </c>
      <c r="B14" s="1824" t="s">
        <v>881</v>
      </c>
      <c r="C14" s="313">
        <f ca="1">ROUND(D14*E14*F11/10000,0)</f>
        <v>447</v>
      </c>
      <c r="D14" s="1906">
        <f ca="1">IF(C1="",'数据-汇总表'!E3,INDIRECT("'数据-取费表'!K"&amp;$K$1)+INDIRECT("'数据-取费表'!S"&amp;$K$1))</f>
        <v>54996.800000000003</v>
      </c>
      <c r="E14" s="313">
        <f>'数据-取费表'!B35</f>
        <v>200</v>
      </c>
      <c r="F14" s="1828"/>
      <c r="G14" s="295" t="s">
        <v>882</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2947</v>
      </c>
      <c r="B15" s="1824" t="s">
        <v>888</v>
      </c>
      <c r="C15" s="1835">
        <f ca="1">ROUND(C11*F15,0)</f>
        <v>84</v>
      </c>
      <c r="D15" s="1830"/>
      <c r="E15" s="1835"/>
      <c r="F15" s="1836">
        <f>'数据-取费表'!B36</f>
        <v>1.4999999999999999E-2</v>
      </c>
      <c r="G15" s="471" t="s">
        <v>889</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1927</v>
      </c>
      <c r="B16" s="3230" t="s">
        <v>2948</v>
      </c>
      <c r="C16" s="1835">
        <f ca="1">SUM(C11:C15)</f>
        <v>6561</v>
      </c>
      <c r="D16" s="1830"/>
      <c r="E16" s="1835"/>
      <c r="F16" s="1836"/>
      <c r="G16" s="471"/>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1928</v>
      </c>
      <c r="B17" s="1824" t="s">
        <v>883</v>
      </c>
      <c r="C17" s="313">
        <f ca="1">ROUND(D17*E17/10000,0)</f>
        <v>0</v>
      </c>
      <c r="D17" s="1906">
        <f ca="1">D14</f>
        <v>54996.800000000003</v>
      </c>
      <c r="E17" s="313">
        <f>'数据-取费表'!B32</f>
        <v>0</v>
      </c>
      <c r="F17" s="1830"/>
      <c r="G17" s="471" t="s">
        <v>884</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2949</v>
      </c>
      <c r="B18" s="1824" t="s">
        <v>885</v>
      </c>
      <c r="C18" s="313">
        <f ca="1">C19+C20-IF(C1="",'数据-取费表'!B29,IF(G18="已全部缴纳",C19+C20,H18))</f>
        <v>0</v>
      </c>
      <c r="D18" s="1906"/>
      <c r="E18" s="313"/>
      <c r="F18" s="1828"/>
      <c r="G18" s="3042"/>
      <c r="H18" s="3040"/>
      <c r="I18" s="3041" t="s">
        <v>2794</v>
      </c>
      <c r="J18" s="1831"/>
      <c r="K18" s="1832"/>
    </row>
    <row r="19" spans="1:33" s="1827" customFormat="1" ht="13.5" customHeight="1">
      <c r="A19" s="1823" t="s">
        <v>1929</v>
      </c>
      <c r="B19" s="1824" t="s">
        <v>886</v>
      </c>
      <c r="C19" s="313">
        <f ca="1">ROUND(D19*E19/10000,0)</f>
        <v>510</v>
      </c>
      <c r="D19" s="1906">
        <f ca="1">IF(C1="",'数据-汇总表'!E5,IF(INDIRECT("'数据-取费表'!c"&amp;$K$1)="住宅",INDIRECT("'数据-取费表'!k"&amp;$K$1),0))</f>
        <v>42524.060000000005</v>
      </c>
      <c r="E19" s="313">
        <f>'数据-取费表'!B27</f>
        <v>120</v>
      </c>
      <c r="F19" s="1828"/>
      <c r="G19" s="303"/>
      <c r="H19" s="3044"/>
      <c r="I19" s="1833"/>
      <c r="J19" s="1833"/>
      <c r="K19" s="1834"/>
    </row>
    <row r="20" spans="1:33" s="1827" customFormat="1" ht="13.5" customHeight="1">
      <c r="A20" s="1823" t="s">
        <v>1930</v>
      </c>
      <c r="B20" s="1824" t="s">
        <v>887</v>
      </c>
      <c r="C20" s="313">
        <f ca="1">ROUND(D20*E20/10000,0)</f>
        <v>200</v>
      </c>
      <c r="D20" s="1906">
        <f ca="1">IF(C1="",'数据-汇总表'!E6,IF(INDIRECT("'数据-取费表'!c"&amp;$K$1)="住宅",INDIRECT("'数据-取费表'!s"&amp;$K$1),INDIRECT("'数据-取费表'!k"&amp;$K$1)+INDIRECT("'数据-取费表'!s"&amp;$K$1)))</f>
        <v>12472.739999999998</v>
      </c>
      <c r="E20" s="313">
        <f>'数据-取费表'!B28</f>
        <v>160</v>
      </c>
      <c r="F20" s="1828"/>
      <c r="G20" s="303"/>
      <c r="H20" s="1833"/>
      <c r="I20" s="1833"/>
      <c r="J20" s="1833"/>
      <c r="K20" s="1834"/>
    </row>
    <row r="21" spans="1:33" s="1827" customFormat="1" ht="13.5" customHeight="1">
      <c r="A21" s="1812" t="s">
        <v>1926</v>
      </c>
      <c r="B21" s="1837" t="s">
        <v>890</v>
      </c>
      <c r="C21" s="1838">
        <f ca="1">C16+C17+C18</f>
        <v>6561</v>
      </c>
      <c r="D21" s="1839"/>
      <c r="E21" s="657"/>
      <c r="F21" s="657"/>
      <c r="G21" s="471" t="s">
        <v>2522</v>
      </c>
      <c r="H21" s="1831"/>
      <c r="I21" s="1831"/>
      <c r="J21" s="1831"/>
      <c r="K21" s="1832"/>
    </row>
    <row r="22" spans="1:33" s="1827" customFormat="1" ht="13.5" customHeight="1">
      <c r="A22" s="1817" t="s">
        <v>1907</v>
      </c>
      <c r="B22" s="1837" t="s">
        <v>891</v>
      </c>
      <c r="C22" s="1838">
        <f ca="1">ROUND(C21*F22,0)</f>
        <v>131</v>
      </c>
      <c r="D22" s="657"/>
      <c r="E22" s="657"/>
      <c r="F22" s="1840">
        <f>'数据-取费表'!B37</f>
        <v>0.02</v>
      </c>
      <c r="G22" s="295" t="s">
        <v>892</v>
      </c>
      <c r="H22" s="1820"/>
      <c r="I22" s="1820"/>
      <c r="J22" s="1820"/>
      <c r="K22" s="1821"/>
    </row>
    <row r="23" spans="1:33" s="1827" customFormat="1" ht="13.5" customHeight="1">
      <c r="A23" s="1817" t="s">
        <v>1908</v>
      </c>
      <c r="B23" s="1837" t="s">
        <v>893</v>
      </c>
      <c r="C23" s="1838">
        <f ca="1">ROUND(C4*F23*F11,0)</f>
        <v>1954</v>
      </c>
      <c r="D23" s="657"/>
      <c r="E23" s="657"/>
      <c r="F23" s="1840">
        <f>'数据-取费表'!B38</f>
        <v>0.02</v>
      </c>
      <c r="G23" s="295" t="s">
        <v>894</v>
      </c>
      <c r="H23" s="1820"/>
      <c r="I23" s="1820"/>
      <c r="J23" s="1820"/>
      <c r="K23" s="1821"/>
    </row>
    <row r="24" spans="1:33" s="1827" customFormat="1" ht="13.5" customHeight="1">
      <c r="A24" s="1817" t="s">
        <v>1909</v>
      </c>
      <c r="B24" s="1837" t="s">
        <v>895</v>
      </c>
      <c r="C24" s="656">
        <f>ROUND(F24/(1+'数据-取费表'!C42),4)</f>
        <v>2.9000000000000001E-2</v>
      </c>
      <c r="D24" s="657" t="s">
        <v>50</v>
      </c>
      <c r="E24" s="657"/>
      <c r="F24" s="1840">
        <f>'数据-取费表'!B48+'数据-取费表'!B49</f>
        <v>3.0499999999999999E-2</v>
      </c>
      <c r="G24" s="2018" t="s">
        <v>2941</v>
      </c>
      <c r="H24" s="1842"/>
      <c r="I24" s="1842"/>
      <c r="J24" s="1842"/>
      <c r="K24" s="1843"/>
    </row>
    <row r="25" spans="1:33" s="1827" customFormat="1" ht="13.5" customHeight="1">
      <c r="A25" s="1817" t="s">
        <v>1910</v>
      </c>
      <c r="B25" s="1839" t="s">
        <v>896</v>
      </c>
      <c r="C25" s="2698">
        <f ca="1">C27</f>
        <v>162</v>
      </c>
      <c r="D25" s="656">
        <f ca="1">C26</f>
        <v>3.8899999999999997E-2</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1927</v>
      </c>
      <c r="B26" s="1844" t="s">
        <v>897</v>
      </c>
      <c r="C26" s="2699">
        <f ca="1">ROUND(IF('数据-取费表'!B22&lt;=1,(1+C24)*F25*'数据-取费表'!B24,(1+C24)*(POWER((1+F25),'数据-取费表'!B24)-1)),4)</f>
        <v>3.8899999999999997E-2</v>
      </c>
      <c r="D26" s="660"/>
      <c r="E26" s="661"/>
      <c r="F26" s="662"/>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1928</v>
      </c>
      <c r="B27" s="1844" t="s">
        <v>2612</v>
      </c>
      <c r="C27" s="2700">
        <f ca="1">ROUND(IF('数据-取费表'!B22&lt;=1,(C21+C22+C23)*F25*'数据-取费表'!B24/2,(C21+C22+C23)*(POWER((1+F25),'数据-取费表'!B24/2)-1)),0)</f>
        <v>162</v>
      </c>
      <c r="D27" s="660"/>
      <c r="E27" s="661"/>
      <c r="F27" s="662"/>
      <c r="G27" s="2704" t="str">
        <f>IF('数据-取费表'!B22&lt;=1,"（1）-（3）项×年利率×建设期÷2","（1）-（3）项×((1+年利率)^(建设期÷2)-1)")</f>
        <v>（1）-（3）项×((1+年利率)^(建设期÷2)-1)</v>
      </c>
      <c r="H27" s="1831"/>
      <c r="I27" s="1831"/>
      <c r="J27" s="1831"/>
      <c r="K27" s="1832"/>
    </row>
    <row r="28" spans="1:33" s="665" customFormat="1" ht="13.5" customHeight="1">
      <c r="A28" s="1817" t="s">
        <v>1911</v>
      </c>
      <c r="B28" s="3231" t="s">
        <v>2950</v>
      </c>
      <c r="C28" s="663">
        <f ca="1">C30</f>
        <v>1556</v>
      </c>
      <c r="D28" s="656">
        <f ca="1">C29</f>
        <v>7.4099999999999999E-2</v>
      </c>
      <c r="E28" s="658" t="s">
        <v>50</v>
      </c>
      <c r="F28" s="664">
        <f ca="1">IF(C1="",'数据-取费表'!Q16,INDIRECT("'数据-取费表'!q"&amp;$K$1))</f>
        <v>0.18</v>
      </c>
      <c r="G28" s="1841"/>
      <c r="H28" s="1842"/>
      <c r="I28" s="1842"/>
      <c r="J28" s="1842"/>
      <c r="K28" s="1843"/>
    </row>
    <row r="29" spans="1:33" s="667" customFormat="1" ht="13.5" customHeight="1">
      <c r="A29" s="1823" t="s">
        <v>1927</v>
      </c>
      <c r="B29" s="1846" t="s">
        <v>898</v>
      </c>
      <c r="C29" s="660">
        <f ca="1">ROUND((1+C24)*F28*'数据-取费表'!B24/'数据-取费表'!B20,4)</f>
        <v>7.4099999999999999E-2</v>
      </c>
      <c r="D29" s="660"/>
      <c r="E29" s="661"/>
      <c r="F29" s="666"/>
      <c r="G29" s="471" t="s">
        <v>899</v>
      </c>
      <c r="H29" s="1831"/>
      <c r="I29" s="1831"/>
      <c r="J29" s="1831"/>
      <c r="K29" s="1832"/>
    </row>
    <row r="30" spans="1:33" s="667" customFormat="1" ht="13.5" customHeight="1">
      <c r="A30" s="1823" t="s">
        <v>1928</v>
      </c>
      <c r="B30" s="2705" t="s">
        <v>2613</v>
      </c>
      <c r="C30" s="668">
        <f ca="1">ROUND((C21+C22+C23)*F28,0)</f>
        <v>1556</v>
      </c>
      <c r="D30" s="660"/>
      <c r="E30" s="661"/>
      <c r="F30" s="666"/>
      <c r="G30" s="471"/>
      <c r="H30" s="1831"/>
      <c r="I30" s="1831"/>
      <c r="J30" s="1831"/>
      <c r="K30" s="1832"/>
    </row>
    <row r="31" spans="1:33" s="1827" customFormat="1" ht="13.5" customHeight="1" thickBot="1">
      <c r="A31" s="1858" t="s">
        <v>1912</v>
      </c>
      <c r="B31" s="1859" t="s">
        <v>900</v>
      </c>
      <c r="C31" s="1860">
        <f ca="1">ROUND(C4*F31/(1+'数据-取费表'!C42),0)</f>
        <v>12831</v>
      </c>
      <c r="D31" s="1861"/>
      <c r="E31" s="1862"/>
      <c r="F31" s="1863">
        <f>'数据-取费表'!B41</f>
        <v>5.6000000000000001E-2</v>
      </c>
      <c r="G31" s="1864" t="s">
        <v>901</v>
      </c>
      <c r="H31" s="1865"/>
      <c r="I31" s="1865"/>
      <c r="J31" s="1865"/>
      <c r="K31" s="1866"/>
    </row>
    <row r="32" spans="1:33" s="1822" customFormat="1" ht="13.5" customHeight="1" thickBot="1">
      <c r="A32" s="1853" t="s">
        <v>2942</v>
      </c>
      <c r="B32" s="1854"/>
      <c r="C32" s="1855">
        <f ca="1">ROUND((C4-C21-C22-C23-C25-C28-C31)/(1+C24+D25+D28),0)</f>
        <v>190361</v>
      </c>
      <c r="D32" s="1854"/>
      <c r="E32" s="1854"/>
      <c r="F32" s="1854"/>
      <c r="G32" s="1856" t="s">
        <v>902</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C48" sqref="C48"/>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903</v>
      </c>
      <c r="B1" s="670"/>
      <c r="C1" s="2388"/>
      <c r="D1" s="1271"/>
      <c r="E1" s="2581" t="s">
        <v>536</v>
      </c>
      <c r="F1" s="2582">
        <f ca="1">J53</f>
        <v>0</v>
      </c>
      <c r="G1" s="672">
        <f>MATCH(C1,'数据-取费表'!A6:A16,0)+5</f>
        <v>10</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t="e">
        <f ca="1">ROUND(D2/10000,0)</f>
        <v>#DIV/0!</v>
      </c>
      <c r="C2" s="1297" t="s">
        <v>1094</v>
      </c>
      <c r="D2" s="2720" t="e">
        <f ca="1">C40+J29+L46</f>
        <v>#DIV/0!</v>
      </c>
      <c r="E2" s="2571" t="s">
        <v>2618</v>
      </c>
      <c r="F2" s="1274"/>
      <c r="G2" s="2283"/>
      <c r="H2" s="1272"/>
      <c r="I2" s="1272"/>
      <c r="J2" s="1272"/>
      <c r="K2" s="1296"/>
      <c r="L2" s="1272"/>
      <c r="M2" s="1272"/>
    </row>
    <row r="3" spans="1:37" ht="18" customHeight="1" thickBot="1">
      <c r="A3" s="675" t="s">
        <v>343</v>
      </c>
      <c r="B3" s="1404">
        <f ca="1">IF(ISERROR(D2/F43),0,ROUND(D2/F43,0))</f>
        <v>0</v>
      </c>
      <c r="C3" s="1297" t="s">
        <v>1095</v>
      </c>
      <c r="D3" s="1273"/>
      <c r="E3" s="2571"/>
      <c r="F3" s="1274"/>
      <c r="G3" s="2283"/>
      <c r="H3" s="676" t="s">
        <v>904</v>
      </c>
      <c r="I3" s="1272"/>
      <c r="J3" s="1272"/>
      <c r="K3" s="1296"/>
      <c r="L3" s="1272"/>
      <c r="M3" s="1272"/>
    </row>
    <row r="4" spans="1:37" ht="18" customHeight="1">
      <c r="A4" s="677" t="s">
        <v>905</v>
      </c>
      <c r="B4" s="678" t="s">
        <v>906</v>
      </c>
      <c r="C4" s="678" t="s">
        <v>907</v>
      </c>
      <c r="D4" s="678" t="s">
        <v>908</v>
      </c>
      <c r="E4" s="679" t="s">
        <v>909</v>
      </c>
      <c r="F4" s="680"/>
      <c r="G4" s="2284"/>
      <c r="H4" s="677" t="s">
        <v>905</v>
      </c>
      <c r="I4" s="678" t="s">
        <v>906</v>
      </c>
      <c r="J4" s="678" t="s">
        <v>907</v>
      </c>
      <c r="K4" s="678" t="s">
        <v>908</v>
      </c>
      <c r="L4" s="679" t="s">
        <v>909</v>
      </c>
      <c r="M4" s="680"/>
    </row>
    <row r="5" spans="1:37" ht="18" customHeight="1">
      <c r="A5" s="681">
        <v>1</v>
      </c>
      <c r="B5" s="682" t="s">
        <v>2329</v>
      </c>
      <c r="C5" s="2622">
        <f ca="1">C6+C10+C12</f>
        <v>0</v>
      </c>
      <c r="D5" s="2632" t="s">
        <v>2532</v>
      </c>
      <c r="E5" s="2623"/>
      <c r="F5" s="2624"/>
      <c r="G5" s="2284"/>
      <c r="H5" s="681">
        <v>1</v>
      </c>
      <c r="I5" s="682" t="s">
        <v>2329</v>
      </c>
      <c r="J5" s="2622">
        <f ca="1">J6+J10+J12</f>
        <v>0</v>
      </c>
      <c r="K5" s="2625" t="s">
        <v>2532</v>
      </c>
      <c r="L5" s="2623"/>
      <c r="M5" s="2624"/>
    </row>
    <row r="6" spans="1:37" ht="18" customHeight="1">
      <c r="A6" s="2618" t="s">
        <v>2370</v>
      </c>
      <c r="B6" s="3705" t="s">
        <v>2531</v>
      </c>
      <c r="C6" s="2627">
        <f ca="1">ROUND(F6*F8*F7*(1-F9),0)</f>
        <v>0</v>
      </c>
      <c r="D6" s="2621" t="s">
        <v>2533</v>
      </c>
      <c r="E6" s="684" t="s">
        <v>910</v>
      </c>
      <c r="F6" s="685">
        <f ca="1">INDIRECT("'数据-取费表'!u"&amp;$G$1)</f>
        <v>0</v>
      </c>
      <c r="G6" s="2284"/>
      <c r="H6" s="2618" t="s">
        <v>2370</v>
      </c>
      <c r="I6" s="3705" t="s">
        <v>2531</v>
      </c>
      <c r="J6" s="683">
        <f ca="1">ROUND(M6*M8*M7*(1-M9),0)</f>
        <v>0</v>
      </c>
      <c r="K6" s="2621" t="s">
        <v>2533</v>
      </c>
      <c r="L6" s="684" t="s">
        <v>910</v>
      </c>
      <c r="M6" s="685">
        <f ca="1">INDIRECT("'数据-取费表'!z"&amp;$G$1)</f>
        <v>0</v>
      </c>
    </row>
    <row r="7" spans="1:37" ht="18" customHeight="1">
      <c r="A7" s="2626"/>
      <c r="B7" s="3706"/>
      <c r="C7" s="2628"/>
      <c r="D7" s="2057"/>
      <c r="E7" s="2629" t="s">
        <v>911</v>
      </c>
      <c r="F7" s="685">
        <f ca="1">IF(INDIRECT("'数据-取费表'!ah"&amp;$G$1)="",INDIRECT("'数据-取费表'!k"&amp;$G$1),INDIRECT("'数据-取费表'!ah"&amp;$G$1))</f>
        <v>0</v>
      </c>
      <c r="G7" s="2284"/>
      <c r="H7" s="686"/>
      <c r="I7" s="3706"/>
      <c r="J7" s="688"/>
      <c r="K7" s="689"/>
      <c r="L7" s="684" t="s">
        <v>911</v>
      </c>
      <c r="M7" s="685">
        <f ca="1">F7</f>
        <v>0</v>
      </c>
    </row>
    <row r="8" spans="1:37" ht="18" customHeight="1">
      <c r="A8" s="686"/>
      <c r="B8" s="3706"/>
      <c r="C8" s="688"/>
      <c r="D8" s="689"/>
      <c r="E8" s="684" t="s">
        <v>912</v>
      </c>
      <c r="F8" s="685">
        <f ca="1">INDIRECT("'数据-取费表'!ai"&amp;$G$1)</f>
        <v>0</v>
      </c>
      <c r="G8" s="2284"/>
      <c r="H8" s="686"/>
      <c r="I8" s="3706"/>
      <c r="J8" s="688"/>
      <c r="K8" s="689"/>
      <c r="L8" s="684" t="s">
        <v>912</v>
      </c>
      <c r="M8" s="685">
        <f ca="1">INDIRECT("'数据-取费表'!ai"&amp;$G$1)</f>
        <v>0</v>
      </c>
    </row>
    <row r="9" spans="1:37" ht="18" customHeight="1">
      <c r="A9" s="686"/>
      <c r="B9" s="3707"/>
      <c r="C9" s="688"/>
      <c r="D9" s="689"/>
      <c r="E9" s="684" t="s">
        <v>913</v>
      </c>
      <c r="F9" s="694">
        <f ca="1">INDIRECT("'数据-取费表'!w"&amp;$G$1)</f>
        <v>0</v>
      </c>
      <c r="G9" s="2284"/>
      <c r="H9" s="686"/>
      <c r="I9" s="3707"/>
      <c r="J9" s="688"/>
      <c r="K9" s="689"/>
      <c r="L9" s="695" t="s">
        <v>913</v>
      </c>
      <c r="M9" s="696">
        <f ca="1">INDIRECT("'数据-取费表'!ab"&amp;$G$1)</f>
        <v>0</v>
      </c>
    </row>
    <row r="10" spans="1:37" ht="18" customHeight="1">
      <c r="A10" s="2618" t="s">
        <v>2377</v>
      </c>
      <c r="B10" s="2619" t="s">
        <v>2526</v>
      </c>
      <c r="C10" s="698">
        <f>ROUND(IF(F10="押一",F6*F8*F7/12*F11,IF(F10="押二",F6*F8*F7/12*2*F11,IF(F10="押三",F6*F8*F7/12*3*F11,C11*F11))),0)</f>
        <v>0</v>
      </c>
      <c r="D10" s="2630" t="s">
        <v>2534</v>
      </c>
      <c r="E10" s="2093" t="s">
        <v>2528</v>
      </c>
      <c r="F10" s="2824"/>
      <c r="G10" s="2284"/>
      <c r="H10" s="2618" t="s">
        <v>2377</v>
      </c>
      <c r="I10" s="2619" t="s">
        <v>2526</v>
      </c>
      <c r="J10" s="683">
        <f>ROUND(IF(M10="押一",M6*M8*M7/12*M11,IF(M10="押二",M6*M8*M7/12*2*M11,IF(M10="押三",M6*M8*M7/12*3*M11,J11*M11))),0)</f>
        <v>0</v>
      </c>
      <c r="K10" s="2630" t="s">
        <v>2534</v>
      </c>
      <c r="L10" s="2093" t="s">
        <v>2528</v>
      </c>
      <c r="M10" s="2824" t="s">
        <v>2689</v>
      </c>
    </row>
    <row r="11" spans="1:37" ht="18" customHeight="1">
      <c r="A11" s="690"/>
      <c r="B11" s="2620" t="s">
        <v>2536</v>
      </c>
      <c r="C11" s="2411"/>
      <c r="D11" s="689"/>
      <c r="E11" s="2093" t="s">
        <v>2529</v>
      </c>
      <c r="F11" s="696">
        <f>'数据-取费表'!B39</f>
        <v>4.7500000000000001E-2</v>
      </c>
      <c r="G11" s="2284"/>
      <c r="H11" s="2631"/>
      <c r="I11" s="2620" t="s">
        <v>2690</v>
      </c>
      <c r="J11" s="2411"/>
      <c r="K11" s="1278"/>
      <c r="L11" s="2093" t="s">
        <v>2529</v>
      </c>
      <c r="M11" s="2092">
        <f>'数据-取费表'!B39</f>
        <v>4.7500000000000001E-2</v>
      </c>
    </row>
    <row r="12" spans="1:37" ht="18" customHeight="1" thickBot="1">
      <c r="A12" s="2666" t="s">
        <v>2539</v>
      </c>
      <c r="B12" s="2667" t="s">
        <v>2527</v>
      </c>
      <c r="C12" s="2668"/>
      <c r="D12" s="2669"/>
      <c r="E12" s="2670"/>
      <c r="F12" s="2671"/>
      <c r="G12" s="2284"/>
      <c r="H12" s="2666" t="s">
        <v>2539</v>
      </c>
      <c r="I12" s="2667" t="s">
        <v>2527</v>
      </c>
      <c r="J12" s="2668"/>
      <c r="K12" s="2685"/>
      <c r="L12" s="2670"/>
      <c r="M12" s="2686"/>
    </row>
    <row r="13" spans="1:37" ht="18" customHeight="1" thickTop="1">
      <c r="A13" s="2662">
        <v>2</v>
      </c>
      <c r="B13" s="2663" t="s">
        <v>914</v>
      </c>
      <c r="C13" s="692">
        <f ca="1">ROUND(C29*F13,0)</f>
        <v>0</v>
      </c>
      <c r="D13" s="2664" t="s">
        <v>915</v>
      </c>
      <c r="E13" s="2664" t="s">
        <v>916</v>
      </c>
      <c r="F13" s="2665">
        <f ca="1">INDIRECT("'数据-取费表'!y"&amp;$G$1)</f>
        <v>0</v>
      </c>
      <c r="G13" s="2284"/>
      <c r="H13" s="2662">
        <v>2</v>
      </c>
      <c r="I13" s="2663" t="s">
        <v>914</v>
      </c>
      <c r="J13" s="2617">
        <f ca="1">ROUND(J14*J15,0)</f>
        <v>0</v>
      </c>
      <c r="K13" s="2672" t="s">
        <v>915</v>
      </c>
      <c r="L13" s="2683"/>
      <c r="M13" s="2684"/>
    </row>
    <row r="14" spans="1:37" ht="18" customHeight="1">
      <c r="A14" s="2434" t="s">
        <v>2367</v>
      </c>
      <c r="B14" s="684" t="s">
        <v>356</v>
      </c>
      <c r="C14" s="701">
        <f ca="1">ROUND(INDIRECT("'数据-取费表'!l"&amp;$G$1)*F43+'数据-取费表'!L14*INDIRECT("'数据-取费表'!S"&amp;$G$1),0)</f>
        <v>0</v>
      </c>
      <c r="D14" s="2715" t="s">
        <v>917</v>
      </c>
      <c r="E14" s="2714"/>
      <c r="F14" s="702"/>
      <c r="G14" s="2284"/>
      <c r="H14" s="2434" t="s">
        <v>2370</v>
      </c>
      <c r="I14" s="684" t="s">
        <v>918</v>
      </c>
      <c r="J14" s="313">
        <f ca="1">C29</f>
        <v>0</v>
      </c>
      <c r="K14" s="303"/>
      <c r="L14" s="699"/>
      <c r="M14" s="700"/>
    </row>
    <row r="15" spans="1:37" s="705" customFormat="1" ht="18" customHeight="1" thickBot="1">
      <c r="A15" s="2434" t="s">
        <v>2603</v>
      </c>
      <c r="B15" s="684" t="s">
        <v>357</v>
      </c>
      <c r="C15" s="313">
        <f ca="1">ROUND(C14*F15,0)</f>
        <v>0</v>
      </c>
      <c r="D15" s="703" t="s">
        <v>919</v>
      </c>
      <c r="E15" s="703" t="s">
        <v>362</v>
      </c>
      <c r="F15" s="704">
        <f>'数据-取费表'!B33</f>
        <v>0.03</v>
      </c>
      <c r="G15" s="2285"/>
      <c r="H15" s="2674" t="s">
        <v>2377</v>
      </c>
      <c r="I15" s="2675" t="s">
        <v>916</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2604</v>
      </c>
      <c r="B16" s="684" t="s">
        <v>358</v>
      </c>
      <c r="C16" s="313">
        <f ca="1">ROUND(INDIRECT("'数据-取费表'!l"&amp;$G$1)*F43*F16,0)</f>
        <v>0</v>
      </c>
      <c r="D16" s="684" t="s">
        <v>919</v>
      </c>
      <c r="E16" s="684" t="s">
        <v>362</v>
      </c>
      <c r="F16" s="706">
        <f ca="1">IF(INDIRECT("'数据-取费表'!c"&amp;$G$1)="住宅",'数据-取费表'!B34,0)</f>
        <v>0</v>
      </c>
      <c r="G16" s="2284"/>
      <c r="H16" s="2662" t="s">
        <v>2335</v>
      </c>
      <c r="I16" s="2663" t="s">
        <v>921</v>
      </c>
      <c r="J16" s="692">
        <f ca="1">ROUND(J17+J22+J23+J24,0)</f>
        <v>0</v>
      </c>
      <c r="K16" s="2672" t="s">
        <v>922</v>
      </c>
      <c r="L16" s="2673"/>
      <c r="M16" s="2624"/>
    </row>
    <row r="17" spans="1:37" s="705" customFormat="1" ht="18" customHeight="1">
      <c r="A17" s="2434" t="s">
        <v>2605</v>
      </c>
      <c r="B17" s="684" t="s">
        <v>359</v>
      </c>
      <c r="C17" s="313">
        <f ca="1">ROUND(F17*(F43+INDIRECT("'数据-取费表'!S"&amp;$G$1)),0)</f>
        <v>0</v>
      </c>
      <c r="D17" s="684" t="s">
        <v>923</v>
      </c>
      <c r="E17" s="684" t="s">
        <v>924</v>
      </c>
      <c r="F17" s="315">
        <f>'数据-取费表'!B35</f>
        <v>200</v>
      </c>
      <c r="G17" s="2285"/>
      <c r="H17" s="2434" t="s">
        <v>2370</v>
      </c>
      <c r="I17" s="684" t="s">
        <v>360</v>
      </c>
      <c r="J17" s="313">
        <f ca="1">ROUND(IF(项目基本情况!B11="自然人",J5*M17,J18+J19+J20),0)</f>
        <v>0</v>
      </c>
      <c r="K17" s="2715" t="s">
        <v>925</v>
      </c>
      <c r="L17" s="2716" t="s">
        <v>926</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2606</v>
      </c>
      <c r="B18" s="684" t="s">
        <v>361</v>
      </c>
      <c r="C18" s="313">
        <f ca="1">ROUND(C14*F18,0)</f>
        <v>0</v>
      </c>
      <c r="D18" s="684" t="s">
        <v>919</v>
      </c>
      <c r="E18" s="684" t="s">
        <v>362</v>
      </c>
      <c r="F18" s="706">
        <f>'数据-取费表'!B36</f>
        <v>1.4999999999999999E-2</v>
      </c>
      <c r="G18" s="2285"/>
      <c r="H18" s="2434" t="s">
        <v>2367</v>
      </c>
      <c r="I18" s="684" t="s">
        <v>927</v>
      </c>
      <c r="J18" s="313">
        <f ca="1">ROUND(J5*M18/(1+'数据-取费表'!C42),0)</f>
        <v>0</v>
      </c>
      <c r="K18" s="2716" t="s">
        <v>928</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2370</v>
      </c>
      <c r="B19" s="684" t="s">
        <v>363</v>
      </c>
      <c r="C19" s="313">
        <f ca="1">SUM(C14:C18)</f>
        <v>0</v>
      </c>
      <c r="D19" s="471" t="s">
        <v>929</v>
      </c>
      <c r="E19" s="2718"/>
      <c r="F19" s="315"/>
      <c r="G19" s="2284"/>
      <c r="H19" s="2434" t="s">
        <v>2603</v>
      </c>
      <c r="I19" s="684" t="s">
        <v>930</v>
      </c>
      <c r="J19" s="313">
        <f ca="1">IF(K19="按租金收入计税",ROUND(J5*M19,0),ROUND(C29*M19*0.7,0))</f>
        <v>0</v>
      </c>
      <c r="K19" s="1298" t="s">
        <v>2410</v>
      </c>
      <c r="L19" s="684" t="s">
        <v>362</v>
      </c>
      <c r="M19" s="706">
        <f>IF(K19="按租金收入计税",'数据-取费表'!B51,'数据-取费表'!B50)</f>
        <v>1.2E-2</v>
      </c>
    </row>
    <row r="20" spans="1:37" s="705" customFormat="1" ht="18" customHeight="1">
      <c r="A20" s="2434" t="s">
        <v>2607</v>
      </c>
      <c r="B20" s="684" t="s">
        <v>364</v>
      </c>
      <c r="C20" s="313">
        <f ca="1">ROUND(C19*F20,0)</f>
        <v>0</v>
      </c>
      <c r="D20" s="708" t="s">
        <v>931</v>
      </c>
      <c r="E20" s="684" t="s">
        <v>362</v>
      </c>
      <c r="F20" s="706">
        <f>'数据-取费表'!B37</f>
        <v>0.02</v>
      </c>
      <c r="G20" s="2285"/>
      <c r="H20" s="2434" t="s">
        <v>2604</v>
      </c>
      <c r="I20" s="496" t="s">
        <v>932</v>
      </c>
      <c r="J20" s="314">
        <f ca="1">ROUND(M20*M21,0)</f>
        <v>0</v>
      </c>
      <c r="K20" s="709" t="s">
        <v>933</v>
      </c>
      <c r="L20" s="684" t="s">
        <v>934</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2608</v>
      </c>
      <c r="B21" s="684" t="s">
        <v>935</v>
      </c>
      <c r="C21" s="313" t="s">
        <v>23</v>
      </c>
      <c r="D21" s="708" t="s">
        <v>936</v>
      </c>
      <c r="E21" s="684" t="s">
        <v>937</v>
      </c>
      <c r="F21" s="706">
        <f>'数据-取费表'!B38</f>
        <v>0.02</v>
      </c>
      <c r="G21" s="2285"/>
      <c r="H21" s="711"/>
      <c r="I21" s="693"/>
      <c r="J21" s="318"/>
      <c r="K21" s="712"/>
      <c r="L21" s="684" t="s">
        <v>938</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2609</v>
      </c>
      <c r="B22" s="684" t="s">
        <v>939</v>
      </c>
      <c r="C22" s="313"/>
      <c r="D22" s="2697" t="str">
        <f>IF(F23&lt;=1,"单利计息。","复利计息。")&amp;"建造成本、管理费用、销售费用产生的利息。"</f>
        <v>复利计息。建造成本、管理费用、销售费用产生的利息。</v>
      </c>
      <c r="E22" s="2718"/>
      <c r="F22" s="315"/>
      <c r="G22" s="2284"/>
      <c r="H22" s="2434" t="s">
        <v>2377</v>
      </c>
      <c r="I22" s="684" t="s">
        <v>940</v>
      </c>
      <c r="J22" s="313">
        <f ca="1">ROUND(J14*M22,0)</f>
        <v>0</v>
      </c>
      <c r="K22" s="2716" t="s">
        <v>941</v>
      </c>
      <c r="L22" s="684" t="s">
        <v>362</v>
      </c>
      <c r="M22" s="713">
        <f ca="1">INDIRECT("'数据-取费表'!Ak"&amp;$G$1)</f>
        <v>0</v>
      </c>
    </row>
    <row r="23" spans="1:37" s="705" customFormat="1" ht="18" customHeight="1">
      <c r="A23" s="2434" t="s">
        <v>2367</v>
      </c>
      <c r="B23" s="684" t="s">
        <v>2523</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942</v>
      </c>
      <c r="F23" s="710">
        <f>'数据-取费表'!B20</f>
        <v>2</v>
      </c>
      <c r="G23" s="2285"/>
      <c r="H23" s="2434" t="s">
        <v>2608</v>
      </c>
      <c r="I23" s="684" t="s">
        <v>365</v>
      </c>
      <c r="J23" s="313">
        <f ca="1">ROUND(J13*M23,0)</f>
        <v>0</v>
      </c>
      <c r="K23" s="2716" t="s">
        <v>366</v>
      </c>
      <c r="L23" s="684" t="s">
        <v>362</v>
      </c>
      <c r="M23" s="715">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2373</v>
      </c>
      <c r="B24" s="684" t="s">
        <v>944</v>
      </c>
      <c r="C24" s="313">
        <f ca="1">ROUND(IF('数据-取费表'!B22&lt;=1,F21*F24*F23/2,F21*(POWER((1+F24),F23/2)-1)),4)</f>
        <v>1E-3</v>
      </c>
      <c r="D24" s="2701" t="str">
        <f>IF(F23&lt;=1,"销售费用×利率×(建设周期÷2)","销售费用×((1+利率)^(建设周期÷2)-1)")</f>
        <v>销售费用×((1+利率)^(建设周期÷2)-1)</v>
      </c>
      <c r="E24" s="684" t="s">
        <v>945</v>
      </c>
      <c r="F24" s="716">
        <f ca="1">'数据-取费表'!B40</f>
        <v>4.7500000000000001E-2</v>
      </c>
      <c r="G24" s="2285"/>
      <c r="H24" s="2674" t="s">
        <v>2609</v>
      </c>
      <c r="I24" s="2675" t="s">
        <v>364</v>
      </c>
      <c r="J24" s="2676">
        <f ca="1">ROUND(J5*M24,0)</f>
        <v>0</v>
      </c>
      <c r="K24" s="2677" t="s">
        <v>368</v>
      </c>
      <c r="L24" s="2675" t="s">
        <v>362</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2374</v>
      </c>
      <c r="B25" s="684" t="s">
        <v>369</v>
      </c>
      <c r="C25" s="313"/>
      <c r="D25" s="471" t="s">
        <v>947</v>
      </c>
      <c r="E25" s="2718"/>
      <c r="F25" s="315"/>
      <c r="G25" s="2284"/>
      <c r="H25" s="2662" t="s">
        <v>2350</v>
      </c>
      <c r="I25" s="2679" t="s">
        <v>374</v>
      </c>
      <c r="J25" s="692">
        <f ca="1">J5-J16</f>
        <v>0</v>
      </c>
      <c r="K25" s="2680" t="s">
        <v>375</v>
      </c>
      <c r="L25" s="2681"/>
      <c r="M25" s="2682"/>
    </row>
    <row r="26" spans="1:37" ht="18" customHeight="1">
      <c r="A26" s="2434" t="s">
        <v>2367</v>
      </c>
      <c r="B26" s="684" t="s">
        <v>2524</v>
      </c>
      <c r="C26" s="313">
        <f ca="1">ROUND((C19+C20)*F26,0)</f>
        <v>0</v>
      </c>
      <c r="D26" s="708" t="s">
        <v>950</v>
      </c>
      <c r="E26" s="695" t="s">
        <v>951</v>
      </c>
      <c r="F26" s="694">
        <f ca="1">INDIRECT("'数据-取费表'!q"&amp;$G$1)</f>
        <v>0</v>
      </c>
      <c r="G26" s="2284"/>
      <c r="H26" s="681" t="s">
        <v>2353</v>
      </c>
      <c r="I26" s="682" t="s">
        <v>952</v>
      </c>
      <c r="J26" s="683">
        <f ca="1">IF(J5&lt;&gt;0,ROUND(J25*(1-((1+M28)/(1+M26))^M27)/(M26-M28),0),0)</f>
        <v>0</v>
      </c>
      <c r="K26" s="709" t="s">
        <v>370</v>
      </c>
      <c r="L26" s="684" t="s">
        <v>371</v>
      </c>
      <c r="M26" s="694">
        <f ca="1">INDIRECT("'数据-取费表'!I"&amp;$G$1)</f>
        <v>0</v>
      </c>
    </row>
    <row r="27" spans="1:37" ht="18" customHeight="1">
      <c r="A27" s="2434" t="s">
        <v>2373</v>
      </c>
      <c r="B27" s="684" t="s">
        <v>372</v>
      </c>
      <c r="C27" s="313">
        <f ca="1">ROUND(F21*F26,4)</f>
        <v>0</v>
      </c>
      <c r="D27" s="708" t="s">
        <v>954</v>
      </c>
      <c r="E27" s="703"/>
      <c r="F27" s="704"/>
      <c r="G27" s="2284"/>
      <c r="H27" s="686"/>
      <c r="I27" s="687"/>
      <c r="J27" s="688"/>
      <c r="K27" s="717" t="s">
        <v>955</v>
      </c>
      <c r="L27" s="684" t="s">
        <v>378</v>
      </c>
      <c r="M27" s="718">
        <f ca="1">INDIRECT("'数据-取费表'!ag"&amp;$G$1)</f>
        <v>0</v>
      </c>
    </row>
    <row r="28" spans="1:37" s="705" customFormat="1" ht="18" customHeight="1">
      <c r="A28" s="2434" t="s">
        <v>2375</v>
      </c>
      <c r="B28" s="684" t="s">
        <v>373</v>
      </c>
      <c r="C28" s="313">
        <f>ROUND(F28/(1+'数据-取费表'!C42),4)</f>
        <v>5.33E-2</v>
      </c>
      <c r="D28" s="708" t="s">
        <v>961</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2376</v>
      </c>
      <c r="B29" s="2675" t="s">
        <v>963</v>
      </c>
      <c r="C29" s="2676">
        <f ca="1">ROUND((C19+C20+C23+C26)/(1-F21-C24-C27-C28),0)</f>
        <v>0</v>
      </c>
      <c r="D29" s="2677"/>
      <c r="E29" s="2675"/>
      <c r="F29" s="2678"/>
      <c r="G29" s="2285"/>
      <c r="H29" s="719" t="s">
        <v>2360</v>
      </c>
      <c r="I29" s="720" t="s">
        <v>956</v>
      </c>
      <c r="J29" s="721">
        <f ca="1">ROUND(J26/(1+F40)^F41,0)</f>
        <v>0</v>
      </c>
      <c r="K29" s="722" t="s">
        <v>957</v>
      </c>
      <c r="L29" s="723"/>
      <c r="M29" s="724">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2335</v>
      </c>
      <c r="B30" s="2663" t="s">
        <v>921</v>
      </c>
      <c r="C30" s="692">
        <f ca="1">ROUND(C31+C36+C37+C38,0)</f>
        <v>0</v>
      </c>
      <c r="D30" s="2672" t="s">
        <v>922</v>
      </c>
      <c r="E30" s="2673"/>
      <c r="F30" s="2624"/>
      <c r="G30" s="2284"/>
      <c r="H30" s="1275"/>
      <c r="I30" s="1276"/>
      <c r="J30" s="1277"/>
      <c r="K30" s="1278"/>
      <c r="L30" s="1279"/>
      <c r="M30" s="1280"/>
    </row>
    <row r="31" spans="1:37" ht="18" customHeight="1">
      <c r="A31" s="2434" t="s">
        <v>2370</v>
      </c>
      <c r="B31" s="684" t="s">
        <v>360</v>
      </c>
      <c r="C31" s="313">
        <f ca="1">ROUND(IF(项目基本情况!B11="自然人",C5*F31,C32+C33+C34),0)</f>
        <v>0</v>
      </c>
      <c r="D31" s="2715" t="s">
        <v>925</v>
      </c>
      <c r="E31" s="2716" t="s">
        <v>964</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2367</v>
      </c>
      <c r="B32" s="684" t="s">
        <v>927</v>
      </c>
      <c r="C32" s="313">
        <f ca="1">IF(项目基本情况!B11="自然人","——",ROUND(C5*F32/(1+'数据-取费表'!C42),0))</f>
        <v>0</v>
      </c>
      <c r="D32" s="2716" t="s">
        <v>928</v>
      </c>
      <c r="E32" s="684" t="s">
        <v>362</v>
      </c>
      <c r="F32" s="716">
        <f>'数据-取费表'!B41</f>
        <v>5.6000000000000001E-2</v>
      </c>
      <c r="G32" s="2284"/>
      <c r="H32" s="1281"/>
      <c r="I32" s="1282"/>
      <c r="J32" s="1283"/>
      <c r="K32" s="1284"/>
      <c r="L32" s="1285"/>
      <c r="M32" s="1286"/>
    </row>
    <row r="33" spans="1:18" ht="18" customHeight="1">
      <c r="A33" s="2434" t="s">
        <v>2603</v>
      </c>
      <c r="B33" s="684" t="s">
        <v>930</v>
      </c>
      <c r="C33" s="313">
        <f ca="1">IF(项目基本情况!B11="自然人","——",IF(D33="按租金收入计税",ROUND(C5*F33,0),IF(D33="按房产原值计税",ROUND(C29*F33*0.7,0),INDIRECT("'数据-取费表'!Aj"&amp;$G$1))))</f>
        <v>0</v>
      </c>
      <c r="D33" s="1298" t="s">
        <v>2410</v>
      </c>
      <c r="E33" s="684" t="s">
        <v>362</v>
      </c>
      <c r="F33" s="706">
        <f>IF(D33="按票据","——",IF(D33="按租金收入计税",'数据-取费表'!B51,'数据-取费表'!B50))</f>
        <v>1.2E-2</v>
      </c>
      <c r="G33" s="2284"/>
      <c r="H33" s="1287"/>
      <c r="I33" s="2877"/>
      <c r="J33" s="2878"/>
      <c r="K33" s="1288"/>
      <c r="L33" s="1287"/>
      <c r="M33" s="1287"/>
    </row>
    <row r="34" spans="1:18" ht="18" customHeight="1">
      <c r="A34" s="2618" t="s">
        <v>2604</v>
      </c>
      <c r="B34" s="496" t="s">
        <v>932</v>
      </c>
      <c r="C34" s="314">
        <f ca="1">IF(项目基本情况!B11="自然人","——",ROUND(F34*F35,))</f>
        <v>0</v>
      </c>
      <c r="D34" s="709" t="s">
        <v>933</v>
      </c>
      <c r="E34" s="684" t="s">
        <v>934</v>
      </c>
      <c r="F34" s="710">
        <f>'数据-取费表'!B52</f>
        <v>1.5</v>
      </c>
      <c r="G34" s="2284"/>
      <c r="H34" s="1275"/>
      <c r="I34" s="2877"/>
      <c r="J34" s="2878"/>
      <c r="K34" s="1289"/>
      <c r="L34" s="1290"/>
      <c r="M34" s="1290"/>
    </row>
    <row r="35" spans="1:18" ht="18" customHeight="1">
      <c r="A35" s="2692"/>
      <c r="B35" s="2690"/>
      <c r="C35" s="318"/>
      <c r="D35" s="712"/>
      <c r="E35" s="684" t="s">
        <v>938</v>
      </c>
      <c r="F35" s="685">
        <f ca="1">INDIRECT("'数据-取费表'!r"&amp;$G$1)</f>
        <v>0</v>
      </c>
      <c r="G35" s="2284"/>
      <c r="H35" s="1275"/>
      <c r="I35" s="2877"/>
      <c r="J35" s="2878"/>
      <c r="K35" s="1288"/>
      <c r="L35" s="1287"/>
      <c r="M35" s="1287"/>
    </row>
    <row r="36" spans="1:18" ht="18" customHeight="1">
      <c r="A36" s="2691" t="s">
        <v>2377</v>
      </c>
      <c r="B36" s="684" t="s">
        <v>940</v>
      </c>
      <c r="C36" s="313">
        <f ca="1">ROUND(C29*F36,0)</f>
        <v>0</v>
      </c>
      <c r="D36" s="2716" t="s">
        <v>970</v>
      </c>
      <c r="E36" s="684" t="s">
        <v>362</v>
      </c>
      <c r="F36" s="713">
        <f ca="1">INDIRECT("'数据-取费表'!Ak"&amp;$G$1)</f>
        <v>0</v>
      </c>
      <c r="G36" s="2284"/>
      <c r="H36" s="1287"/>
      <c r="I36" s="2877"/>
      <c r="J36" s="2878"/>
      <c r="K36" s="1291"/>
      <c r="L36" s="1287"/>
      <c r="M36" s="1287"/>
    </row>
    <row r="37" spans="1:18" ht="18" customHeight="1">
      <c r="A37" s="2434" t="s">
        <v>2608</v>
      </c>
      <c r="B37" s="684" t="s">
        <v>365</v>
      </c>
      <c r="C37" s="313">
        <f ca="1">ROUND(C13*F37,0)</f>
        <v>0</v>
      </c>
      <c r="D37" s="2716" t="s">
        <v>366</v>
      </c>
      <c r="E37" s="684" t="s">
        <v>362</v>
      </c>
      <c r="F37" s="715">
        <f ca="1">INDIRECT("'数据-取费表'!Al"&amp;$G$1)</f>
        <v>0</v>
      </c>
      <c r="G37" s="2284"/>
      <c r="H37" s="1287"/>
      <c r="I37" s="2877"/>
      <c r="J37" s="2878"/>
      <c r="K37" s="1291"/>
      <c r="L37" s="1287"/>
      <c r="M37" s="1287"/>
    </row>
    <row r="38" spans="1:18" ht="18" customHeight="1" thickBot="1">
      <c r="A38" s="2674" t="s">
        <v>2609</v>
      </c>
      <c r="B38" s="2675" t="s">
        <v>364</v>
      </c>
      <c r="C38" s="2676">
        <f ca="1">ROUND(C5*F38,1)</f>
        <v>0</v>
      </c>
      <c r="D38" s="2677" t="s">
        <v>368</v>
      </c>
      <c r="E38" s="2675" t="s">
        <v>362</v>
      </c>
      <c r="F38" s="2671">
        <f ca="1">INDIRECT("'数据-取费表'!Am"&amp;$G$1)</f>
        <v>0</v>
      </c>
      <c r="G38" s="2284"/>
      <c r="H38" s="1287"/>
      <c r="I38" s="2877"/>
      <c r="J38" s="2878"/>
      <c r="K38" s="1292"/>
      <c r="L38" s="1287"/>
      <c r="M38" s="1287"/>
    </row>
    <row r="39" spans="1:18" ht="24.6" customHeight="1" thickTop="1">
      <c r="A39" s="2662" t="s">
        <v>2350</v>
      </c>
      <c r="B39" s="2679" t="s">
        <v>374</v>
      </c>
      <c r="C39" s="692">
        <f ca="1">C5-C30</f>
        <v>0</v>
      </c>
      <c r="D39" s="2680" t="s">
        <v>375</v>
      </c>
      <c r="E39" s="2681"/>
      <c r="F39" s="2682"/>
      <c r="G39" s="2284"/>
      <c r="H39" s="1287"/>
      <c r="I39" s="2877"/>
      <c r="J39" s="2878"/>
      <c r="K39" s="1292"/>
      <c r="L39" s="1287"/>
      <c r="M39" s="1287"/>
    </row>
    <row r="40" spans="1:18" ht="18" customHeight="1">
      <c r="A40" s="681" t="s">
        <v>2353</v>
      </c>
      <c r="B40" s="682" t="s">
        <v>376</v>
      </c>
      <c r="C40" s="683" t="e">
        <f ca="1">ROUND(C39*(1-((1+F42)/(1+F40))^F41)/(F40-F42),0)</f>
        <v>#DIV/0!</v>
      </c>
      <c r="D40" s="709" t="s">
        <v>370</v>
      </c>
      <c r="E40" s="684" t="s">
        <v>371</v>
      </c>
      <c r="F40" s="694">
        <f ca="1">INDIRECT("'数据-取费表'!I"&amp;$G$1)</f>
        <v>0</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0</v>
      </c>
      <c r="G41" s="2284"/>
      <c r="H41" s="1189"/>
      <c r="I41" s="2877"/>
      <c r="J41" s="2878"/>
      <c r="K41" s="1291"/>
      <c r="L41" s="1189"/>
      <c r="M41" s="1189"/>
    </row>
    <row r="42" spans="1:18" ht="18" customHeight="1">
      <c r="A42" s="690"/>
      <c r="B42" s="691"/>
      <c r="C42" s="692"/>
      <c r="D42" s="712"/>
      <c r="E42" s="684" t="s">
        <v>379</v>
      </c>
      <c r="F42" s="694">
        <f ca="1">INDIRECT("'数据-取费表'!v"&amp;$G$1)</f>
        <v>0</v>
      </c>
      <c r="G42" s="2284"/>
      <c r="H42" s="1189"/>
      <c r="I42" s="2877"/>
      <c r="J42" s="2878"/>
      <c r="K42" s="1291"/>
      <c r="L42" s="1189"/>
      <c r="M42" s="1189"/>
    </row>
    <row r="43" spans="1:18" ht="18" customHeight="1" thickBot="1">
      <c r="A43" s="719" t="s">
        <v>2360</v>
      </c>
      <c r="B43" s="720" t="s">
        <v>380</v>
      </c>
      <c r="C43" s="721" t="e">
        <f ca="1">ROUND(C40/F43,0)</f>
        <v>#DIV/0!</v>
      </c>
      <c r="D43" s="722" t="s">
        <v>381</v>
      </c>
      <c r="E43" s="723" t="s">
        <v>382</v>
      </c>
      <c r="F43" s="724">
        <f ca="1">INDIRECT("'数据-取费表'!k"&amp;$G$1)</f>
        <v>0</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2619</v>
      </c>
      <c r="E45" s="1429"/>
      <c r="F45" s="1429"/>
      <c r="O45" s="2587" t="s">
        <v>2483</v>
      </c>
      <c r="P45" s="1293"/>
      <c r="Q45" s="1293"/>
      <c r="R45" s="1293"/>
    </row>
    <row r="46" spans="1:18" s="1451" customFormat="1" ht="21" thickBot="1">
      <c r="A46" s="2392" t="s">
        <v>2322</v>
      </c>
      <c r="B46" s="2393"/>
      <c r="C46" s="2721" t="e">
        <f ca="1">ROUND(C45/10000,0)</f>
        <v>#DIV/0!</v>
      </c>
      <c r="D46" s="2722" t="str">
        <f>C2</f>
        <v>万元</v>
      </c>
      <c r="I46" s="2574" t="s">
        <v>2418</v>
      </c>
      <c r="J46" s="2575"/>
      <c r="K46" s="2576"/>
      <c r="L46" s="2578" t="e">
        <f ca="1">IF(M47="住宅",0,IF(L48&gt;J51,L60,J60))</f>
        <v>#DIV/0!</v>
      </c>
      <c r="O46" s="2590" t="s">
        <v>2461</v>
      </c>
      <c r="P46" s="2591" t="s">
        <v>2462</v>
      </c>
      <c r="Q46" s="2592" t="s">
        <v>2460</v>
      </c>
      <c r="R46" s="2592" t="s">
        <v>2463</v>
      </c>
    </row>
    <row r="47" spans="1:18" s="1451" customFormat="1" ht="15.75" thickBot="1">
      <c r="A47" s="2394" t="s">
        <v>905</v>
      </c>
      <c r="B47" s="2430" t="s">
        <v>906</v>
      </c>
      <c r="C47" s="2430" t="s">
        <v>907</v>
      </c>
      <c r="D47" s="2430" t="s">
        <v>908</v>
      </c>
      <c r="E47" s="2533" t="s">
        <v>909</v>
      </c>
      <c r="F47" s="2534"/>
      <c r="G47" s="1453"/>
      <c r="I47" s="2549" t="s">
        <v>2411</v>
      </c>
      <c r="J47" s="2550"/>
      <c r="K47" s="2559" t="s">
        <v>2434</v>
      </c>
      <c r="L47" s="2560">
        <f ca="1">INDIRECT("'数据-取费表'!d"&amp;$G$1)</f>
        <v>0</v>
      </c>
      <c r="M47" s="2580" t="str">
        <f>IF(ISNUMBER(FIND("住宅",C1)),"住宅","非住宅")</f>
        <v>非住宅</v>
      </c>
      <c r="O47" s="2583" t="s">
        <v>2446</v>
      </c>
      <c r="P47" s="2593" t="s">
        <v>2464</v>
      </c>
      <c r="Q47" s="2584" t="e">
        <f ca="1">C40+J29</f>
        <v>#DIV/0!</v>
      </c>
      <c r="R47" s="2584" t="s">
        <v>2465</v>
      </c>
    </row>
    <row r="48" spans="1:18" s="1451" customFormat="1" ht="47.25" thickBot="1">
      <c r="A48" s="2707" t="s">
        <v>2614</v>
      </c>
      <c r="B48" s="682" t="s">
        <v>2329</v>
      </c>
      <c r="C48" s="2717">
        <f ca="1">C49+C53+C55</f>
        <v>0</v>
      </c>
      <c r="D48" s="2711"/>
      <c r="E48" s="2712"/>
      <c r="F48" s="2414"/>
      <c r="G48" s="1453"/>
      <c r="H48" s="1454"/>
      <c r="I48" s="2540" t="s">
        <v>2412</v>
      </c>
      <c r="J48" s="2551"/>
      <c r="K48" s="2561" t="s">
        <v>679</v>
      </c>
      <c r="L48" s="2164">
        <f ca="1">INDIRECT("'数据-取费表'!f"&amp;$G$1)</f>
        <v>0</v>
      </c>
      <c r="O48" s="2583" t="s">
        <v>2447</v>
      </c>
      <c r="P48" s="2593" t="s">
        <v>2466</v>
      </c>
      <c r="Q48" s="2584" t="e">
        <f ca="1">J60</f>
        <v>#DIV/0!</v>
      </c>
      <c r="R48" s="2584" t="s">
        <v>2474</v>
      </c>
    </row>
    <row r="49" spans="1:18" s="1451" customFormat="1" ht="15.75" thickBot="1">
      <c r="A49" s="2427" t="s">
        <v>2615</v>
      </c>
      <c r="B49" s="2710" t="s">
        <v>2617</v>
      </c>
      <c r="C49" s="2719">
        <f ca="1">ROUND(F49*F51*F50*(1-F52),0)</f>
        <v>0</v>
      </c>
      <c r="D49" s="2529" t="s">
        <v>2330</v>
      </c>
      <c r="E49" s="2532" t="s">
        <v>2323</v>
      </c>
      <c r="F49" s="2535"/>
      <c r="G49" s="1455"/>
      <c r="H49" s="1454"/>
      <c r="I49" s="2540" t="s">
        <v>2432</v>
      </c>
      <c r="J49" s="2552"/>
      <c r="K49" s="2562" t="s">
        <v>2437</v>
      </c>
      <c r="L49" s="2563"/>
      <c r="O49" s="2585" t="s">
        <v>2448</v>
      </c>
      <c r="P49" s="2593" t="s">
        <v>2467</v>
      </c>
      <c r="Q49" s="2584">
        <f ca="1">C29</f>
        <v>0</v>
      </c>
      <c r="R49" s="2584" t="s">
        <v>2465</v>
      </c>
    </row>
    <row r="50" spans="1:18" s="1451" customFormat="1" ht="15.75" thickBot="1">
      <c r="A50" s="2428"/>
      <c r="B50" s="2431"/>
      <c r="C50" s="2432"/>
      <c r="D50" s="2401"/>
      <c r="E50" s="2530" t="s">
        <v>911</v>
      </c>
      <c r="F50" s="2531">
        <f ca="1">F7</f>
        <v>0</v>
      </c>
      <c r="H50" s="1454"/>
      <c r="I50" s="2540" t="s">
        <v>2414</v>
      </c>
      <c r="J50" s="2553">
        <f>SUMPRODUCT((I63:I65=J47)*(J62:L62=J48)*(J63:L65))</f>
        <v>0</v>
      </c>
      <c r="K50" s="2562" t="s">
        <v>2438</v>
      </c>
      <c r="L50" s="2563"/>
      <c r="M50" s="2557"/>
      <c r="O50" s="2585" t="s">
        <v>2449</v>
      </c>
      <c r="P50" s="2593" t="s">
        <v>2475</v>
      </c>
      <c r="Q50" s="2586" t="e">
        <f ca="1">J58</f>
        <v>#DIV/0!</v>
      </c>
      <c r="R50" s="2584"/>
    </row>
    <row r="51" spans="1:18" s="1451" customFormat="1" ht="15.75" thickBot="1">
      <c r="A51" s="2429"/>
      <c r="B51" s="2431"/>
      <c r="C51" s="2432"/>
      <c r="D51" s="2401"/>
      <c r="E51" s="2433" t="s">
        <v>912</v>
      </c>
      <c r="F51" s="685">
        <f ca="1">F8</f>
        <v>0</v>
      </c>
      <c r="I51" s="2554" t="s">
        <v>2419</v>
      </c>
      <c r="J51" s="2555">
        <f>IF(J49="",J50,J49+J50-YEAR('数据-取费表'!B2))</f>
        <v>0</v>
      </c>
      <c r="K51" s="2564" t="s">
        <v>2439</v>
      </c>
      <c r="L51" s="2577">
        <f ca="1">ROUND(-PV(INDIRECT("'数据-取费表'!h"&amp;$G$1),L48,(C39-C13*C76),0),0)</f>
        <v>0</v>
      </c>
      <c r="M51" s="2558"/>
      <c r="O51" s="2585" t="s">
        <v>2450</v>
      </c>
      <c r="P51" s="2593" t="s">
        <v>2476</v>
      </c>
      <c r="Q51" s="2586">
        <f>J52</f>
        <v>0</v>
      </c>
      <c r="R51" s="2584"/>
    </row>
    <row r="52" spans="1:18" s="1451" customFormat="1" ht="15.75" thickBot="1">
      <c r="A52" s="2429"/>
      <c r="B52" s="2431"/>
      <c r="C52" s="2432"/>
      <c r="D52" s="2401"/>
      <c r="E52" s="2433" t="s">
        <v>913</v>
      </c>
      <c r="F52" s="2528"/>
      <c r="I52" s="2556" t="s">
        <v>2442</v>
      </c>
      <c r="J52" s="2570"/>
      <c r="K52" s="2556" t="s">
        <v>2427</v>
      </c>
      <c r="L52" s="2570"/>
      <c r="M52" s="2393"/>
      <c r="O52" s="2585" t="s">
        <v>2451</v>
      </c>
      <c r="P52" s="2593" t="s">
        <v>2468</v>
      </c>
      <c r="Q52" s="2584">
        <f ca="1">J53</f>
        <v>0</v>
      </c>
      <c r="R52" s="2584" t="s">
        <v>2469</v>
      </c>
    </row>
    <row r="53" spans="1:18" s="1451" customFormat="1" ht="43.5" thickBot="1">
      <c r="A53" s="2708" t="s">
        <v>2616</v>
      </c>
      <c r="B53" s="2709" t="s">
        <v>2526</v>
      </c>
      <c r="C53" s="698">
        <f>ROUND(IF(F53="押一",F49*F51*F50/12*F11,IF(F53="押二",F49*F51*F50/12*2*F11,IF(F53="押三",F49*F51*F50/12*3*F11,C54*F11))),0)</f>
        <v>0</v>
      </c>
      <c r="D53" s="2630" t="s">
        <v>2534</v>
      </c>
      <c r="E53" s="2093" t="s">
        <v>2528</v>
      </c>
      <c r="F53" s="2824"/>
      <c r="I53" s="2566" t="s">
        <v>2444</v>
      </c>
      <c r="J53" s="2567">
        <f ca="1">IF(M47="住宅",J51,MIN(J51,L48))</f>
        <v>0</v>
      </c>
      <c r="K53" s="3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09"/>
      <c r="O53" s="2583" t="s">
        <v>2452</v>
      </c>
      <c r="P53" s="2593" t="s">
        <v>2470</v>
      </c>
      <c r="Q53" s="2584" t="e">
        <f ca="1">Q47+Q48</f>
        <v>#DIV/0!</v>
      </c>
      <c r="R53" s="2584" t="s">
        <v>2453</v>
      </c>
    </row>
    <row r="54" spans="1:18" s="1451" customFormat="1" ht="16.5" thickBot="1">
      <c r="A54" s="2427"/>
      <c r="B54" s="2821" t="s">
        <v>2690</v>
      </c>
      <c r="C54" s="2411"/>
      <c r="D54" s="2630"/>
      <c r="E54" s="2774"/>
      <c r="F54" s="2536"/>
      <c r="I54" s="2408"/>
      <c r="J54" s="2565"/>
      <c r="K54" s="2565"/>
      <c r="L54" s="2565"/>
      <c r="M54" s="1455"/>
      <c r="O54" s="2587" t="s">
        <v>2477</v>
      </c>
      <c r="P54" s="1293"/>
      <c r="Q54" s="1293"/>
      <c r="R54" s="1293"/>
    </row>
    <row r="55" spans="1:18" s="1451" customFormat="1" ht="15.75" thickBot="1">
      <c r="A55" s="2666" t="s">
        <v>2539</v>
      </c>
      <c r="B55" s="2667" t="s">
        <v>2527</v>
      </c>
      <c r="C55" s="2668"/>
      <c r="D55" s="2630"/>
      <c r="E55" s="2713"/>
      <c r="F55" s="2536"/>
      <c r="I55" s="3309" t="s">
        <v>2420</v>
      </c>
      <c r="J55" s="3308" t="e">
        <f ca="1">ROUND(IF(J47="钢混",J57/J50,1-(1-2%)*(J50-J57)/J50),3)</f>
        <v>#DIV/0!</v>
      </c>
      <c r="K55" s="2547" t="s">
        <v>2421</v>
      </c>
      <c r="L55" s="2569"/>
      <c r="O55" s="2590" t="s">
        <v>2461</v>
      </c>
      <c r="P55" s="2591" t="s">
        <v>2462</v>
      </c>
      <c r="Q55" s="2592" t="s">
        <v>2460</v>
      </c>
      <c r="R55" s="2592" t="s">
        <v>2463</v>
      </c>
    </row>
    <row r="56" spans="1:18" s="1451" customFormat="1" ht="44.25" thickTop="1" thickBot="1">
      <c r="A56" s="2405">
        <v>2</v>
      </c>
      <c r="B56" s="2406" t="s">
        <v>914</v>
      </c>
      <c r="C56" s="608">
        <f ca="1">C13</f>
        <v>0</v>
      </c>
      <c r="D56" s="2694"/>
      <c r="E56" s="2407"/>
      <c r="F56" s="2536"/>
      <c r="I56" s="2539" t="s">
        <v>2422</v>
      </c>
      <c r="J56" s="2568"/>
      <c r="K56" s="2540" t="s">
        <v>2426</v>
      </c>
      <c r="L56" s="2164">
        <f ca="1">IF(L48&lt;J51,"——",L48-J51)</f>
        <v>0</v>
      </c>
      <c r="O56" s="2583" t="s">
        <v>2446</v>
      </c>
      <c r="P56" s="2593" t="s">
        <v>2464</v>
      </c>
      <c r="Q56" s="2584" t="e">
        <f ca="1">C40+J29</f>
        <v>#DIV/0!</v>
      </c>
      <c r="R56" s="2584" t="s">
        <v>2465</v>
      </c>
    </row>
    <row r="57" spans="1:18" s="1451" customFormat="1" ht="29.25" thickBot="1">
      <c r="A57" s="2537"/>
      <c r="B57" s="2398" t="s">
        <v>963</v>
      </c>
      <c r="C57" s="614">
        <f ca="1">C29</f>
        <v>0</v>
      </c>
      <c r="D57" s="2409"/>
      <c r="E57" s="2410"/>
      <c r="F57" s="2538"/>
      <c r="I57" s="2541" t="s">
        <v>2443</v>
      </c>
      <c r="J57" s="2545">
        <f ca="1">IF(OR(M47="住宅",J51&lt;L48,J56="是"),"——",J51-L48)</f>
        <v>0</v>
      </c>
      <c r="K57" s="2540" t="s">
        <v>2436</v>
      </c>
      <c r="L57" s="2164">
        <f ca="1">IF(L48&lt;J51,"——",IF(L55="比较法",L49,IF(L55="基准地价",L50,L51)))</f>
        <v>0</v>
      </c>
      <c r="O57" s="2583" t="s">
        <v>2447</v>
      </c>
      <c r="P57" s="2593" t="s">
        <v>2471</v>
      </c>
      <c r="Q57" s="2584" t="e">
        <f ca="1">L60</f>
        <v>#DIV/0!</v>
      </c>
      <c r="R57" s="2584" t="s">
        <v>2486</v>
      </c>
    </row>
    <row r="58" spans="1:18" s="1451" customFormat="1" ht="29.25" thickBot="1">
      <c r="A58" s="697" t="s">
        <v>2335</v>
      </c>
      <c r="B58" s="2406" t="s">
        <v>921</v>
      </c>
      <c r="C58" s="698">
        <f ca="1">ROUND(C59+C64+C65+C66,0)</f>
        <v>0</v>
      </c>
      <c r="D58" s="2412" t="s">
        <v>922</v>
      </c>
      <c r="E58" s="2413"/>
      <c r="F58" s="2414"/>
      <c r="I58" s="2541" t="s">
        <v>2423</v>
      </c>
      <c r="J58" s="3310" t="e">
        <f ca="1">IF(J55&lt;0.4,0.4,J55)</f>
        <v>#DIV/0!</v>
      </c>
      <c r="K58" s="2564" t="s">
        <v>2445</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1" customFormat="1" ht="29.25" thickBot="1">
      <c r="A59" s="2434" t="s">
        <v>2370</v>
      </c>
      <c r="B59" s="2398" t="s">
        <v>360</v>
      </c>
      <c r="C59" s="313">
        <f ca="1">ROUND(IF(项目基本情况!B11="自然人",C48*F59,C60+C61+C62),0)</f>
        <v>0</v>
      </c>
      <c r="D59" s="2415" t="s">
        <v>925</v>
      </c>
      <c r="E59" s="2416" t="s">
        <v>926</v>
      </c>
      <c r="F59" s="707" t="str">
        <f ca="1">IF(项目基本情况!B11="企业","",IF(INDIRECT("'数据-取费表'!c"&amp;$G$1)="住宅",5%,IF(F49*F50*F51/12/(1+'数据-取费表'!C42)&gt;20000,12%,7%)))</f>
        <v/>
      </c>
      <c r="I59" s="2541" t="s">
        <v>2424</v>
      </c>
      <c r="J59" s="2545" t="e">
        <f ca="1">IF(OR(M47="住宅",J51&lt;L48,J56="是"),"——",ROUND(C29*J58,0))</f>
        <v>#DIV/0!</v>
      </c>
      <c r="K59" s="2564" t="s">
        <v>2433</v>
      </c>
      <c r="L59" s="2164">
        <f ca="1">IF(ISERROR(POWER(1+L52,L47-J51)*(POWER(1+L52,J51)-1)/(POWER(1+L52,L47)-1)),0,POWER(1+L52,L47-J51)*(POWER(1+L52,J51)-1)/(POWER(1+L52,L47)-1))</f>
        <v>0</v>
      </c>
      <c r="O59" s="2585" t="s">
        <v>2449</v>
      </c>
      <c r="P59" s="2593" t="s">
        <v>2479</v>
      </c>
      <c r="Q59" s="2586">
        <f>L52</f>
        <v>0</v>
      </c>
      <c r="R59" s="2584"/>
    </row>
    <row r="60" spans="1:18" s="1451" customFormat="1" ht="20.25" thickBot="1">
      <c r="A60" s="2434" t="s">
        <v>2367</v>
      </c>
      <c r="B60" s="2398" t="s">
        <v>927</v>
      </c>
      <c r="C60" s="313">
        <f ca="1">IF(项目基本情况!B11="自然人","——",ROUND(C48*F60/(1+'数据-取费表'!C42),0))</f>
        <v>0</v>
      </c>
      <c r="D60" s="2416" t="s">
        <v>928</v>
      </c>
      <c r="E60" s="2398" t="s">
        <v>362</v>
      </c>
      <c r="F60" s="716">
        <f t="shared" ref="F60:F66" si="0">F32</f>
        <v>5.6000000000000001E-2</v>
      </c>
      <c r="I60" s="2542" t="s">
        <v>2425</v>
      </c>
      <c r="J60" s="2546" t="e">
        <f ca="1">IF(OR(M47="住宅",J51&lt;L48,J56="是"),"0",ROUND(J59/(1+J52)^J53,0))</f>
        <v>#DIV/0!</v>
      </c>
      <c r="K60" s="2548" t="s">
        <v>2428</v>
      </c>
      <c r="L60" s="2546" t="e">
        <f ca="1">IF(OR(M47="住宅",L48&lt;J51),0,ROUND(L57*(L58/L59-1),0))</f>
        <v>#DIV/0!</v>
      </c>
      <c r="O60" s="2585" t="s">
        <v>2450</v>
      </c>
      <c r="P60" s="2593" t="s">
        <v>2480</v>
      </c>
      <c r="Q60" s="2584">
        <f ca="1">L58</f>
        <v>0</v>
      </c>
      <c r="R60" s="2584" t="s">
        <v>2455</v>
      </c>
    </row>
    <row r="61" spans="1:18" s="1451" customFormat="1" ht="20.25" thickBot="1">
      <c r="A61" s="2434" t="s">
        <v>2368</v>
      </c>
      <c r="B61" s="2398" t="s">
        <v>930</v>
      </c>
      <c r="C61" s="313">
        <f ca="1">IF(项目基本情况!B11="自然人","——",IF(D61="按租金收入计税",ROUND(C48*F61,0),IF(D61="按房产原值计税",ROUND(C57*F61*0.7,0),INDIRECT("'数据-取费表'!Aj"&amp;$G$1))))</f>
        <v>0</v>
      </c>
      <c r="D61" s="1298" t="s">
        <v>2410</v>
      </c>
      <c r="E61" s="2398" t="s">
        <v>362</v>
      </c>
      <c r="F61" s="706">
        <f t="shared" si="0"/>
        <v>1.2E-2</v>
      </c>
      <c r="I61" s="2408"/>
      <c r="J61" s="2408"/>
      <c r="K61" s="2408"/>
      <c r="L61" s="2408"/>
      <c r="O61" s="2585" t="s">
        <v>2451</v>
      </c>
      <c r="P61" s="2593" t="s">
        <v>2481</v>
      </c>
      <c r="Q61" s="2584">
        <f ca="1">L59</f>
        <v>0</v>
      </c>
      <c r="R61" s="2584" t="s">
        <v>2456</v>
      </c>
    </row>
    <row r="62" spans="1:18" s="1451" customFormat="1" ht="15.75" thickBot="1">
      <c r="A62" s="2434" t="s">
        <v>2369</v>
      </c>
      <c r="B62" s="2397" t="s">
        <v>932</v>
      </c>
      <c r="C62" s="314">
        <f ca="1">IF(项目基本情况!B11="自然人","——",ROUND(F62*F63,0))</f>
        <v>0</v>
      </c>
      <c r="D62" s="2417" t="s">
        <v>933</v>
      </c>
      <c r="E62" s="2398" t="s">
        <v>934</v>
      </c>
      <c r="F62" s="710">
        <f t="shared" si="0"/>
        <v>1.5</v>
      </c>
      <c r="I62" s="2543" t="s">
        <v>2415</v>
      </c>
      <c r="J62" s="2544" t="s">
        <v>2416</v>
      </c>
      <c r="K62" s="2544" t="s">
        <v>2417</v>
      </c>
      <c r="L62" s="2544" t="s">
        <v>2413</v>
      </c>
      <c r="M62" s="3311" t="s">
        <v>3034</v>
      </c>
      <c r="O62" s="2583" t="s">
        <v>2452</v>
      </c>
      <c r="P62" s="2593" t="s">
        <v>2470</v>
      </c>
      <c r="Q62" s="2584" t="e">
        <f ca="1">Q56+Q57</f>
        <v>#DIV/0!</v>
      </c>
      <c r="R62" s="2584" t="s">
        <v>2453</v>
      </c>
    </row>
    <row r="63" spans="1:18" s="1451" customFormat="1" ht="16.5" thickBot="1">
      <c r="A63" s="711"/>
      <c r="B63" s="2404"/>
      <c r="C63" s="318"/>
      <c r="D63" s="2418"/>
      <c r="E63" s="2398" t="s">
        <v>938</v>
      </c>
      <c r="F63" s="685">
        <f t="shared" ca="1" si="0"/>
        <v>0</v>
      </c>
      <c r="I63" s="2543" t="s">
        <v>2429</v>
      </c>
      <c r="J63" s="3314">
        <v>70</v>
      </c>
      <c r="K63" s="3314">
        <v>50</v>
      </c>
      <c r="L63" s="3314">
        <v>80</v>
      </c>
      <c r="M63" s="3312">
        <v>0.02</v>
      </c>
      <c r="O63" s="2587" t="s">
        <v>2484</v>
      </c>
      <c r="P63" s="1293"/>
      <c r="Q63" s="1293"/>
      <c r="R63" s="1293"/>
    </row>
    <row r="64" spans="1:18" s="1451" customFormat="1" ht="15.75" thickBot="1">
      <c r="A64" s="2434" t="s">
        <v>2377</v>
      </c>
      <c r="B64" s="2398" t="s">
        <v>940</v>
      </c>
      <c r="C64" s="313">
        <f ca="1">ROUND(C57*F64,0)</f>
        <v>0</v>
      </c>
      <c r="D64" s="2416" t="s">
        <v>970</v>
      </c>
      <c r="E64" s="2398" t="s">
        <v>362</v>
      </c>
      <c r="F64" s="713">
        <f t="shared" ca="1" si="0"/>
        <v>0</v>
      </c>
      <c r="I64" s="2543" t="s">
        <v>107</v>
      </c>
      <c r="J64" s="3314">
        <v>50</v>
      </c>
      <c r="K64" s="3314">
        <v>35</v>
      </c>
      <c r="L64" s="3314">
        <v>60</v>
      </c>
      <c r="M64" s="3313">
        <v>0</v>
      </c>
      <c r="O64" s="2590" t="s">
        <v>2461</v>
      </c>
      <c r="P64" s="2591" t="s">
        <v>2462</v>
      </c>
      <c r="Q64" s="2592" t="s">
        <v>2460</v>
      </c>
      <c r="R64" s="2592" t="s">
        <v>2463</v>
      </c>
    </row>
    <row r="65" spans="1:18" s="1451" customFormat="1" ht="15.75" thickBot="1">
      <c r="A65" s="2434" t="s">
        <v>2371</v>
      </c>
      <c r="B65" s="2398" t="s">
        <v>365</v>
      </c>
      <c r="C65" s="313">
        <f ca="1">ROUND(C56*F65,0)</f>
        <v>0</v>
      </c>
      <c r="D65" s="2416" t="s">
        <v>366</v>
      </c>
      <c r="E65" s="2398" t="s">
        <v>362</v>
      </c>
      <c r="F65" s="715">
        <f t="shared" ca="1" si="0"/>
        <v>0</v>
      </c>
      <c r="I65" s="2543" t="s">
        <v>2431</v>
      </c>
      <c r="J65" s="3314">
        <v>40</v>
      </c>
      <c r="K65" s="3314">
        <v>30</v>
      </c>
      <c r="L65" s="3314">
        <v>50</v>
      </c>
      <c r="M65" s="3312">
        <v>0.02</v>
      </c>
      <c r="O65" s="2583" t="s">
        <v>2446</v>
      </c>
      <c r="P65" s="2593" t="s">
        <v>2464</v>
      </c>
      <c r="Q65" s="2584" t="e">
        <f ca="1">C40+J29</f>
        <v>#DIV/0!</v>
      </c>
      <c r="R65" s="2584" t="s">
        <v>2465</v>
      </c>
    </row>
    <row r="66" spans="1:18" s="1451" customFormat="1" ht="20.25" thickBot="1">
      <c r="A66" s="2434" t="s">
        <v>2372</v>
      </c>
      <c r="B66" s="2398" t="s">
        <v>364</v>
      </c>
      <c r="C66" s="313">
        <f ca="1">ROUND(C48*F66,0)</f>
        <v>0</v>
      </c>
      <c r="D66" s="2416" t="s">
        <v>368</v>
      </c>
      <c r="E66" s="2398" t="s">
        <v>362</v>
      </c>
      <c r="F66" s="694">
        <f t="shared" ca="1" si="0"/>
        <v>0</v>
      </c>
      <c r="O66" s="2583" t="s">
        <v>2447</v>
      </c>
      <c r="P66" s="2593" t="s">
        <v>2471</v>
      </c>
      <c r="Q66" s="2584" t="e">
        <f ca="1">L60</f>
        <v>#DIV/0!</v>
      </c>
      <c r="R66" s="2584" t="s">
        <v>2454</v>
      </c>
    </row>
    <row r="67" spans="1:18" s="1451" customFormat="1" ht="24.75" thickBot="1">
      <c r="A67" s="2405" t="s">
        <v>2350</v>
      </c>
      <c r="B67" s="2419" t="s">
        <v>374</v>
      </c>
      <c r="C67" s="698">
        <f ca="1">C48-C58</f>
        <v>0</v>
      </c>
      <c r="D67" s="2415" t="s">
        <v>375</v>
      </c>
      <c r="E67" s="2420"/>
      <c r="F67" s="2421"/>
      <c r="O67" s="2585" t="s">
        <v>2448</v>
      </c>
      <c r="P67" s="2593" t="s">
        <v>2478</v>
      </c>
      <c r="Q67" s="2588">
        <f ca="1">L51</f>
        <v>0</v>
      </c>
      <c r="R67" s="2589" t="s">
        <v>2488</v>
      </c>
    </row>
    <row r="68" spans="1:18" s="1451" customFormat="1" ht="20.25" thickBot="1">
      <c r="A68" s="2395" t="s">
        <v>2353</v>
      </c>
      <c r="B68" s="2396" t="s">
        <v>376</v>
      </c>
      <c r="C68" s="683" t="e">
        <f ca="1">ROUND(C67*(1-((1+F70)/(1+F68))^F69)/(F68-F70),0)</f>
        <v>#DIV/0!</v>
      </c>
      <c r="D68" s="2417" t="s">
        <v>370</v>
      </c>
      <c r="E68" s="2398" t="s">
        <v>371</v>
      </c>
      <c r="F68" s="694">
        <f ca="1">F40</f>
        <v>0</v>
      </c>
      <c r="O68" s="2585" t="s">
        <v>2449</v>
      </c>
      <c r="P68" s="2594" t="s">
        <v>2482</v>
      </c>
      <c r="Q68" s="2584">
        <f ca="1">ROUND(Q69-Q70*Q71,0)</f>
        <v>0</v>
      </c>
      <c r="R68" s="2584" t="s">
        <v>2487</v>
      </c>
    </row>
    <row r="69" spans="1:18" s="1451" customFormat="1" ht="15.75" thickBot="1">
      <c r="A69" s="2399"/>
      <c r="B69" s="2400"/>
      <c r="C69" s="688"/>
      <c r="D69" s="2422" t="s">
        <v>955</v>
      </c>
      <c r="E69" s="2398" t="s">
        <v>378</v>
      </c>
      <c r="F69" s="718">
        <f ca="1">F41</f>
        <v>0</v>
      </c>
      <c r="O69" s="2585" t="s">
        <v>2457</v>
      </c>
      <c r="P69" s="2594" t="s">
        <v>2472</v>
      </c>
      <c r="Q69" s="2584">
        <f ca="1">C39</f>
        <v>0</v>
      </c>
      <c r="R69" s="2584" t="s">
        <v>2465</v>
      </c>
    </row>
    <row r="70" spans="1:18" s="1451" customFormat="1" ht="15.75" thickBot="1">
      <c r="A70" s="2402"/>
      <c r="B70" s="2403"/>
      <c r="C70" s="692"/>
      <c r="D70" s="2418"/>
      <c r="E70" s="2398" t="s">
        <v>379</v>
      </c>
      <c r="F70" s="2528">
        <f ca="1">F42</f>
        <v>0</v>
      </c>
      <c r="O70" s="2585" t="s">
        <v>2458</v>
      </c>
      <c r="P70" s="2594" t="s">
        <v>2473</v>
      </c>
      <c r="Q70" s="2584">
        <f ca="1">C13</f>
        <v>0</v>
      </c>
      <c r="R70" s="2584" t="s">
        <v>2465</v>
      </c>
    </row>
    <row r="71" spans="1:18" s="1451" customFormat="1" ht="15.75" thickBot="1">
      <c r="A71" s="2423" t="s">
        <v>2360</v>
      </c>
      <c r="B71" s="2424" t="s">
        <v>380</v>
      </c>
      <c r="C71" s="721" t="e">
        <f ca="1">ROUND(C68/F71,0)</f>
        <v>#DIV/0!</v>
      </c>
      <c r="D71" s="2425" t="s">
        <v>381</v>
      </c>
      <c r="E71" s="2426" t="s">
        <v>382</v>
      </c>
      <c r="F71" s="724">
        <f ca="1">F43</f>
        <v>0</v>
      </c>
      <c r="I71" s="2393"/>
      <c r="K71" s="2393"/>
      <c r="O71" s="2585" t="s">
        <v>2459</v>
      </c>
      <c r="P71" s="2594" t="s">
        <v>2485</v>
      </c>
      <c r="Q71" s="2586">
        <f ca="1">C76</f>
        <v>0</v>
      </c>
      <c r="R71" s="2584"/>
    </row>
    <row r="72" spans="1:18" s="1451" customFormat="1" ht="15.75" thickBot="1">
      <c r="B72" s="1456"/>
      <c r="C72" s="1456"/>
      <c r="I72" s="2393"/>
      <c r="O72" s="2585" t="s">
        <v>2450</v>
      </c>
      <c r="P72" s="2593" t="s">
        <v>2479</v>
      </c>
      <c r="Q72" s="2586">
        <f>L52</f>
        <v>0</v>
      </c>
      <c r="R72" s="2584"/>
    </row>
    <row r="73" spans="1:18" ht="20.25" thickBot="1">
      <c r="A73" s="1451"/>
      <c r="B73" s="1456"/>
      <c r="C73" s="1456"/>
      <c r="D73" s="1451"/>
      <c r="E73" s="1451"/>
      <c r="F73" s="1451"/>
      <c r="I73" s="2579"/>
      <c r="O73" s="2585" t="s">
        <v>2451</v>
      </c>
      <c r="P73" s="2593" t="s">
        <v>2480</v>
      </c>
      <c r="Q73" s="2584">
        <f ca="1">L58</f>
        <v>0</v>
      </c>
      <c r="R73" s="2584" t="s">
        <v>2455</v>
      </c>
    </row>
    <row r="74" spans="1:18" ht="20.25" thickBot="1">
      <c r="A74" s="1451"/>
      <c r="B74" s="726" t="s">
        <v>383</v>
      </c>
      <c r="C74" s="727"/>
      <c r="D74" s="1451"/>
      <c r="E74" s="1451"/>
      <c r="F74" s="1451"/>
      <c r="O74" s="2585" t="s">
        <v>2489</v>
      </c>
      <c r="P74" s="2593" t="s">
        <v>2481</v>
      </c>
      <c r="Q74" s="2584">
        <f ca="1">L59</f>
        <v>0</v>
      </c>
      <c r="R74" s="2584" t="s">
        <v>2456</v>
      </c>
    </row>
    <row r="75" spans="1:18" ht="15.75" thickBot="1">
      <c r="A75" s="1451"/>
      <c r="B75" s="728" t="s">
        <v>968</v>
      </c>
      <c r="C75" s="729">
        <f ca="1">ROUND(C13*C76,0)</f>
        <v>0</v>
      </c>
      <c r="D75" s="1451"/>
      <c r="E75" s="1451"/>
      <c r="F75" s="1451"/>
      <c r="K75" s="1452"/>
      <c r="L75" s="1451"/>
      <c r="O75" s="2583" t="s">
        <v>2452</v>
      </c>
      <c r="P75" s="2593" t="s">
        <v>2470</v>
      </c>
      <c r="Q75" s="2584" t="e">
        <f ca="1">Q65+Q66</f>
        <v>#DIV/0!</v>
      </c>
      <c r="R75" s="2584" t="s">
        <v>2453</v>
      </c>
    </row>
    <row r="76" spans="1:18">
      <c r="B76" s="730" t="s">
        <v>969</v>
      </c>
      <c r="C76" s="731">
        <f ca="1">INDIRECT("'数据-取费表'!j"&amp;$G$1)</f>
        <v>0</v>
      </c>
      <c r="I76" s="1451"/>
      <c r="J76" s="1451"/>
      <c r="K76" s="1452"/>
      <c r="L76" s="1451"/>
    </row>
    <row r="77" spans="1:18">
      <c r="B77" s="732" t="s">
        <v>972</v>
      </c>
      <c r="C77" s="733"/>
      <c r="I77" s="1451"/>
      <c r="J77" s="1451"/>
      <c r="K77" s="1452"/>
      <c r="L77" s="1451"/>
    </row>
    <row r="78" spans="1:18">
      <c r="B78" s="646" t="s">
        <v>958</v>
      </c>
      <c r="C78" s="734"/>
    </row>
    <row r="79" spans="1:18">
      <c r="B79" s="2869" t="s">
        <v>2697</v>
      </c>
      <c r="C79" s="650" t="e">
        <f ca="1">1-C80</f>
        <v>#DIV/0!</v>
      </c>
    </row>
    <row r="80" spans="1:18">
      <c r="B80" s="2869" t="s">
        <v>2698</v>
      </c>
      <c r="C80" s="650" t="e">
        <f ca="1">ROUND(C75/C39,3)</f>
        <v>#DIV/0!</v>
      </c>
    </row>
    <row r="81" spans="2:3">
      <c r="B81" s="646" t="s">
        <v>384</v>
      </c>
      <c r="C81" s="647"/>
    </row>
    <row r="82" spans="2:3">
      <c r="B82" s="2868" t="s">
        <v>2695</v>
      </c>
      <c r="C82" s="651" t="e">
        <f ca="1">1-C83</f>
        <v>#DIV/0!</v>
      </c>
    </row>
    <row r="83" spans="2:3">
      <c r="B83" s="2868" t="s">
        <v>2694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8" sqref="C48"/>
    </sheetView>
  </sheetViews>
  <sheetFormatPr defaultRowHeight="13.5"/>
  <cols>
    <col min="1" max="1" width="23.625" customWidth="1"/>
    <col min="2" max="2" width="12" customWidth="1"/>
    <col min="4" max="4" width="14.125" customWidth="1"/>
    <col min="6" max="6" width="12.875" customWidth="1"/>
  </cols>
  <sheetData>
    <row r="1" spans="1:6" ht="20.25">
      <c r="A1" s="2779" t="s">
        <v>2669</v>
      </c>
      <c r="B1" s="2780"/>
      <c r="C1" s="2780"/>
      <c r="D1" s="2780"/>
      <c r="E1" s="2781"/>
    </row>
    <row r="2" spans="1:6" ht="14.25">
      <c r="A2" s="2782" t="s">
        <v>2670</v>
      </c>
      <c r="B2" s="2776">
        <f ca="1">SUMIF(B6:B13,"&lt;&gt;#ref!",B6:B13)</f>
        <v>4488</v>
      </c>
      <c r="C2" s="2777" t="s">
        <v>2667</v>
      </c>
      <c r="D2" s="2778" t="s">
        <v>2672</v>
      </c>
      <c r="E2" s="2786">
        <f>SUM(E6:E13)</f>
        <v>8863.2099999999991</v>
      </c>
    </row>
    <row r="3" spans="1:6" ht="14.25">
      <c r="A3" s="2782" t="s">
        <v>2671</v>
      </c>
      <c r="B3" s="2776">
        <f ca="1">ROUND(B2*10000/E2,0)</f>
        <v>5064</v>
      </c>
      <c r="C3" s="2777" t="s">
        <v>2668</v>
      </c>
      <c r="D3" s="2783"/>
      <c r="E3" s="2787"/>
    </row>
    <row r="4" spans="1:6" ht="14.25">
      <c r="A4" s="2788"/>
      <c r="B4" s="2783"/>
      <c r="C4" s="2783"/>
      <c r="D4" s="2783"/>
      <c r="E4" s="2787"/>
    </row>
    <row r="5" spans="1:6">
      <c r="A5" s="2792" t="s">
        <v>2674</v>
      </c>
      <c r="B5" s="3710" t="s">
        <v>2676</v>
      </c>
      <c r="C5" s="3710"/>
      <c r="D5" s="2791"/>
      <c r="E5" s="3328" t="s">
        <v>2675</v>
      </c>
      <c r="F5" s="3329" t="s">
        <v>3050</v>
      </c>
    </row>
    <row r="6" spans="1:6">
      <c r="A6" s="2789">
        <f>'数据-取费表'!AN6</f>
        <v>0</v>
      </c>
      <c r="B6" s="2785" t="e">
        <f ca="1">IF(F6="是",'数据-取费表'!AO6,0)</f>
        <v>#REF!</v>
      </c>
      <c r="C6" s="2777" t="s">
        <v>2667</v>
      </c>
      <c r="D6" s="2783"/>
      <c r="E6" s="1539">
        <f>IF(OR(A6=0,F6="否"),0,'数据-取费表'!K6+'数据-取费表'!S6)</f>
        <v>0</v>
      </c>
      <c r="F6" s="3330" t="s">
        <v>3051</v>
      </c>
    </row>
    <row r="7" spans="1:6">
      <c r="A7" s="2789">
        <f>'数据-取费表'!AN7</f>
        <v>0</v>
      </c>
      <c r="B7" s="2785" t="e">
        <f ca="1">IF(F7="是",'数据-取费表'!AO7,0)</f>
        <v>#REF!</v>
      </c>
      <c r="C7" s="2777" t="s">
        <v>2667</v>
      </c>
      <c r="D7" s="2783"/>
      <c r="E7" s="1539">
        <f>IF(OR(A7=0,F7="否"),0,'数据-取费表'!K7+'数据-取费表'!S7)</f>
        <v>0</v>
      </c>
      <c r="F7" s="3330" t="s">
        <v>3051</v>
      </c>
    </row>
    <row r="8" spans="1:6">
      <c r="A8" s="2789" t="str">
        <f>'数据-取费表'!AN8</f>
        <v>收益法车</v>
      </c>
      <c r="B8" s="2785">
        <f ca="1">IF(F8="是",'数据-取费表'!AO8,0)</f>
        <v>2628</v>
      </c>
      <c r="C8" s="2777" t="s">
        <v>2667</v>
      </c>
      <c r="D8" s="2783"/>
      <c r="E8" s="1539">
        <f>IF(OR(A8=0,F8="否"),0,'数据-取费表'!K8+'数据-取费表'!S8)</f>
        <v>6160.59</v>
      </c>
      <c r="F8" s="3330" t="s">
        <v>3051</v>
      </c>
    </row>
    <row r="9" spans="1:6">
      <c r="A9" s="2789" t="str">
        <f>'数据-取费表'!AN9</f>
        <v>收益法仓</v>
      </c>
      <c r="B9" s="2785">
        <f ca="1">IF(F9="是",'数据-取费表'!AO9,0)</f>
        <v>1860</v>
      </c>
      <c r="C9" s="2777" t="s">
        <v>2667</v>
      </c>
      <c r="D9" s="2783"/>
      <c r="E9" s="1539">
        <f>IF(OR(A9=0,F9="否"),0,'数据-取费表'!K9+'数据-取费表'!S9)</f>
        <v>2702.62</v>
      </c>
      <c r="F9" s="3330" t="s">
        <v>3051</v>
      </c>
    </row>
    <row r="10" spans="1:6">
      <c r="A10" s="2789">
        <f>'数据-取费表'!AN10</f>
        <v>0</v>
      </c>
      <c r="B10" s="2785" t="e">
        <f ca="1">IF(F10="是",'数据-取费表'!AO10,0)</f>
        <v>#REF!</v>
      </c>
      <c r="C10" s="2777" t="s">
        <v>2667</v>
      </c>
      <c r="D10" s="2783"/>
      <c r="E10" s="1539">
        <f>IF(OR(A10=0,F10="否"),0,'数据-取费表'!K10+'数据-取费表'!S10)</f>
        <v>0</v>
      </c>
      <c r="F10" s="3330" t="s">
        <v>3051</v>
      </c>
    </row>
    <row r="11" spans="1:6">
      <c r="A11" s="2789">
        <f>'数据-取费表'!AN11</f>
        <v>0</v>
      </c>
      <c r="B11" s="2785" t="e">
        <f ca="1">IF(F11="是",'数据-取费表'!AO11,0)</f>
        <v>#REF!</v>
      </c>
      <c r="C11" s="2777" t="s">
        <v>2667</v>
      </c>
      <c r="D11" s="2783"/>
      <c r="E11" s="1539">
        <f>IF(OR(A11=0,F11="否"),0,'数据-取费表'!K11+'数据-取费表'!S11)</f>
        <v>0</v>
      </c>
      <c r="F11" s="3330" t="s">
        <v>3051</v>
      </c>
    </row>
    <row r="12" spans="1:6">
      <c r="A12" s="2789">
        <f>'数据-取费表'!AN12</f>
        <v>0</v>
      </c>
      <c r="B12" s="2785" t="e">
        <f ca="1">IF(F12="是",'数据-取费表'!AO12,0)</f>
        <v>#REF!</v>
      </c>
      <c r="C12" s="2777" t="s">
        <v>2667</v>
      </c>
      <c r="D12" s="2783"/>
      <c r="E12" s="1539">
        <f>IF(OR(A12=0,F12="否"),0,'数据-取费表'!K12+'数据-取费表'!S12)</f>
        <v>0</v>
      </c>
      <c r="F12" s="3330" t="s">
        <v>3051</v>
      </c>
    </row>
    <row r="13" spans="1:6" ht="14.25" thickBot="1">
      <c r="A13" s="2790">
        <f>'数据-取费表'!AN13</f>
        <v>0</v>
      </c>
      <c r="B13" s="2785" t="e">
        <f ca="1">IF(F13="是",'数据-取费表'!AO13,0)</f>
        <v>#REF!</v>
      </c>
      <c r="C13" s="2793" t="s">
        <v>2667</v>
      </c>
      <c r="D13" s="2784"/>
      <c r="E13" s="1539">
        <f>IF(OR(A13=0,F13="否"),0,'数据-取费表'!K13+'数据-取费表'!S13)</f>
        <v>0</v>
      </c>
      <c r="F13" s="3330" t="s">
        <v>3051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11" t="s">
        <v>2543</v>
      </c>
      <c r="B1" s="3712"/>
      <c r="C1" s="3713"/>
      <c r="D1" s="3714">
        <f>SUM(I10,I15,I20,I21,I23)</f>
        <v>0</v>
      </c>
      <c r="E1" s="3714"/>
      <c r="F1" s="3714"/>
      <c r="G1" s="3714"/>
      <c r="H1" s="3714"/>
      <c r="I1" s="3715"/>
    </row>
    <row r="2" spans="1:9">
      <c r="A2" s="3716" t="s">
        <v>2544</v>
      </c>
      <c r="B2" s="3717" t="s">
        <v>2545</v>
      </c>
      <c r="C2" s="3717"/>
      <c r="D2" s="2634" t="s">
        <v>2546</v>
      </c>
      <c r="E2" s="2634" t="s">
        <v>2547</v>
      </c>
      <c r="F2" s="2634" t="s">
        <v>2548</v>
      </c>
      <c r="G2" s="2634" t="s">
        <v>2549</v>
      </c>
      <c r="H2" s="2634" t="s">
        <v>2550</v>
      </c>
      <c r="I2" s="2635" t="s">
        <v>2551</v>
      </c>
    </row>
    <row r="3" spans="1:9">
      <c r="A3" s="3716"/>
      <c r="B3" s="3717" t="s">
        <v>2552</v>
      </c>
      <c r="C3" s="3717"/>
      <c r="D3" s="2636"/>
      <c r="E3" s="2634"/>
      <c r="F3" s="2637"/>
      <c r="G3" s="2637"/>
      <c r="H3" s="2638"/>
      <c r="I3" s="2639">
        <f>ROUND(D3*E3*F3*G3*H3/10000,0)</f>
        <v>0</v>
      </c>
    </row>
    <row r="4" spans="1:9">
      <c r="A4" s="3716"/>
      <c r="B4" s="3717" t="s">
        <v>2553</v>
      </c>
      <c r="C4" s="3717"/>
      <c r="D4" s="2636"/>
      <c r="E4" s="2634"/>
      <c r="F4" s="2637"/>
      <c r="G4" s="2637"/>
      <c r="H4" s="2638"/>
      <c r="I4" s="2639">
        <f t="shared" ref="I4:I9" si="0">ROUND(D4*E4*F4*G4*H4/10000,0)</f>
        <v>0</v>
      </c>
    </row>
    <row r="5" spans="1:9">
      <c r="A5" s="3716"/>
      <c r="B5" s="3717" t="s">
        <v>2554</v>
      </c>
      <c r="C5" s="3717"/>
      <c r="D5" s="2636"/>
      <c r="E5" s="2634"/>
      <c r="F5" s="2637"/>
      <c r="G5" s="2637"/>
      <c r="H5" s="2638"/>
      <c r="I5" s="2639">
        <f t="shared" si="0"/>
        <v>0</v>
      </c>
    </row>
    <row r="6" spans="1:9">
      <c r="A6" s="3716"/>
      <c r="B6" s="3717" t="s">
        <v>2555</v>
      </c>
      <c r="C6" s="3717"/>
      <c r="D6" s="2636"/>
      <c r="E6" s="2634"/>
      <c r="F6" s="2637"/>
      <c r="G6" s="2637"/>
      <c r="H6" s="2638"/>
      <c r="I6" s="2639">
        <f t="shared" si="0"/>
        <v>0</v>
      </c>
    </row>
    <row r="7" spans="1:9">
      <c r="A7" s="3716"/>
      <c r="B7" s="3717" t="s">
        <v>2556</v>
      </c>
      <c r="C7" s="3717"/>
      <c r="D7" s="2636"/>
      <c r="E7" s="2634"/>
      <c r="F7" s="2637"/>
      <c r="G7" s="2637"/>
      <c r="H7" s="2638"/>
      <c r="I7" s="2639">
        <f t="shared" si="0"/>
        <v>0</v>
      </c>
    </row>
    <row r="8" spans="1:9">
      <c r="A8" s="3716"/>
      <c r="B8" s="3717" t="s">
        <v>2557</v>
      </c>
      <c r="C8" s="3717"/>
      <c r="D8" s="2636"/>
      <c r="E8" s="2634"/>
      <c r="F8" s="2637"/>
      <c r="G8" s="2637"/>
      <c r="H8" s="2638"/>
      <c r="I8" s="2639">
        <f t="shared" si="0"/>
        <v>0</v>
      </c>
    </row>
    <row r="9" spans="1:9">
      <c r="A9" s="3716"/>
      <c r="B9" s="3717" t="s">
        <v>2558</v>
      </c>
      <c r="C9" s="3717"/>
      <c r="D9" s="2636"/>
      <c r="E9" s="2634"/>
      <c r="F9" s="2637"/>
      <c r="G9" s="2637"/>
      <c r="H9" s="2638"/>
      <c r="I9" s="2639">
        <f t="shared" si="0"/>
        <v>0</v>
      </c>
    </row>
    <row r="10" spans="1:9">
      <c r="A10" s="3716"/>
      <c r="B10" s="3718" t="s">
        <v>2559</v>
      </c>
      <c r="C10" s="3718"/>
      <c r="D10" s="2640"/>
      <c r="E10" s="2640" t="e">
        <f>ROUND(D1*10000/D10/H9,0)</f>
        <v>#DIV/0!</v>
      </c>
      <c r="F10" s="2641"/>
      <c r="G10" s="2641"/>
      <c r="H10" s="2642"/>
      <c r="I10" s="2643">
        <f>SUM(I3:I9)</f>
        <v>0</v>
      </c>
    </row>
    <row r="11" spans="1:9" ht="14.25">
      <c r="A11" s="3716" t="s">
        <v>2560</v>
      </c>
      <c r="B11" s="3717" t="s">
        <v>2561</v>
      </c>
      <c r="C11" s="3717"/>
      <c r="D11" s="2636" t="s">
        <v>2562</v>
      </c>
      <c r="E11" s="2636" t="s">
        <v>2563</v>
      </c>
      <c r="F11" s="2637" t="s">
        <v>2564</v>
      </c>
      <c r="G11" s="2637" t="s">
        <v>2550</v>
      </c>
      <c r="H11" s="2644" t="s">
        <v>2565</v>
      </c>
      <c r="I11" s="2635" t="s">
        <v>2551</v>
      </c>
    </row>
    <row r="12" spans="1:9">
      <c r="A12" s="3716"/>
      <c r="B12" s="3717" t="s">
        <v>2566</v>
      </c>
      <c r="C12" s="3717"/>
      <c r="D12" s="2636"/>
      <c r="E12" s="2636"/>
      <c r="F12" s="2637"/>
      <c r="G12" s="2638"/>
      <c r="H12" s="2645"/>
      <c r="I12" s="2635">
        <f>ROUND(D12*E12*F12*G12/10000,0)</f>
        <v>0</v>
      </c>
    </row>
    <row r="13" spans="1:9">
      <c r="A13" s="3716"/>
      <c r="B13" s="3717" t="s">
        <v>2567</v>
      </c>
      <c r="C13" s="3717"/>
      <c r="D13" s="2636"/>
      <c r="E13" s="2636"/>
      <c r="F13" s="2637"/>
      <c r="G13" s="2638"/>
      <c r="H13" s="2645"/>
      <c r="I13" s="2635">
        <f>ROUND(D13*E13*F13*G13/10000,0)</f>
        <v>0</v>
      </c>
    </row>
    <row r="14" spans="1:9">
      <c r="A14" s="3716"/>
      <c r="B14" s="3717" t="s">
        <v>2568</v>
      </c>
      <c r="C14" s="3717"/>
      <c r="D14" s="2636"/>
      <c r="E14" s="2636"/>
      <c r="F14" s="2637"/>
      <c r="G14" s="2638"/>
      <c r="H14" s="2645"/>
      <c r="I14" s="2635">
        <f>ROUND(D14*E14*F14*G14/10000,0)</f>
        <v>0</v>
      </c>
    </row>
    <row r="15" spans="1:9">
      <c r="A15" s="3716"/>
      <c r="B15" s="3718" t="s">
        <v>2559</v>
      </c>
      <c r="C15" s="3718"/>
      <c r="D15" s="2640"/>
      <c r="E15" s="2640">
        <f>SUM(E12:E14)</f>
        <v>0</v>
      </c>
      <c r="F15" s="2641"/>
      <c r="G15" s="2638"/>
      <c r="H15" s="2645"/>
      <c r="I15" s="2646">
        <f>SUM(I12:I14)</f>
        <v>0</v>
      </c>
    </row>
    <row r="16" spans="1:9" ht="24">
      <c r="A16" s="3716" t="s">
        <v>2569</v>
      </c>
      <c r="B16" s="3717" t="s">
        <v>2570</v>
      </c>
      <c r="C16" s="3717"/>
      <c r="D16" s="2636" t="s">
        <v>2546</v>
      </c>
      <c r="E16" s="2647" t="s">
        <v>2571</v>
      </c>
      <c r="F16" s="2637" t="s">
        <v>2572</v>
      </c>
      <c r="G16" s="2638" t="s">
        <v>2550</v>
      </c>
      <c r="H16" s="2644" t="s">
        <v>2565</v>
      </c>
      <c r="I16" s="2635" t="s">
        <v>2551</v>
      </c>
    </row>
    <row r="17" spans="1:9" ht="14.25">
      <c r="A17" s="3716"/>
      <c r="B17" s="3717" t="s">
        <v>2573</v>
      </c>
      <c r="C17" s="3717"/>
      <c r="D17" s="2636"/>
      <c r="E17" s="2636"/>
      <c r="F17" s="2637"/>
      <c r="G17" s="2638"/>
      <c r="H17" s="2648"/>
      <c r="I17" s="2649">
        <f>ROUND(D17*E17*F17*G17/10000,0)</f>
        <v>0</v>
      </c>
    </row>
    <row r="18" spans="1:9" ht="14.25">
      <c r="A18" s="3716"/>
      <c r="B18" s="3717" t="s">
        <v>2574</v>
      </c>
      <c r="C18" s="3717"/>
      <c r="D18" s="2636"/>
      <c r="E18" s="2636"/>
      <c r="F18" s="2637"/>
      <c r="G18" s="2638"/>
      <c r="H18" s="2648"/>
      <c r="I18" s="2649">
        <f>ROUND(D18*E18*F18*G18/10000,0)</f>
        <v>0</v>
      </c>
    </row>
    <row r="19" spans="1:9" ht="14.25">
      <c r="A19" s="3716"/>
      <c r="B19" s="3717" t="s">
        <v>2575</v>
      </c>
      <c r="C19" s="3717"/>
      <c r="D19" s="2636"/>
      <c r="E19" s="2636"/>
      <c r="F19" s="2637"/>
      <c r="G19" s="2638"/>
      <c r="H19" s="2648"/>
      <c r="I19" s="2649">
        <f>ROUND(D19*E19*F19*G19/10000,0)</f>
        <v>0</v>
      </c>
    </row>
    <row r="20" spans="1:9">
      <c r="A20" s="3716"/>
      <c r="B20" s="3718" t="s">
        <v>2559</v>
      </c>
      <c r="C20" s="3718"/>
      <c r="D20" s="2640">
        <f>SUM(D17:D19)</f>
        <v>0</v>
      </c>
      <c r="E20" s="2640"/>
      <c r="F20" s="2641"/>
      <c r="G20" s="2638"/>
      <c r="H20" s="2645"/>
      <c r="I20" s="2646">
        <f>SUM(I17:I19)</f>
        <v>0</v>
      </c>
    </row>
    <row r="21" spans="1:9">
      <c r="A21" s="3716" t="s">
        <v>2576</v>
      </c>
      <c r="B21" s="3720"/>
      <c r="C21" s="3720"/>
      <c r="D21" s="3720"/>
      <c r="E21" s="3720"/>
      <c r="F21" s="3720"/>
      <c r="G21" s="3720"/>
      <c r="H21" s="3289">
        <v>0.1</v>
      </c>
      <c r="I21" s="2643">
        <f>ROUND(I10*H21,0)</f>
        <v>0</v>
      </c>
    </row>
    <row r="22" spans="1:9" ht="14.25">
      <c r="A22" s="3721" t="s">
        <v>2577</v>
      </c>
      <c r="B22" s="3722"/>
      <c r="C22" s="3723"/>
      <c r="D22" s="2650" t="s">
        <v>2578</v>
      </c>
      <c r="E22" s="2650" t="s">
        <v>2579</v>
      </c>
      <c r="F22" s="2651" t="s">
        <v>2580</v>
      </c>
      <c r="G22" s="2651" t="s">
        <v>2581</v>
      </c>
      <c r="H22" s="2644" t="s">
        <v>2582</v>
      </c>
      <c r="I22" s="2635" t="s">
        <v>2583</v>
      </c>
    </row>
    <row r="23" spans="1:9" ht="14.25" thickBot="1">
      <c r="A23" s="3724"/>
      <c r="B23" s="3725"/>
      <c r="C23" s="3726"/>
      <c r="D23" s="2652"/>
      <c r="E23" s="2652"/>
      <c r="F23" s="2652"/>
      <c r="G23" s="2653"/>
      <c r="H23" s="2654"/>
      <c r="I23" s="2655">
        <f>ROUND(E23*D23*F23*(1-G23)/10000,0)</f>
        <v>0</v>
      </c>
    </row>
    <row r="26" spans="1:9">
      <c r="A26" s="2656" t="s">
        <v>2584</v>
      </c>
      <c r="B26" s="2656"/>
      <c r="C26" s="2656"/>
      <c r="D26" s="2656"/>
      <c r="E26" s="3727">
        <f>C27-C30-C31-C32</f>
        <v>0</v>
      </c>
      <c r="F26" s="3727"/>
      <c r="G26" s="3727"/>
      <c r="H26" s="3245" t="s">
        <v>2954</v>
      </c>
    </row>
    <row r="27" spans="1:9">
      <c r="A27" s="2657">
        <v>1</v>
      </c>
      <c r="B27" s="2658" t="s">
        <v>2585</v>
      </c>
      <c r="C27" s="2658">
        <f>C28+C29</f>
        <v>0</v>
      </c>
      <c r="D27" s="2658"/>
      <c r="E27" s="3728"/>
      <c r="F27" s="3728"/>
      <c r="G27" s="3728"/>
    </row>
    <row r="28" spans="1:9">
      <c r="A28" s="2659" t="s">
        <v>2586</v>
      </c>
      <c r="B28" s="2658" t="s">
        <v>2587</v>
      </c>
      <c r="C28" s="2658"/>
      <c r="D28" s="2658"/>
      <c r="E28" s="3728"/>
      <c r="F28" s="3728"/>
      <c r="G28" s="3728"/>
    </row>
    <row r="29" spans="1:9">
      <c r="A29" s="2659" t="s">
        <v>2588</v>
      </c>
      <c r="B29" s="2658" t="s">
        <v>2589</v>
      </c>
      <c r="C29" s="2658"/>
      <c r="D29" s="2658"/>
      <c r="E29" s="2658" t="s">
        <v>2590</v>
      </c>
      <c r="F29" s="2658"/>
      <c r="G29" s="2658"/>
    </row>
    <row r="30" spans="1:9">
      <c r="A30" s="2657">
        <v>2</v>
      </c>
      <c r="B30" s="2658" t="s">
        <v>2591</v>
      </c>
      <c r="C30" s="2658">
        <f>C27*D30</f>
        <v>0</v>
      </c>
      <c r="D30" s="2660">
        <v>0.2</v>
      </c>
      <c r="E30" s="2658" t="s">
        <v>2592</v>
      </c>
      <c r="F30" s="2658"/>
      <c r="G30" s="2658"/>
    </row>
    <row r="31" spans="1:9">
      <c r="A31" s="2657">
        <v>3</v>
      </c>
      <c r="B31" s="2658" t="s">
        <v>2593</v>
      </c>
      <c r="C31" s="2658">
        <f>C25*D31</f>
        <v>0</v>
      </c>
      <c r="D31" s="2660">
        <v>0.15</v>
      </c>
      <c r="E31" s="2658" t="s">
        <v>2594</v>
      </c>
      <c r="F31" s="2658"/>
      <c r="G31" s="2658"/>
    </row>
    <row r="32" spans="1:9">
      <c r="A32" s="2657">
        <v>4</v>
      </c>
      <c r="B32" s="2658" t="s">
        <v>2595</v>
      </c>
      <c r="C32" s="2658">
        <f>C27*D32</f>
        <v>0</v>
      </c>
      <c r="D32" s="2660">
        <v>0.05</v>
      </c>
      <c r="E32" s="3719"/>
      <c r="F32" s="3719"/>
      <c r="G32" s="3719"/>
    </row>
    <row r="33" spans="1:7" hidden="1">
      <c r="A33" s="3729" t="s">
        <v>2596</v>
      </c>
      <c r="B33" s="3730"/>
      <c r="C33" s="3730"/>
      <c r="D33" s="3731"/>
      <c r="E33" s="3727"/>
      <c r="F33" s="3727"/>
      <c r="G33" s="3727"/>
    </row>
    <row r="34" spans="1:7" hidden="1">
      <c r="A34" s="2661">
        <v>1</v>
      </c>
      <c r="B34" s="2658" t="s">
        <v>2597</v>
      </c>
      <c r="C34" s="2658"/>
      <c r="D34" s="2658"/>
      <c r="E34" s="3728"/>
      <c r="F34" s="3728"/>
      <c r="G34" s="3728"/>
    </row>
    <row r="35" spans="1:7" hidden="1">
      <c r="A35" s="2661">
        <v>2</v>
      </c>
      <c r="B35" s="2658" t="s">
        <v>2598</v>
      </c>
      <c r="C35" s="2658"/>
      <c r="D35" s="2658"/>
      <c r="E35" s="3728"/>
      <c r="F35" s="3728"/>
      <c r="G35" s="3728"/>
    </row>
    <row r="36" spans="1:7" hidden="1">
      <c r="A36" s="2661">
        <v>3</v>
      </c>
      <c r="B36" s="2658" t="s">
        <v>2599</v>
      </c>
      <c r="C36" s="2658"/>
      <c r="D36" s="2658"/>
      <c r="E36" s="3728"/>
      <c r="F36" s="3728"/>
      <c r="G36" s="3728"/>
    </row>
    <row r="37" spans="1:7" hidden="1">
      <c r="A37" s="2661">
        <v>4</v>
      </c>
      <c r="B37" s="2658" t="s">
        <v>2600</v>
      </c>
      <c r="C37" s="2658"/>
      <c r="D37" s="2658"/>
      <c r="E37" s="3728"/>
      <c r="F37" s="3728"/>
      <c r="G37" s="3728"/>
    </row>
    <row r="38" spans="1:7" hidden="1">
      <c r="A38" s="3729" t="s">
        <v>2601</v>
      </c>
      <c r="B38" s="3730"/>
      <c r="C38" s="3730"/>
      <c r="D38" s="3731"/>
      <c r="E38" s="3727"/>
      <c r="F38" s="3727"/>
      <c r="G38" s="37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3" zoomScale="90" zoomScaleNormal="90" workbookViewId="0">
      <selection activeCell="B47" sqref="B47"/>
    </sheetView>
  </sheetViews>
  <sheetFormatPr defaultRowHeight="13.5"/>
  <cols>
    <col min="1" max="1" width="10.5" style="91" customWidth="1"/>
    <col min="2" max="2" width="15.75" style="91" customWidth="1"/>
    <col min="3" max="3" width="17.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973</v>
      </c>
      <c r="B1" s="3097" t="s">
        <v>974</v>
      </c>
      <c r="C1" s="3098" t="s">
        <v>975</v>
      </c>
      <c r="D1" s="3099" t="s">
        <v>3103</v>
      </c>
      <c r="E1" s="3100"/>
      <c r="F1" s="3101" t="s">
        <v>2691</v>
      </c>
      <c r="G1" s="3103" t="s">
        <v>976</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977</v>
      </c>
      <c r="B2" s="2840">
        <f>IF(C2="——",ROUND(C49*D3/10000,0),ROUND(C49*D3/10000,0)-D2)</f>
        <v>187792</v>
      </c>
      <c r="C2" s="3093" t="s">
        <v>528</v>
      </c>
      <c r="D2" s="2720" t="e">
        <f ca="1">SUMIF(INDIRECT("'"&amp;F2&amp;"'"&amp;"!A:A"),"承租人权益价值",INDIRECT("'"&amp;F2&amp;"'"&amp;"!c:c"))</f>
        <v>#REF!</v>
      </c>
      <c r="E2" s="3094" t="s">
        <v>862</v>
      </c>
      <c r="F2" s="3095"/>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978</v>
      </c>
      <c r="B3" s="741">
        <f>IF(C2="——",C49,ROUND(B2*10000/D3,0))</f>
        <v>55282</v>
      </c>
      <c r="C3" s="142" t="s">
        <v>979</v>
      </c>
      <c r="D3" s="741">
        <f>IF(D1="",'数据-汇总表'!E3,SUMIF('数据-汇总表'!$C19:$C33,D1,'数据-汇总表'!$E19:$E33))</f>
        <v>33969.820000000007</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980</v>
      </c>
      <c r="B4" s="144"/>
      <c r="C4" s="3742" t="s">
        <v>981</v>
      </c>
      <c r="D4" s="3743"/>
      <c r="E4" s="3744" t="s">
        <v>982</v>
      </c>
      <c r="F4" s="3745"/>
      <c r="G4" s="3742" t="s">
        <v>983</v>
      </c>
      <c r="H4" s="3743"/>
      <c r="I4" s="3742" t="s">
        <v>984</v>
      </c>
      <c r="J4" s="3743"/>
      <c r="K4" s="145" t="s">
        <v>985</v>
      </c>
      <c r="L4" s="2291"/>
      <c r="M4" s="2292"/>
      <c r="N4" s="2292"/>
      <c r="O4" s="2292"/>
      <c r="P4" s="3746" t="s">
        <v>980</v>
      </c>
      <c r="Q4" s="3747"/>
      <c r="R4" s="3737" t="s">
        <v>982</v>
      </c>
      <c r="S4" s="3738"/>
      <c r="T4" s="3737" t="s">
        <v>983</v>
      </c>
      <c r="U4" s="3738"/>
      <c r="V4" s="3754" t="s">
        <v>984</v>
      </c>
      <c r="W4" s="3754"/>
      <c r="X4" s="1337"/>
      <c r="Y4" s="3737" t="s">
        <v>980</v>
      </c>
      <c r="Z4" s="3738"/>
      <c r="AA4" s="3732" t="s">
        <v>982</v>
      </c>
      <c r="AB4" s="3732" t="s">
        <v>983</v>
      </c>
      <c r="AC4" s="3732" t="s">
        <v>984</v>
      </c>
    </row>
    <row r="5" spans="1:29">
      <c r="A5" s="146"/>
      <c r="B5" s="147"/>
      <c r="C5" s="3667" t="s">
        <v>986</v>
      </c>
      <c r="D5" s="3668"/>
      <c r="E5" s="3665" t="s">
        <v>3350</v>
      </c>
      <c r="F5" s="3666"/>
      <c r="G5" s="3667" t="s">
        <v>3367</v>
      </c>
      <c r="H5" s="3668"/>
      <c r="I5" s="3667" t="s">
        <v>3362</v>
      </c>
      <c r="J5" s="3668"/>
      <c r="K5" s="152"/>
      <c r="L5" s="2291"/>
      <c r="M5" s="2292"/>
      <c r="N5" s="2292"/>
      <c r="O5" s="2292"/>
      <c r="P5" s="3748"/>
      <c r="Q5" s="3749"/>
      <c r="R5" s="3739"/>
      <c r="S5" s="3740"/>
      <c r="T5" s="3739"/>
      <c r="U5" s="3740"/>
      <c r="V5" s="3754"/>
      <c r="W5" s="3754"/>
      <c r="X5" s="1337"/>
      <c r="Y5" s="3739"/>
      <c r="Z5" s="3740"/>
      <c r="AA5" s="3733"/>
      <c r="AB5" s="3733"/>
      <c r="AC5" s="3733"/>
    </row>
    <row r="6" spans="1:29" ht="32.25" customHeight="1" thickBot="1">
      <c r="A6" s="148"/>
      <c r="B6" s="149"/>
      <c r="C6" s="3669" t="s">
        <v>987</v>
      </c>
      <c r="D6" s="3670"/>
      <c r="E6" s="3671" t="s">
        <v>3349</v>
      </c>
      <c r="F6" s="3672"/>
      <c r="G6" s="3669" t="s">
        <v>3368</v>
      </c>
      <c r="H6" s="3670"/>
      <c r="I6" s="3669" t="s">
        <v>3363</v>
      </c>
      <c r="J6" s="3670"/>
      <c r="K6" s="152" t="s">
        <v>988</v>
      </c>
      <c r="L6" s="2291"/>
      <c r="M6" s="2292"/>
      <c r="N6" s="2292"/>
      <c r="O6" s="2292"/>
      <c r="P6" s="3750"/>
      <c r="Q6" s="3751"/>
      <c r="R6" s="3739"/>
      <c r="S6" s="3740"/>
      <c r="T6" s="3752"/>
      <c r="U6" s="3753"/>
      <c r="V6" s="3754"/>
      <c r="W6" s="3754"/>
      <c r="X6" s="1337"/>
      <c r="Y6" s="3752"/>
      <c r="Z6" s="3753"/>
      <c r="AA6" s="3734"/>
      <c r="AB6" s="3734"/>
      <c r="AC6" s="3734"/>
    </row>
    <row r="7" spans="1:29" s="40" customFormat="1" ht="15" thickBot="1">
      <c r="A7" s="1011" t="s">
        <v>989</v>
      </c>
      <c r="B7" s="1012"/>
      <c r="C7" s="1013">
        <f>'数据-取费表'!B2</f>
        <v>42975</v>
      </c>
      <c r="D7" s="753">
        <v>100</v>
      </c>
      <c r="E7" s="1014">
        <f>C7</f>
        <v>42975</v>
      </c>
      <c r="F7" s="755">
        <f>SUMIF(58:58,YEAR(E7)&amp;"-"&amp;MONTH(E7),59:59)</f>
        <v>100</v>
      </c>
      <c r="G7" s="1014">
        <f>E7</f>
        <v>42975</v>
      </c>
      <c r="H7" s="753">
        <f>SUMIF(58:58,YEAR(G7)&amp;"-"&amp;MONTH(G7),59:59)</f>
        <v>100</v>
      </c>
      <c r="I7" s="1014">
        <f>G7</f>
        <v>42975</v>
      </c>
      <c r="J7" s="753">
        <f>SUMIF(58:58,YEAR(I7)&amp;"-"&amp;MONTH(I7),59:59)</f>
        <v>100</v>
      </c>
      <c r="K7" s="1338"/>
      <c r="L7" s="2293"/>
      <c r="M7" s="2255"/>
      <c r="N7" s="2255"/>
      <c r="O7" s="2255"/>
      <c r="P7" s="3735" t="s">
        <v>989</v>
      </c>
      <c r="Q7" s="3755"/>
      <c r="R7" s="1339" t="s">
        <v>115</v>
      </c>
      <c r="S7" s="1340">
        <f t="shared" ref="S7:S15" si="0">F7</f>
        <v>100</v>
      </c>
      <c r="T7" s="1339" t="s">
        <v>115</v>
      </c>
      <c r="U7" s="1340">
        <f t="shared" ref="U7:U15" si="1">H7</f>
        <v>100</v>
      </c>
      <c r="V7" s="1339" t="s">
        <v>115</v>
      </c>
      <c r="W7" s="1340">
        <f t="shared" ref="W7:W15" si="2">J7</f>
        <v>100</v>
      </c>
      <c r="X7" s="287"/>
      <c r="Y7" s="3735" t="s">
        <v>989</v>
      </c>
      <c r="Z7" s="3736"/>
      <c r="AA7" s="1341">
        <f>D7/F7</f>
        <v>1</v>
      </c>
      <c r="AB7" s="1341">
        <f>D7/H7</f>
        <v>1</v>
      </c>
      <c r="AC7" s="1341">
        <f>D7/J7</f>
        <v>1</v>
      </c>
    </row>
    <row r="8" spans="1:29" s="40" customFormat="1" ht="15" thickBot="1">
      <c r="A8" s="1011" t="s">
        <v>990</v>
      </c>
      <c r="B8" s="1012"/>
      <c r="C8" s="1017" t="s">
        <v>155</v>
      </c>
      <c r="D8" s="753">
        <v>100</v>
      </c>
      <c r="E8" s="1017" t="s">
        <v>155</v>
      </c>
      <c r="F8" s="755">
        <f>SUMIF(61:61,E8,62:62)-SUMIF(61:61,C8,62:62)+100</f>
        <v>100</v>
      </c>
      <c r="G8" s="1017" t="s">
        <v>155</v>
      </c>
      <c r="H8" s="753">
        <f>SUMIF(61:61,G8,62:62)-SUMIF(61:61,C8,62:62)+100</f>
        <v>100</v>
      </c>
      <c r="I8" s="1017" t="s">
        <v>155</v>
      </c>
      <c r="J8" s="753">
        <f>SUMIF(61:61,I8,62:62)-SUMIF(61:61,C8,62:62)+100</f>
        <v>100</v>
      </c>
      <c r="K8" s="1338"/>
      <c r="L8" s="2293"/>
      <c r="M8" s="2255"/>
      <c r="N8" s="2255"/>
      <c r="O8" s="2255"/>
      <c r="P8" s="3735" t="s">
        <v>990</v>
      </c>
      <c r="Q8" s="3736"/>
      <c r="R8" s="1339" t="s">
        <v>115</v>
      </c>
      <c r="S8" s="1340">
        <f t="shared" si="0"/>
        <v>100</v>
      </c>
      <c r="T8" s="1339" t="s">
        <v>115</v>
      </c>
      <c r="U8" s="1340">
        <f t="shared" si="1"/>
        <v>100</v>
      </c>
      <c r="V8" s="1339" t="s">
        <v>115</v>
      </c>
      <c r="W8" s="1340">
        <f t="shared" si="2"/>
        <v>100</v>
      </c>
      <c r="X8" s="287"/>
      <c r="Y8" s="3735" t="s">
        <v>990</v>
      </c>
      <c r="Z8" s="3736"/>
      <c r="AA8" s="1341">
        <f t="shared" ref="AA8:AA19" si="3">D8/F8</f>
        <v>1</v>
      </c>
      <c r="AB8" s="1341">
        <f t="shared" ref="AB8:AB19" si="4">D8/H8</f>
        <v>1</v>
      </c>
      <c r="AC8" s="1341">
        <f t="shared" ref="AC8:AC19" si="5">D8/J8</f>
        <v>1</v>
      </c>
    </row>
    <row r="9" spans="1:29" s="40" customFormat="1" ht="14.25">
      <c r="A9" s="1018" t="s">
        <v>991</v>
      </c>
      <c r="B9" s="62" t="s">
        <v>992</v>
      </c>
      <c r="C9" s="1342" t="s">
        <v>3348</v>
      </c>
      <c r="D9" s="425">
        <v>100</v>
      </c>
      <c r="E9" s="1342" t="s">
        <v>3348</v>
      </c>
      <c r="F9" s="760">
        <f>SUMIF(63:63,E9,64:64)-SUMIF(63:63,C9,64:64)+100</f>
        <v>100</v>
      </c>
      <c r="G9" s="1342" t="s">
        <v>3348</v>
      </c>
      <c r="H9" s="425">
        <f>SUMIF(63:63,G9,64:64)-SUMIF(63:63,C9,64:64)+100</f>
        <v>100</v>
      </c>
      <c r="I9" s="1342" t="s">
        <v>3348</v>
      </c>
      <c r="J9" s="425">
        <f>SUMIF(63:63,I9,64:64)-SUMIF(63:63,C9,64:64)+100</f>
        <v>100</v>
      </c>
      <c r="K9" s="1338"/>
      <c r="L9" s="2293"/>
      <c r="M9" s="2255"/>
      <c r="N9" s="2255"/>
      <c r="O9" s="2255"/>
      <c r="P9" s="3741" t="s">
        <v>67</v>
      </c>
      <c r="Q9" s="7" t="str">
        <f t="shared" ref="Q9:Q15" si="6">B9</f>
        <v>用途</v>
      </c>
      <c r="R9" s="1339" t="s">
        <v>65</v>
      </c>
      <c r="S9" s="1340">
        <f t="shared" si="0"/>
        <v>100</v>
      </c>
      <c r="T9" s="1339" t="s">
        <v>65</v>
      </c>
      <c r="U9" s="1340">
        <f t="shared" si="1"/>
        <v>100</v>
      </c>
      <c r="V9" s="1339" t="s">
        <v>65</v>
      </c>
      <c r="W9" s="1340">
        <f t="shared" si="2"/>
        <v>100</v>
      </c>
      <c r="X9" s="287"/>
      <c r="Y9" s="3528" t="s">
        <v>67</v>
      </c>
      <c r="Z9" s="288" t="str">
        <f t="shared" ref="Z9:Z15" si="7">Q9</f>
        <v>用途</v>
      </c>
      <c r="AA9" s="1341">
        <f t="shared" si="3"/>
        <v>1</v>
      </c>
      <c r="AB9" s="1341">
        <f t="shared" si="4"/>
        <v>1</v>
      </c>
      <c r="AC9" s="1341">
        <f t="shared" si="5"/>
        <v>1</v>
      </c>
    </row>
    <row r="10" spans="1:29" s="92" customFormat="1" ht="27">
      <c r="A10" s="150"/>
      <c r="B10" s="12" t="s">
        <v>106</v>
      </c>
      <c r="C10" s="1345" t="s">
        <v>3320</v>
      </c>
      <c r="D10" s="426">
        <v>100</v>
      </c>
      <c r="E10" s="1345" t="s">
        <v>3320</v>
      </c>
      <c r="F10" s="767">
        <f>SUMIF(65:65,E10,66:66)-SUMIF(65:65,C10,66:66)+100</f>
        <v>100</v>
      </c>
      <c r="G10" s="1345" t="s">
        <v>3320</v>
      </c>
      <c r="H10" s="426">
        <f>SUMIF(65:65,G10,66:66)-SUMIF(65:65,C10,66:66)+100</f>
        <v>100</v>
      </c>
      <c r="I10" s="1345" t="s">
        <v>3320</v>
      </c>
      <c r="J10" s="426">
        <f>SUMIF(65:65,I10,66:66)-SUMIF(65:65,C10,66:66)+100</f>
        <v>100</v>
      </c>
      <c r="K10" s="768">
        <v>1</v>
      </c>
      <c r="L10" s="2294"/>
      <c r="M10" s="2295"/>
      <c r="N10" s="2295"/>
      <c r="O10" s="2295"/>
      <c r="P10" s="3741"/>
      <c r="Q10" s="7" t="str">
        <f t="shared" si="6"/>
        <v>土地使用年限（年）</v>
      </c>
      <c r="R10" s="1339" t="s">
        <v>65</v>
      </c>
      <c r="S10" s="1340">
        <f t="shared" si="0"/>
        <v>100</v>
      </c>
      <c r="T10" s="1339" t="s">
        <v>65</v>
      </c>
      <c r="U10" s="1340">
        <f t="shared" si="1"/>
        <v>100</v>
      </c>
      <c r="V10" s="1339" t="s">
        <v>65</v>
      </c>
      <c r="W10" s="1340">
        <f t="shared" si="2"/>
        <v>100</v>
      </c>
      <c r="X10" s="287"/>
      <c r="Y10" s="3528"/>
      <c r="Z10" s="288" t="str">
        <f t="shared" si="7"/>
        <v>土地使用年限（年）</v>
      </c>
      <c r="AA10" s="1341">
        <f t="shared" si="3"/>
        <v>1</v>
      </c>
      <c r="AB10" s="1341">
        <f t="shared" si="4"/>
        <v>1</v>
      </c>
      <c r="AC10" s="1341">
        <f t="shared" si="5"/>
        <v>1</v>
      </c>
    </row>
    <row r="11" spans="1:29" ht="15">
      <c r="A11" s="151"/>
      <c r="B11" s="12" t="s">
        <v>93</v>
      </c>
      <c r="C11" s="771">
        <f>'土地比较法-住宅、综合'!C11</f>
        <v>1.61</v>
      </c>
      <c r="D11" s="426">
        <v>100</v>
      </c>
      <c r="E11" s="772">
        <v>2.83</v>
      </c>
      <c r="F11" s="767">
        <f>LOOKUP(E11,68:68,69:69)-LOOKUP(C11,68:68,69:69)+100</f>
        <v>98</v>
      </c>
      <c r="G11" s="771">
        <v>3.5</v>
      </c>
      <c r="H11" s="426">
        <f>LOOKUP(G11,68:68,69:69)-LOOKUP(C11,68:68,69:69)+100</f>
        <v>96</v>
      </c>
      <c r="I11" s="771">
        <v>2.8</v>
      </c>
      <c r="J11" s="426">
        <f>LOOKUP(I11,68:68,69:69)-LOOKUP(C11,68:68,69:69)+100</f>
        <v>98</v>
      </c>
      <c r="K11" s="768">
        <f>'土地比较法-住宅、综合'!K11</f>
        <v>2</v>
      </c>
      <c r="L11" s="2296"/>
      <c r="M11" s="2292"/>
      <c r="N11" s="2292"/>
      <c r="O11" s="2292"/>
      <c r="P11" s="3741"/>
      <c r="Q11" s="7" t="str">
        <f t="shared" si="6"/>
        <v>容积率</v>
      </c>
      <c r="R11" s="1339" t="s">
        <v>104</v>
      </c>
      <c r="S11" s="1340">
        <f t="shared" si="0"/>
        <v>98</v>
      </c>
      <c r="T11" s="1339" t="s">
        <v>104</v>
      </c>
      <c r="U11" s="1340">
        <f t="shared" si="1"/>
        <v>96</v>
      </c>
      <c r="V11" s="1339" t="s">
        <v>104</v>
      </c>
      <c r="W11" s="1340">
        <f t="shared" si="2"/>
        <v>98</v>
      </c>
      <c r="X11" s="287"/>
      <c r="Y11" s="3528"/>
      <c r="Z11" s="288" t="str">
        <f t="shared" si="7"/>
        <v>容积率</v>
      </c>
      <c r="AA11" s="1341">
        <f t="shared" si="3"/>
        <v>1.0204081632653061</v>
      </c>
      <c r="AB11" s="1341">
        <f t="shared" si="4"/>
        <v>1.0416666666666667</v>
      </c>
      <c r="AC11" s="1341">
        <f t="shared" si="5"/>
        <v>1.0204081632653061</v>
      </c>
    </row>
    <row r="12" spans="1:29" s="40" customFormat="1" ht="14.25">
      <c r="A12" s="1027"/>
      <c r="B12" s="1028"/>
      <c r="C12" s="1021"/>
      <c r="D12" s="775">
        <v>100</v>
      </c>
      <c r="E12" s="1021"/>
      <c r="F12" s="767">
        <f>SUMIF(70:70,E12,71:71)-SUMIF(70:70,C12,71:71)+100</f>
        <v>100</v>
      </c>
      <c r="G12" s="1021"/>
      <c r="H12" s="426">
        <f>SUMIF(70:70,G12,71:71)-SUMIF(70:70,C12,71:71)+100</f>
        <v>100</v>
      </c>
      <c r="I12" s="1021"/>
      <c r="J12" s="426">
        <f>SUMIF(70:70,I12,71:71)-SUMIF(70:70,C12,71:71)+100</f>
        <v>100</v>
      </c>
      <c r="K12" s="153"/>
      <c r="L12" s="2293"/>
      <c r="M12" s="2255"/>
      <c r="N12" s="2255"/>
      <c r="O12" s="2255"/>
      <c r="P12" s="3741"/>
      <c r="Q12" s="7">
        <f t="shared" si="6"/>
        <v>0</v>
      </c>
      <c r="R12" s="1339" t="s">
        <v>104</v>
      </c>
      <c r="S12" s="1340">
        <f t="shared" si="0"/>
        <v>100</v>
      </c>
      <c r="T12" s="1339" t="s">
        <v>104</v>
      </c>
      <c r="U12" s="1340">
        <f t="shared" si="1"/>
        <v>100</v>
      </c>
      <c r="V12" s="1339" t="s">
        <v>104</v>
      </c>
      <c r="W12" s="1340">
        <f t="shared" si="2"/>
        <v>100</v>
      </c>
      <c r="X12" s="287"/>
      <c r="Y12" s="3528"/>
      <c r="Z12" s="288">
        <f t="shared" si="7"/>
        <v>0</v>
      </c>
      <c r="AA12" s="1341">
        <f>D12/F12</f>
        <v>1</v>
      </c>
      <c r="AB12" s="1341">
        <f>D12/H12</f>
        <v>1</v>
      </c>
      <c r="AC12" s="1341">
        <f>D12/J12</f>
        <v>1</v>
      </c>
    </row>
    <row r="13" spans="1:29" ht="14.25">
      <c r="A13" s="151"/>
      <c r="B13" s="1028"/>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741"/>
      <c r="Q13" s="7">
        <f t="shared" si="6"/>
        <v>0</v>
      </c>
      <c r="R13" s="1339" t="s">
        <v>104</v>
      </c>
      <c r="S13" s="1340">
        <f t="shared" si="0"/>
        <v>100</v>
      </c>
      <c r="T13" s="1339" t="s">
        <v>104</v>
      </c>
      <c r="U13" s="1340">
        <f t="shared" si="1"/>
        <v>100</v>
      </c>
      <c r="V13" s="1339" t="s">
        <v>104</v>
      </c>
      <c r="W13" s="1340">
        <f t="shared" si="2"/>
        <v>100</v>
      </c>
      <c r="X13" s="287"/>
      <c r="Y13" s="3528"/>
      <c r="Z13" s="288">
        <f t="shared" si="7"/>
        <v>0</v>
      </c>
      <c r="AA13" s="1341">
        <f t="shared" si="3"/>
        <v>1</v>
      </c>
      <c r="AB13" s="1341">
        <f t="shared" si="4"/>
        <v>1</v>
      </c>
      <c r="AC13" s="1341">
        <f t="shared" si="5"/>
        <v>1</v>
      </c>
    </row>
    <row r="14" spans="1:29" ht="15" thickBot="1">
      <c r="A14" s="154"/>
      <c r="B14" s="1029"/>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741"/>
      <c r="Q14" s="7">
        <f t="shared" si="6"/>
        <v>0</v>
      </c>
      <c r="R14" s="1339" t="s">
        <v>104</v>
      </c>
      <c r="S14" s="1340">
        <f t="shared" si="0"/>
        <v>100</v>
      </c>
      <c r="T14" s="1339" t="s">
        <v>104</v>
      </c>
      <c r="U14" s="1340">
        <f t="shared" si="1"/>
        <v>100</v>
      </c>
      <c r="V14" s="1339" t="s">
        <v>104</v>
      </c>
      <c r="W14" s="1340">
        <f t="shared" si="2"/>
        <v>100</v>
      </c>
      <c r="X14" s="287"/>
      <c r="Y14" s="3528"/>
      <c r="Z14" s="288">
        <f t="shared" si="7"/>
        <v>0</v>
      </c>
      <c r="AA14" s="1341">
        <f t="shared" si="3"/>
        <v>1</v>
      </c>
      <c r="AB14" s="1341">
        <f t="shared" si="4"/>
        <v>1</v>
      </c>
      <c r="AC14" s="1341">
        <f t="shared" si="5"/>
        <v>1</v>
      </c>
    </row>
    <row r="15" spans="1:29" ht="94.5">
      <c r="A15" s="155" t="s">
        <v>69</v>
      </c>
      <c r="B15" s="58" t="s">
        <v>52</v>
      </c>
      <c r="C15" s="157" t="str">
        <f>估价对象房地状况!C3</f>
        <v>估价对象周边居住用地比例较低，周边3公里内有潭墅苑、鲁新家园的住宅项目，综合评价居住社区成熟度较差。</v>
      </c>
      <c r="D15" s="783">
        <v>100</v>
      </c>
      <c r="E15" s="96" t="s">
        <v>3351</v>
      </c>
      <c r="F15" s="783">
        <f>SUMIF(76:76,E16,77:77)-SUMIF(76:76,C16,77:77)+100</f>
        <v>103</v>
      </c>
      <c r="G15" s="784" t="s">
        <v>3292</v>
      </c>
      <c r="H15" s="783">
        <f>SUMIF(76:76,G16,77:77)-SUMIF(76:76,C16,77:77)+100</f>
        <v>103</v>
      </c>
      <c r="I15" s="784" t="s">
        <v>3292</v>
      </c>
      <c r="J15" s="783">
        <f>SUMIF(76:76,I16,77:77)-SUMIF(76:76,C16,77:77)+100</f>
        <v>103</v>
      </c>
      <c r="K15" s="787">
        <f>'土地比较法-住宅、综合'!K15</f>
        <v>3</v>
      </c>
      <c r="L15" s="2297"/>
      <c r="M15" s="2292"/>
      <c r="N15" s="2292"/>
      <c r="O15" s="2292"/>
      <c r="P15" s="3768" t="s">
        <v>69</v>
      </c>
      <c r="Q15" s="1347" t="str">
        <f t="shared" si="6"/>
        <v>居住社区成熟度</v>
      </c>
      <c r="R15" s="1348" t="s">
        <v>104</v>
      </c>
      <c r="S15" s="1349">
        <f t="shared" si="0"/>
        <v>103</v>
      </c>
      <c r="T15" s="1348" t="s">
        <v>104</v>
      </c>
      <c r="U15" s="1349">
        <f t="shared" si="1"/>
        <v>103</v>
      </c>
      <c r="V15" s="1348" t="s">
        <v>104</v>
      </c>
      <c r="W15" s="1349">
        <f t="shared" si="2"/>
        <v>103</v>
      </c>
      <c r="X15" s="1337"/>
      <c r="Y15" s="3761" t="s">
        <v>69</v>
      </c>
      <c r="Z15" s="1350" t="str">
        <f t="shared" si="7"/>
        <v>居住社区成熟度</v>
      </c>
      <c r="AA15" s="1351">
        <f t="shared" si="3"/>
        <v>0.970873786407767</v>
      </c>
      <c r="AB15" s="1351">
        <f t="shared" si="4"/>
        <v>0.970873786407767</v>
      </c>
      <c r="AC15" s="1351">
        <f t="shared" si="5"/>
        <v>0.970873786407767</v>
      </c>
    </row>
    <row r="16" spans="1:29" ht="14.25">
      <c r="A16" s="151"/>
      <c r="B16" s="156"/>
      <c r="C16" s="97" t="s">
        <v>3302</v>
      </c>
      <c r="D16" s="790"/>
      <c r="E16" s="99" t="s">
        <v>3285</v>
      </c>
      <c r="F16" s="790"/>
      <c r="G16" s="98" t="s">
        <v>3285</v>
      </c>
      <c r="H16" s="792"/>
      <c r="I16" s="98" t="s">
        <v>3285</v>
      </c>
      <c r="J16" s="790"/>
      <c r="K16" s="159"/>
      <c r="L16" s="2297"/>
      <c r="M16" s="2292"/>
      <c r="N16" s="2292"/>
      <c r="O16" s="2292"/>
      <c r="P16" s="3769"/>
      <c r="Q16" s="1347"/>
      <c r="R16" s="1348"/>
      <c r="S16" s="1349"/>
      <c r="T16" s="1348"/>
      <c r="U16" s="1349"/>
      <c r="V16" s="1348"/>
      <c r="W16" s="1349"/>
      <c r="X16" s="1337"/>
      <c r="Y16" s="3762"/>
      <c r="Z16" s="1350"/>
      <c r="AA16" s="1351">
        <v>1</v>
      </c>
      <c r="AB16" s="1351">
        <v>1</v>
      </c>
      <c r="AC16" s="1351">
        <v>1</v>
      </c>
    </row>
    <row r="17" spans="1:29" ht="94.5">
      <c r="A17" s="151"/>
      <c r="B17" s="1352" t="s">
        <v>72</v>
      </c>
      <c r="C17" s="158" t="str">
        <f>估价对象房地状况!C6</f>
        <v>估价对象周边道路密集度一般、周边有931、948路等公交线路经过，停车便捷程度较好，综合评价交通便捷度较差。</v>
      </c>
      <c r="D17" s="792">
        <v>100</v>
      </c>
      <c r="E17" s="101" t="s">
        <v>3352</v>
      </c>
      <c r="F17" s="792">
        <f>SUMIF(78:78,E18,79:79)-SUMIF(78:78,C18,79:79)+100</f>
        <v>104</v>
      </c>
      <c r="G17" s="794" t="s">
        <v>3293</v>
      </c>
      <c r="H17" s="797">
        <f>SUMIF(78:78,G18,79:79)-SUMIF(78:78,C18,79:79)+100</f>
        <v>102</v>
      </c>
      <c r="I17" s="794" t="s">
        <v>3293</v>
      </c>
      <c r="J17" s="797">
        <f>SUMIF(78:78,I18,79:79)-SUMIF(78:78,C18,79:79)+100</f>
        <v>102</v>
      </c>
      <c r="K17" s="787">
        <f>'土地比较法-住宅、综合'!K21</f>
        <v>2</v>
      </c>
      <c r="L17" s="2297"/>
      <c r="M17" s="2292"/>
      <c r="N17" s="2292"/>
      <c r="O17" s="2292"/>
      <c r="P17" s="3769"/>
      <c r="Q17" s="1347" t="str">
        <f>B17</f>
        <v>交通便捷度</v>
      </c>
      <c r="R17" s="1348" t="s">
        <v>104</v>
      </c>
      <c r="S17" s="1349">
        <f>F17</f>
        <v>104</v>
      </c>
      <c r="T17" s="1348" t="s">
        <v>104</v>
      </c>
      <c r="U17" s="1349">
        <f>H17</f>
        <v>102</v>
      </c>
      <c r="V17" s="1348" t="s">
        <v>104</v>
      </c>
      <c r="W17" s="1349">
        <f>J17</f>
        <v>102</v>
      </c>
      <c r="X17" s="1337"/>
      <c r="Y17" s="3762"/>
      <c r="Z17" s="1350" t="str">
        <f>Q17</f>
        <v>交通便捷度</v>
      </c>
      <c r="AA17" s="1351">
        <f t="shared" si="3"/>
        <v>0.96153846153846156</v>
      </c>
      <c r="AB17" s="1351">
        <f t="shared" si="4"/>
        <v>0.98039215686274506</v>
      </c>
      <c r="AC17" s="1351">
        <f t="shared" si="5"/>
        <v>0.98039215686274506</v>
      </c>
    </row>
    <row r="18" spans="1:29" ht="14.25">
      <c r="A18" s="151"/>
      <c r="B18" s="1037"/>
      <c r="C18" s="102" t="s">
        <v>3302</v>
      </c>
      <c r="D18" s="792"/>
      <c r="E18" s="104" t="s">
        <v>3286</v>
      </c>
      <c r="F18" s="792"/>
      <c r="G18" s="103" t="s">
        <v>3285</v>
      </c>
      <c r="H18" s="790"/>
      <c r="I18" s="103" t="s">
        <v>3285</v>
      </c>
      <c r="J18" s="790"/>
      <c r="K18" s="159"/>
      <c r="L18" s="2297"/>
      <c r="M18" s="2292"/>
      <c r="N18" s="2292"/>
      <c r="O18" s="2292"/>
      <c r="P18" s="3769"/>
      <c r="Q18" s="1347"/>
      <c r="R18" s="1348"/>
      <c r="S18" s="1349"/>
      <c r="T18" s="1348"/>
      <c r="U18" s="1349"/>
      <c r="V18" s="1348"/>
      <c r="W18" s="1349"/>
      <c r="X18" s="1337"/>
      <c r="Y18" s="3762"/>
      <c r="Z18" s="1350"/>
      <c r="AA18" s="1351">
        <v>1</v>
      </c>
      <c r="AB18" s="1351">
        <v>1</v>
      </c>
      <c r="AC18" s="1351">
        <v>1</v>
      </c>
    </row>
    <row r="19" spans="1:29" ht="94.5">
      <c r="A19" s="151"/>
      <c r="B19" s="1352" t="s">
        <v>2628</v>
      </c>
      <c r="C19" s="158" t="str">
        <f>估价对象房地状况!C7</f>
        <v>估价对象周边有银行、购物场所、餐饮等配套设施，基础设施水平较高；综合评价公用设施及基础设施水平较差。</v>
      </c>
      <c r="D19" s="797">
        <v>100</v>
      </c>
      <c r="E19" s="106" t="s">
        <v>3353</v>
      </c>
      <c r="F19" s="797">
        <f>SUMIF(80:80,E20,81:81)-SUMIF(80:80,C20,81:81)+100</f>
        <v>104</v>
      </c>
      <c r="G19" s="794" t="s">
        <v>3295</v>
      </c>
      <c r="H19" s="792">
        <f>SUMIF(80:80,G20,81:81)-SUMIF(80:80,C20,81:81)+100</f>
        <v>102</v>
      </c>
      <c r="I19" s="794" t="s">
        <v>3295</v>
      </c>
      <c r="J19" s="792">
        <f>SUMIF(80:80,I20,81:81)-SUMIF(80:80,C20,81:81)+100</f>
        <v>102</v>
      </c>
      <c r="K19" s="787">
        <f>'土地比较法-住宅、综合'!K27</f>
        <v>2</v>
      </c>
      <c r="L19" s="2297"/>
      <c r="M19" s="2292"/>
      <c r="N19" s="2292"/>
      <c r="O19" s="2292"/>
      <c r="P19" s="3769"/>
      <c r="Q19" s="1347" t="str">
        <f>B19</f>
        <v>公共配套设施</v>
      </c>
      <c r="R19" s="1348" t="s">
        <v>104</v>
      </c>
      <c r="S19" s="1349">
        <f>F19</f>
        <v>104</v>
      </c>
      <c r="T19" s="1348" t="s">
        <v>104</v>
      </c>
      <c r="U19" s="1349">
        <f>H19</f>
        <v>102</v>
      </c>
      <c r="V19" s="1348" t="s">
        <v>104</v>
      </c>
      <c r="W19" s="1349">
        <f>J19</f>
        <v>102</v>
      </c>
      <c r="X19" s="1337"/>
      <c r="Y19" s="3762"/>
      <c r="Z19" s="1350" t="str">
        <f>Q19</f>
        <v>公共配套设施</v>
      </c>
      <c r="AA19" s="1351">
        <f t="shared" si="3"/>
        <v>0.96153846153846156</v>
      </c>
      <c r="AB19" s="1351">
        <f t="shared" si="4"/>
        <v>0.98039215686274506</v>
      </c>
      <c r="AC19" s="1351">
        <f t="shared" si="5"/>
        <v>0.98039215686274506</v>
      </c>
    </row>
    <row r="20" spans="1:29" ht="14.25">
      <c r="A20" s="151"/>
      <c r="B20" s="1037"/>
      <c r="C20" s="97" t="s">
        <v>3302</v>
      </c>
      <c r="D20" s="790"/>
      <c r="E20" s="99" t="s">
        <v>3286</v>
      </c>
      <c r="F20" s="790"/>
      <c r="G20" s="98" t="s">
        <v>3285</v>
      </c>
      <c r="H20" s="790"/>
      <c r="I20" s="98" t="s">
        <v>3285</v>
      </c>
      <c r="J20" s="790"/>
      <c r="K20" s="159"/>
      <c r="L20" s="2297"/>
      <c r="M20" s="2292"/>
      <c r="N20" s="2292"/>
      <c r="O20" s="2292"/>
      <c r="P20" s="3769"/>
      <c r="Q20" s="1347"/>
      <c r="R20" s="1348"/>
      <c r="S20" s="1349"/>
      <c r="T20" s="1348"/>
      <c r="U20" s="1349"/>
      <c r="V20" s="1348"/>
      <c r="W20" s="1349"/>
      <c r="X20" s="1337"/>
      <c r="Y20" s="3762"/>
      <c r="Z20" s="1350"/>
      <c r="AA20" s="1351">
        <v>1</v>
      </c>
      <c r="AB20" s="1351">
        <v>1</v>
      </c>
      <c r="AC20" s="1351">
        <v>1</v>
      </c>
    </row>
    <row r="21" spans="1:29" ht="15">
      <c r="A21" s="151"/>
      <c r="B21" s="1408" t="s">
        <v>2639</v>
      </c>
      <c r="C21" s="158" t="str">
        <f>估价对象房地状况!C8</f>
        <v>七通</v>
      </c>
      <c r="D21" s="792">
        <v>100</v>
      </c>
      <c r="E21" s="106" t="s">
        <v>3355</v>
      </c>
      <c r="F21" s="797">
        <f>SUMIF(82:82,E22,83:83)-SUMIF(82:82,C22,83:83)+100</f>
        <v>100</v>
      </c>
      <c r="G21" s="106" t="s">
        <v>3355</v>
      </c>
      <c r="H21" s="792">
        <f>SUMIF(82:82,G22,83:83)-SUMIF(82:82,C22,83:83)+100</f>
        <v>100</v>
      </c>
      <c r="I21" s="106" t="s">
        <v>3355</v>
      </c>
      <c r="J21" s="792">
        <f>SUMIF(82:82,I22,83:83)-SUMIF(82:82,C22,83:83)+100</f>
        <v>100</v>
      </c>
      <c r="K21" s="787">
        <v>1</v>
      </c>
      <c r="L21" s="2297"/>
      <c r="M21" s="2292"/>
      <c r="N21" s="2292"/>
      <c r="O21" s="2292"/>
      <c r="P21" s="3769"/>
      <c r="Q21" s="2742" t="str">
        <f>B21</f>
        <v>基础设施水平</v>
      </c>
      <c r="R21" s="1348" t="s">
        <v>65</v>
      </c>
      <c r="S21" s="1349">
        <f>F21</f>
        <v>100</v>
      </c>
      <c r="T21" s="1348" t="s">
        <v>65</v>
      </c>
      <c r="U21" s="1349">
        <f>H21</f>
        <v>100</v>
      </c>
      <c r="V21" s="1348" t="s">
        <v>65</v>
      </c>
      <c r="W21" s="1349">
        <f>J21</f>
        <v>100</v>
      </c>
      <c r="X21" s="2744"/>
      <c r="Y21" s="3762"/>
      <c r="Z21" s="2743" t="str">
        <f>Q21</f>
        <v>基础设施水平</v>
      </c>
      <c r="AA21" s="1351">
        <f t="shared" ref="AA21" si="8">D21/F21</f>
        <v>1</v>
      </c>
      <c r="AB21" s="1351">
        <f t="shared" ref="AB21" si="9">D21/H21</f>
        <v>1</v>
      </c>
      <c r="AC21" s="1351">
        <f t="shared" ref="AC21" si="10">D21/J21</f>
        <v>1</v>
      </c>
    </row>
    <row r="22" spans="1:29" ht="14.25">
      <c r="A22" s="151"/>
      <c r="B22" s="1408"/>
      <c r="C22" s="102" t="s">
        <v>3298</v>
      </c>
      <c r="D22" s="790"/>
      <c r="E22" s="102" t="s">
        <v>3298</v>
      </c>
      <c r="F22" s="790"/>
      <c r="G22" s="102" t="s">
        <v>3298</v>
      </c>
      <c r="H22" s="790"/>
      <c r="I22" s="102" t="s">
        <v>3298</v>
      </c>
      <c r="J22" s="790"/>
      <c r="K22" s="2759"/>
      <c r="L22" s="2297"/>
      <c r="M22" s="2292"/>
      <c r="N22" s="2292"/>
      <c r="O22" s="2292"/>
      <c r="P22" s="3769"/>
      <c r="Q22" s="2742"/>
      <c r="R22" s="1348"/>
      <c r="S22" s="1349"/>
      <c r="T22" s="1348"/>
      <c r="U22" s="1349"/>
      <c r="V22" s="1348"/>
      <c r="W22" s="1349"/>
      <c r="X22" s="2744"/>
      <c r="Y22" s="3762"/>
      <c r="Z22" s="2743"/>
      <c r="AA22" s="1351">
        <v>1</v>
      </c>
      <c r="AB22" s="1351">
        <v>1</v>
      </c>
      <c r="AC22" s="1351">
        <v>1</v>
      </c>
    </row>
    <row r="23" spans="1:29" ht="57">
      <c r="A23" s="151"/>
      <c r="B23" s="1352" t="s">
        <v>73</v>
      </c>
      <c r="C23" s="158" t="str">
        <f>估价对象房地状况!C9</f>
        <v>临近潭柘寺景区、戒台寺景区，绿化率高，综合评价环境状况较好</v>
      </c>
      <c r="D23" s="792">
        <v>100</v>
      </c>
      <c r="E23" s="106" t="s">
        <v>3354</v>
      </c>
      <c r="F23" s="792">
        <f>SUMIF(84:84,E24,85:85)-SUMIF(84:84,C24,85:85)+100</f>
        <v>95</v>
      </c>
      <c r="G23" s="106" t="s">
        <v>3354</v>
      </c>
      <c r="H23" s="792">
        <f>SUMIF(84:84,G24,85:85)-SUMIF(84:84,C24,85:85)+100</f>
        <v>95</v>
      </c>
      <c r="I23" s="794" t="s">
        <v>3294</v>
      </c>
      <c r="J23" s="792">
        <f>SUMIF(84:84,I24,85:85)-SUMIF(84:84,C24,85:85)+100</f>
        <v>95</v>
      </c>
      <c r="K23" s="787">
        <f>'土地比较法-住宅、综合'!K25</f>
        <v>5</v>
      </c>
      <c r="L23" s="2297"/>
      <c r="M23" s="2292"/>
      <c r="N23" s="2292"/>
      <c r="O23" s="2292"/>
      <c r="P23" s="3769"/>
      <c r="Q23" s="1347" t="str">
        <f>B23</f>
        <v>自然及人文环境</v>
      </c>
      <c r="R23" s="1348" t="s">
        <v>104</v>
      </c>
      <c r="S23" s="1349">
        <f>F23</f>
        <v>95</v>
      </c>
      <c r="T23" s="1348" t="s">
        <v>104</v>
      </c>
      <c r="U23" s="1349">
        <f>H23</f>
        <v>95</v>
      </c>
      <c r="V23" s="1348" t="s">
        <v>104</v>
      </c>
      <c r="W23" s="1349">
        <f>J23</f>
        <v>95</v>
      </c>
      <c r="X23" s="1337"/>
      <c r="Y23" s="3762"/>
      <c r="Z23" s="1350" t="str">
        <f>Q23</f>
        <v>自然及人文环境</v>
      </c>
      <c r="AA23" s="1351">
        <f>D23/F23</f>
        <v>1.0526315789473684</v>
      </c>
      <c r="AB23" s="1351">
        <f>D23/H23</f>
        <v>1.0526315789473684</v>
      </c>
      <c r="AC23" s="1351">
        <f>D23/J23</f>
        <v>1.0526315789473684</v>
      </c>
    </row>
    <row r="24" spans="1:29" ht="14.25">
      <c r="A24" s="151"/>
      <c r="B24" s="1037"/>
      <c r="C24" s="97" t="s">
        <v>3286</v>
      </c>
      <c r="D24" s="790"/>
      <c r="E24" s="97" t="s">
        <v>3285</v>
      </c>
      <c r="F24" s="790"/>
      <c r="G24" s="98" t="s">
        <v>3285</v>
      </c>
      <c r="H24" s="790"/>
      <c r="I24" s="98" t="s">
        <v>3285</v>
      </c>
      <c r="J24" s="790"/>
      <c r="K24" s="159"/>
      <c r="L24" s="2297"/>
      <c r="M24" s="2292"/>
      <c r="N24" s="2292"/>
      <c r="O24" s="2292"/>
      <c r="P24" s="3769"/>
      <c r="Q24" s="1347"/>
      <c r="R24" s="1348"/>
      <c r="S24" s="1349"/>
      <c r="T24" s="1348"/>
      <c r="U24" s="1349"/>
      <c r="V24" s="1348"/>
      <c r="W24" s="1349"/>
      <c r="X24" s="1337"/>
      <c r="Y24" s="3762"/>
      <c r="Z24" s="1350"/>
      <c r="AA24" s="1351">
        <v>1</v>
      </c>
      <c r="AB24" s="1351">
        <v>1</v>
      </c>
      <c r="AC24" s="1351">
        <v>1</v>
      </c>
    </row>
    <row r="25" spans="1:29" ht="15">
      <c r="A25" s="151"/>
      <c r="B25" s="12" t="s">
        <v>2289</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769"/>
      <c r="Q25" s="1347" t="str">
        <f t="shared" ref="Q25:Q46" si="11">B25</f>
        <v>楼层-1</v>
      </c>
      <c r="R25" s="1348" t="s">
        <v>104</v>
      </c>
      <c r="S25" s="1349">
        <f t="shared" ref="S25:S46" si="12">F25</f>
        <v>100</v>
      </c>
      <c r="T25" s="1348" t="s">
        <v>104</v>
      </c>
      <c r="U25" s="1349">
        <f t="shared" ref="U25:U46" si="13">H25</f>
        <v>100</v>
      </c>
      <c r="V25" s="1348" t="s">
        <v>104</v>
      </c>
      <c r="W25" s="1349">
        <f t="shared" ref="W25:W46" si="14">J25</f>
        <v>100</v>
      </c>
      <c r="X25" s="1337"/>
      <c r="Y25" s="3762"/>
      <c r="Z25" s="1350" t="str">
        <f>Q25</f>
        <v>楼层-1</v>
      </c>
      <c r="AA25" s="1351">
        <f t="shared" ref="AA25:AA46" si="15">D25/F25</f>
        <v>1</v>
      </c>
      <c r="AB25" s="1351">
        <f t="shared" ref="AB25:AB46" si="16">D25/H25</f>
        <v>1</v>
      </c>
      <c r="AC25" s="1351">
        <f t="shared" ref="AC25:AC46" si="17">D25/J25</f>
        <v>1</v>
      </c>
    </row>
    <row r="26" spans="1:29" ht="15.75" thickBot="1">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769"/>
      <c r="Q26" s="1347" t="str">
        <f t="shared" si="11"/>
        <v>朝向</v>
      </c>
      <c r="R26" s="1348" t="s">
        <v>104</v>
      </c>
      <c r="S26" s="1349">
        <f t="shared" si="12"/>
        <v>100</v>
      </c>
      <c r="T26" s="1348" t="s">
        <v>104</v>
      </c>
      <c r="U26" s="1349">
        <f t="shared" si="13"/>
        <v>100</v>
      </c>
      <c r="V26" s="1348" t="s">
        <v>104</v>
      </c>
      <c r="W26" s="1349">
        <f t="shared" si="14"/>
        <v>100</v>
      </c>
      <c r="X26" s="1337"/>
      <c r="Y26" s="3762"/>
      <c r="Z26" s="1350" t="str">
        <f>Q26</f>
        <v>朝向</v>
      </c>
      <c r="AA26" s="1351">
        <f t="shared" si="15"/>
        <v>1</v>
      </c>
      <c r="AB26" s="1351">
        <f t="shared" si="16"/>
        <v>1</v>
      </c>
      <c r="AC26" s="1351">
        <f t="shared" si="17"/>
        <v>1</v>
      </c>
    </row>
    <row r="27" spans="1:29" s="40" customFormat="1" ht="15" thickTop="1">
      <c r="A27" s="1027"/>
      <c r="B27" s="1353" t="s">
        <v>3356</v>
      </c>
      <c r="C27" s="139" t="s">
        <v>3321</v>
      </c>
      <c r="D27" s="804">
        <v>100</v>
      </c>
      <c r="E27" s="1024" t="s">
        <v>3265</v>
      </c>
      <c r="F27" s="804">
        <f>SUMIF(90:90,E27,91:91)-SUMIF(90:90,C27,91:91)+100</f>
        <v>99</v>
      </c>
      <c r="G27" s="1021" t="s">
        <v>3322</v>
      </c>
      <c r="H27" s="804">
        <f>SUMIF(90:90,G27,91:91)-SUMIF(90:90,C27,91:91)+100</f>
        <v>99.5</v>
      </c>
      <c r="I27" s="1024" t="s">
        <v>3364</v>
      </c>
      <c r="J27" s="804">
        <f>SUMIF(90:90,I27,91:91)-SUMIF(90:90,C27,91:91)+100</f>
        <v>99</v>
      </c>
      <c r="K27" s="153"/>
      <c r="L27" s="2293"/>
      <c r="M27" s="2255"/>
      <c r="N27" s="2255"/>
      <c r="O27" s="2255"/>
      <c r="P27" s="3769"/>
      <c r="Q27" s="7" t="str">
        <f t="shared" si="11"/>
        <v>道路级别</v>
      </c>
      <c r="R27" s="1339" t="s">
        <v>104</v>
      </c>
      <c r="S27" s="1340">
        <f t="shared" si="12"/>
        <v>99</v>
      </c>
      <c r="T27" s="1339" t="s">
        <v>104</v>
      </c>
      <c r="U27" s="1340">
        <f t="shared" si="13"/>
        <v>99.5</v>
      </c>
      <c r="V27" s="1339" t="s">
        <v>104</v>
      </c>
      <c r="W27" s="1340">
        <f t="shared" si="14"/>
        <v>99</v>
      </c>
      <c r="X27" s="287"/>
      <c r="Y27" s="3762"/>
      <c r="Z27" s="288" t="str">
        <f>Q27</f>
        <v>道路级别</v>
      </c>
      <c r="AA27" s="1351">
        <f t="shared" si="15"/>
        <v>1.0101010101010102</v>
      </c>
      <c r="AB27" s="1351">
        <f t="shared" si="16"/>
        <v>1.0050251256281406</v>
      </c>
      <c r="AC27" s="1351">
        <f t="shared" si="17"/>
        <v>1.0101010101010102</v>
      </c>
    </row>
    <row r="28" spans="1:29" ht="14.25">
      <c r="A28" s="151"/>
      <c r="B28" s="1353">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769"/>
      <c r="Q28" s="1347">
        <f t="shared" si="11"/>
        <v>111</v>
      </c>
      <c r="R28" s="1348" t="s">
        <v>104</v>
      </c>
      <c r="S28" s="1349">
        <f t="shared" si="12"/>
        <v>100</v>
      </c>
      <c r="T28" s="1348" t="s">
        <v>104</v>
      </c>
      <c r="U28" s="1349">
        <f t="shared" si="13"/>
        <v>100</v>
      </c>
      <c r="V28" s="1348" t="s">
        <v>104</v>
      </c>
      <c r="W28" s="1349">
        <f t="shared" si="14"/>
        <v>100</v>
      </c>
      <c r="X28" s="1337"/>
      <c r="Y28" s="3762"/>
      <c r="Z28" s="1350">
        <f t="shared" ref="Z28:Z46" si="18">Q28</f>
        <v>111</v>
      </c>
      <c r="AA28" s="1351">
        <f t="shared" si="15"/>
        <v>1</v>
      </c>
      <c r="AB28" s="1351">
        <f t="shared" si="16"/>
        <v>1</v>
      </c>
      <c r="AC28" s="1351">
        <f t="shared" si="17"/>
        <v>1</v>
      </c>
    </row>
    <row r="29" spans="1:29" ht="14.25">
      <c r="A29" s="151"/>
      <c r="B29" s="1353">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769"/>
      <c r="Q29" s="1347">
        <f t="shared" si="11"/>
        <v>111</v>
      </c>
      <c r="R29" s="1348" t="s">
        <v>104</v>
      </c>
      <c r="S29" s="1349">
        <f t="shared" si="12"/>
        <v>100</v>
      </c>
      <c r="T29" s="1348" t="s">
        <v>104</v>
      </c>
      <c r="U29" s="1349">
        <f t="shared" si="13"/>
        <v>100</v>
      </c>
      <c r="V29" s="1348" t="s">
        <v>104</v>
      </c>
      <c r="W29" s="1349">
        <f t="shared" si="14"/>
        <v>100</v>
      </c>
      <c r="X29" s="1337"/>
      <c r="Y29" s="3762"/>
      <c r="Z29" s="1350">
        <f t="shared" si="18"/>
        <v>111</v>
      </c>
      <c r="AA29" s="1351">
        <f t="shared" si="15"/>
        <v>1</v>
      </c>
      <c r="AB29" s="1351">
        <f t="shared" si="16"/>
        <v>1</v>
      </c>
      <c r="AC29" s="1351">
        <f t="shared" si="17"/>
        <v>1</v>
      </c>
    </row>
    <row r="30" spans="1:29" ht="14.25">
      <c r="A30" s="151"/>
      <c r="B30" s="1353">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769"/>
      <c r="Q30" s="1347">
        <f t="shared" si="11"/>
        <v>111</v>
      </c>
      <c r="R30" s="1348" t="s">
        <v>104</v>
      </c>
      <c r="S30" s="1349">
        <f t="shared" si="12"/>
        <v>100</v>
      </c>
      <c r="T30" s="1348" t="s">
        <v>104</v>
      </c>
      <c r="U30" s="1349">
        <f t="shared" si="13"/>
        <v>100</v>
      </c>
      <c r="V30" s="1348" t="s">
        <v>104</v>
      </c>
      <c r="W30" s="1349">
        <f t="shared" si="14"/>
        <v>100</v>
      </c>
      <c r="X30" s="1337"/>
      <c r="Y30" s="3762"/>
      <c r="Z30" s="1350">
        <f t="shared" si="18"/>
        <v>111</v>
      </c>
      <c r="AA30" s="1351">
        <f t="shared" si="15"/>
        <v>1</v>
      </c>
      <c r="AB30" s="1351">
        <f t="shared" si="16"/>
        <v>1</v>
      </c>
      <c r="AC30" s="1351">
        <f t="shared" si="17"/>
        <v>1</v>
      </c>
    </row>
    <row r="31" spans="1:29" ht="15" thickBot="1">
      <c r="A31" s="154"/>
      <c r="B31" s="1353">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769"/>
      <c r="Q31" s="1347">
        <f t="shared" si="11"/>
        <v>111</v>
      </c>
      <c r="R31" s="1348" t="s">
        <v>104</v>
      </c>
      <c r="S31" s="1349">
        <f t="shared" si="12"/>
        <v>100</v>
      </c>
      <c r="T31" s="1348" t="s">
        <v>104</v>
      </c>
      <c r="U31" s="1349">
        <f t="shared" si="13"/>
        <v>100</v>
      </c>
      <c r="V31" s="1348" t="s">
        <v>104</v>
      </c>
      <c r="W31" s="1349">
        <f t="shared" si="14"/>
        <v>100</v>
      </c>
      <c r="X31" s="1337"/>
      <c r="Y31" s="3762"/>
      <c r="Z31" s="1350">
        <f t="shared" si="18"/>
        <v>111</v>
      </c>
      <c r="AA31" s="1351">
        <f t="shared" si="15"/>
        <v>1</v>
      </c>
      <c r="AB31" s="1351">
        <f t="shared" si="16"/>
        <v>1</v>
      </c>
      <c r="AC31" s="1351">
        <f t="shared" si="17"/>
        <v>1</v>
      </c>
    </row>
    <row r="32" spans="1:29" ht="15">
      <c r="A32" s="155" t="s">
        <v>993</v>
      </c>
      <c r="B32" s="62" t="s">
        <v>75</v>
      </c>
      <c r="C32" s="110" t="s">
        <v>3103</v>
      </c>
      <c r="D32" s="807">
        <v>100</v>
      </c>
      <c r="E32" s="111" t="s">
        <v>3324</v>
      </c>
      <c r="F32" s="803">
        <f>SUMIF(100:100,E32,101:101)-SUMIF(100:100,C32,101:101)+100</f>
        <v>94</v>
      </c>
      <c r="G32" s="110" t="s">
        <v>3324</v>
      </c>
      <c r="H32" s="807">
        <f>SUMIF(100:100,G32,101:101)-SUMIF(100:100,C32,101:101)+100</f>
        <v>94</v>
      </c>
      <c r="I32" s="111" t="s">
        <v>3323</v>
      </c>
      <c r="J32" s="777">
        <f>SUMIF(100:100,I32,101:101)-SUMIF(100:100,C32,101:101)+100</f>
        <v>97</v>
      </c>
      <c r="K32" s="768">
        <v>3</v>
      </c>
      <c r="L32" s="2297"/>
      <c r="M32" s="2292"/>
      <c r="N32" s="2292"/>
      <c r="O32" s="2292"/>
      <c r="P32" s="3763" t="s">
        <v>70</v>
      </c>
      <c r="Q32" s="1347" t="str">
        <f t="shared" si="11"/>
        <v>建筑类型</v>
      </c>
      <c r="R32" s="1348" t="s">
        <v>104</v>
      </c>
      <c r="S32" s="1349">
        <f t="shared" si="12"/>
        <v>94</v>
      </c>
      <c r="T32" s="1348" t="s">
        <v>104</v>
      </c>
      <c r="U32" s="1349">
        <f t="shared" si="13"/>
        <v>94</v>
      </c>
      <c r="V32" s="1348" t="s">
        <v>104</v>
      </c>
      <c r="W32" s="1349">
        <f t="shared" si="14"/>
        <v>97</v>
      </c>
      <c r="X32" s="1337"/>
      <c r="Y32" s="3766" t="s">
        <v>70</v>
      </c>
      <c r="Z32" s="1350" t="str">
        <f t="shared" si="18"/>
        <v>建筑类型</v>
      </c>
      <c r="AA32" s="1351">
        <f t="shared" si="15"/>
        <v>1.0638297872340425</v>
      </c>
      <c r="AB32" s="1351">
        <f t="shared" si="16"/>
        <v>1.0638297872340425</v>
      </c>
      <c r="AC32" s="1351">
        <f t="shared" si="17"/>
        <v>1.0309278350515463</v>
      </c>
    </row>
    <row r="33" spans="1:29" s="1036" customFormat="1" ht="14.25">
      <c r="A33" s="1040"/>
      <c r="B33" s="12" t="s">
        <v>76</v>
      </c>
      <c r="C33" s="809">
        <v>100</v>
      </c>
      <c r="D33" s="426">
        <v>100</v>
      </c>
      <c r="E33" s="809">
        <v>100</v>
      </c>
      <c r="F33" s="767">
        <f>LOOKUP(E33,103:103,104:104)-LOOKUP(C33,103:103,104:104)+100</f>
        <v>100</v>
      </c>
      <c r="G33" s="809">
        <v>100</v>
      </c>
      <c r="H33" s="426">
        <f>LOOKUP(G33,103:103,104:104)-LOOKUP(C33,103:103,104:104)+100</f>
        <v>100</v>
      </c>
      <c r="I33" s="809">
        <v>100</v>
      </c>
      <c r="J33" s="426">
        <f>LOOKUP(I33,103:103,104:104)-LOOKUP(C33,103:103,104:104)+100</f>
        <v>100</v>
      </c>
      <c r="K33" s="153"/>
      <c r="L33" s="2296"/>
      <c r="M33" s="2298"/>
      <c r="N33" s="2298"/>
      <c r="O33" s="2298"/>
      <c r="P33" s="3764"/>
      <c r="Q33" s="1355" t="str">
        <f t="shared" si="11"/>
        <v>项目建筑规模</v>
      </c>
      <c r="R33" s="1356" t="s">
        <v>104</v>
      </c>
      <c r="S33" s="1357">
        <f t="shared" si="12"/>
        <v>100</v>
      </c>
      <c r="T33" s="1356" t="s">
        <v>104</v>
      </c>
      <c r="U33" s="1357">
        <f t="shared" si="13"/>
        <v>100</v>
      </c>
      <c r="V33" s="1356" t="s">
        <v>104</v>
      </c>
      <c r="W33" s="1357">
        <f t="shared" si="14"/>
        <v>100</v>
      </c>
      <c r="X33" s="1358"/>
      <c r="Y33" s="3766"/>
      <c r="Z33" s="1359" t="str">
        <f t="shared" si="18"/>
        <v>项目建筑规模</v>
      </c>
      <c r="AA33" s="1351">
        <f t="shared" si="15"/>
        <v>1</v>
      </c>
      <c r="AB33" s="1351">
        <f t="shared" si="16"/>
        <v>1</v>
      </c>
      <c r="AC33" s="1351">
        <f t="shared" si="17"/>
        <v>1</v>
      </c>
    </row>
    <row r="34" spans="1:29" ht="15">
      <c r="A34" s="161"/>
      <c r="B34" s="12" t="s">
        <v>77</v>
      </c>
      <c r="C34" s="112" t="s">
        <v>3325</v>
      </c>
      <c r="D34" s="777">
        <v>100</v>
      </c>
      <c r="E34" s="113" t="s">
        <v>3325</v>
      </c>
      <c r="F34" s="803">
        <f>SUMIF(105:105,E34,106:106)-SUMIF(105:105,C34,106:106)+100</f>
        <v>100</v>
      </c>
      <c r="G34" s="113" t="s">
        <v>3325</v>
      </c>
      <c r="H34" s="777">
        <f>SUMIF(105:105,G34,106:106)-SUMIF(105:105,C34,106:106)+100</f>
        <v>100</v>
      </c>
      <c r="I34" s="113" t="s">
        <v>3325</v>
      </c>
      <c r="J34" s="777">
        <f>SUMIF(105:105,I34,106:106)-SUMIF(105:105,C34,106:106)+100</f>
        <v>100</v>
      </c>
      <c r="K34" s="768">
        <v>1</v>
      </c>
      <c r="L34" s="2297"/>
      <c r="M34" s="2292"/>
      <c r="N34" s="2292"/>
      <c r="O34" s="2292"/>
      <c r="P34" s="3764"/>
      <c r="Q34" s="1347" t="str">
        <f t="shared" si="11"/>
        <v>建筑结构</v>
      </c>
      <c r="R34" s="1348" t="s">
        <v>104</v>
      </c>
      <c r="S34" s="1349">
        <f t="shared" si="12"/>
        <v>100</v>
      </c>
      <c r="T34" s="1348" t="s">
        <v>104</v>
      </c>
      <c r="U34" s="1349">
        <f t="shared" si="13"/>
        <v>100</v>
      </c>
      <c r="V34" s="1348" t="s">
        <v>104</v>
      </c>
      <c r="W34" s="1349">
        <f t="shared" si="14"/>
        <v>100</v>
      </c>
      <c r="X34" s="1337"/>
      <c r="Y34" s="3766"/>
      <c r="Z34" s="1350" t="str">
        <f t="shared" si="18"/>
        <v>建筑结构</v>
      </c>
      <c r="AA34" s="1351">
        <f t="shared" si="15"/>
        <v>1</v>
      </c>
      <c r="AB34" s="1351">
        <f t="shared" si="16"/>
        <v>1</v>
      </c>
      <c r="AC34" s="1351">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764"/>
      <c r="Q35" s="1347" t="str">
        <f t="shared" si="11"/>
        <v>建筑品质</v>
      </c>
      <c r="R35" s="1348" t="s">
        <v>104</v>
      </c>
      <c r="S35" s="1349">
        <f t="shared" si="12"/>
        <v>100</v>
      </c>
      <c r="T35" s="1348" t="s">
        <v>104</v>
      </c>
      <c r="U35" s="1349">
        <f t="shared" si="13"/>
        <v>100</v>
      </c>
      <c r="V35" s="1348" t="s">
        <v>104</v>
      </c>
      <c r="W35" s="1349">
        <f t="shared" si="14"/>
        <v>100</v>
      </c>
      <c r="X35" s="1337"/>
      <c r="Y35" s="3766"/>
      <c r="Z35" s="1350" t="str">
        <f t="shared" si="18"/>
        <v>建筑品质</v>
      </c>
      <c r="AA35" s="1351">
        <f t="shared" si="15"/>
        <v>1</v>
      </c>
      <c r="AB35" s="1351">
        <f t="shared" si="16"/>
        <v>1</v>
      </c>
      <c r="AC35" s="1351">
        <f t="shared" si="17"/>
        <v>1</v>
      </c>
    </row>
    <row r="36" spans="1:29" ht="15">
      <c r="A36" s="161"/>
      <c r="B36" s="12" t="s">
        <v>79</v>
      </c>
      <c r="C36" s="109" t="s">
        <v>3326</v>
      </c>
      <c r="D36" s="777">
        <v>100</v>
      </c>
      <c r="E36" s="109" t="s">
        <v>3326</v>
      </c>
      <c r="F36" s="803">
        <f>SUMIF(109:109,E36,110:110)-SUMIF(109:109,C36,110:110)+100</f>
        <v>100</v>
      </c>
      <c r="G36" s="109" t="s">
        <v>3326</v>
      </c>
      <c r="H36" s="777">
        <f>SUMIF(109:109,G36,110:110)-SUMIF(109:109,C36,110:110)+100</f>
        <v>100</v>
      </c>
      <c r="I36" s="109" t="s">
        <v>3326</v>
      </c>
      <c r="J36" s="777">
        <f>SUMIF(109:109,I36,110:110)-SUMIF(109:109,C36,110:110)+100</f>
        <v>100</v>
      </c>
      <c r="K36" s="768">
        <v>2</v>
      </c>
      <c r="L36" s="2297"/>
      <c r="M36" s="2292"/>
      <c r="N36" s="2292"/>
      <c r="O36" s="2292"/>
      <c r="P36" s="3764"/>
      <c r="Q36" s="1347" t="str">
        <f t="shared" si="11"/>
        <v>公共部分装修</v>
      </c>
      <c r="R36" s="1348" t="s">
        <v>104</v>
      </c>
      <c r="S36" s="1349">
        <f t="shared" si="12"/>
        <v>100</v>
      </c>
      <c r="T36" s="1348" t="s">
        <v>104</v>
      </c>
      <c r="U36" s="1349">
        <f t="shared" si="13"/>
        <v>100</v>
      </c>
      <c r="V36" s="1348" t="s">
        <v>104</v>
      </c>
      <c r="W36" s="1349">
        <f t="shared" si="14"/>
        <v>100</v>
      </c>
      <c r="X36" s="1337"/>
      <c r="Y36" s="3766"/>
      <c r="Z36" s="1350" t="str">
        <f t="shared" si="18"/>
        <v>公共部分装修</v>
      </c>
      <c r="AA36" s="1351">
        <f t="shared" si="15"/>
        <v>1</v>
      </c>
      <c r="AB36" s="1351">
        <f t="shared" si="16"/>
        <v>1</v>
      </c>
      <c r="AC36" s="1351">
        <f t="shared" si="17"/>
        <v>1</v>
      </c>
    </row>
    <row r="37" spans="1:29" s="40" customFormat="1" ht="15">
      <c r="A37" s="1038"/>
      <c r="B37" s="12" t="s">
        <v>80</v>
      </c>
      <c r="C37" s="814">
        <v>1</v>
      </c>
      <c r="D37" s="426">
        <v>100</v>
      </c>
      <c r="E37" s="814">
        <v>1</v>
      </c>
      <c r="F37" s="767">
        <f>LOOKUP(E37,112:112,113:113)-LOOKUP(C37,112:112,113:113)+100</f>
        <v>100</v>
      </c>
      <c r="G37" s="814">
        <v>1</v>
      </c>
      <c r="H37" s="426">
        <f>LOOKUP(G37,112:112,113:113)-LOOKUP(C37,112:112,113:113)+100</f>
        <v>100</v>
      </c>
      <c r="I37" s="814">
        <v>1</v>
      </c>
      <c r="J37" s="426">
        <f>LOOKUP(I37,112:112,113:113)-LOOKUP(C37,112:112,113:113)+100</f>
        <v>100</v>
      </c>
      <c r="K37" s="768">
        <v>1</v>
      </c>
      <c r="L37" s="2293"/>
      <c r="M37" s="2255"/>
      <c r="N37" s="2255"/>
      <c r="O37" s="2255"/>
      <c r="P37" s="3764"/>
      <c r="Q37" s="7" t="str">
        <f t="shared" si="11"/>
        <v>成新度</v>
      </c>
      <c r="R37" s="1339" t="s">
        <v>104</v>
      </c>
      <c r="S37" s="1340">
        <f t="shared" si="12"/>
        <v>100</v>
      </c>
      <c r="T37" s="1339" t="s">
        <v>104</v>
      </c>
      <c r="U37" s="1340">
        <f t="shared" si="13"/>
        <v>100</v>
      </c>
      <c r="V37" s="1339" t="s">
        <v>104</v>
      </c>
      <c r="W37" s="1340">
        <f t="shared" si="14"/>
        <v>100</v>
      </c>
      <c r="X37" s="287"/>
      <c r="Y37" s="3766"/>
      <c r="Z37" s="288" t="str">
        <f t="shared" si="18"/>
        <v>成新度</v>
      </c>
      <c r="AA37" s="1341">
        <f t="shared" si="15"/>
        <v>1</v>
      </c>
      <c r="AB37" s="1341">
        <f t="shared" si="16"/>
        <v>1</v>
      </c>
      <c r="AC37" s="1341">
        <f t="shared" si="17"/>
        <v>1</v>
      </c>
    </row>
    <row r="38" spans="1:29" ht="15">
      <c r="A38" s="161"/>
      <c r="B38" s="12" t="s">
        <v>81</v>
      </c>
      <c r="C38" s="109" t="s">
        <v>3327</v>
      </c>
      <c r="D38" s="777">
        <v>100</v>
      </c>
      <c r="E38" s="109" t="s">
        <v>3327</v>
      </c>
      <c r="F38" s="803">
        <f>SUMIF(114:114,E38,115:115)-SUMIF(114:114,C38,115:115)+100</f>
        <v>100</v>
      </c>
      <c r="G38" s="109" t="s">
        <v>3327</v>
      </c>
      <c r="H38" s="777">
        <f>SUMIF(114:114,G38,115:115)-SUMIF(114:114,C38,115:115)+100</f>
        <v>100</v>
      </c>
      <c r="I38" s="109" t="s">
        <v>3327</v>
      </c>
      <c r="J38" s="777">
        <f>SUMIF(114:114,I38,115:115)-SUMIF(114:114,C38,115:115)+100</f>
        <v>100</v>
      </c>
      <c r="K38" s="768">
        <v>2</v>
      </c>
      <c r="L38" s="2297"/>
      <c r="M38" s="2292"/>
      <c r="N38" s="2292"/>
      <c r="O38" s="2292"/>
      <c r="P38" s="3764" t="s">
        <v>70</v>
      </c>
      <c r="Q38" s="1347" t="str">
        <f t="shared" si="11"/>
        <v>物业管理</v>
      </c>
      <c r="R38" s="1348" t="s">
        <v>104</v>
      </c>
      <c r="S38" s="1349">
        <f t="shared" si="12"/>
        <v>100</v>
      </c>
      <c r="T38" s="1348" t="s">
        <v>104</v>
      </c>
      <c r="U38" s="1349">
        <f t="shared" si="13"/>
        <v>100</v>
      </c>
      <c r="V38" s="1348" t="s">
        <v>104</v>
      </c>
      <c r="W38" s="1349">
        <f t="shared" si="14"/>
        <v>100</v>
      </c>
      <c r="X38" s="1337"/>
      <c r="Y38" s="3766" t="s">
        <v>70</v>
      </c>
      <c r="Z38" s="1350" t="str">
        <f t="shared" si="18"/>
        <v>物业管理</v>
      </c>
      <c r="AA38" s="1351">
        <f t="shared" si="15"/>
        <v>1</v>
      </c>
      <c r="AB38" s="1351">
        <f t="shared" si="16"/>
        <v>1</v>
      </c>
      <c r="AC38" s="1351">
        <f t="shared" si="17"/>
        <v>1</v>
      </c>
    </row>
    <row r="39" spans="1:29" ht="15">
      <c r="A39" s="161"/>
      <c r="B39" s="12" t="s">
        <v>2640</v>
      </c>
      <c r="C39" s="109" t="s">
        <v>3296</v>
      </c>
      <c r="D39" s="777">
        <v>100</v>
      </c>
      <c r="E39" s="109" t="s">
        <v>3296</v>
      </c>
      <c r="F39" s="803">
        <f>SUMIF(116:116,E39,117:117)-SUMIF(116:116,C39,117:117)+100</f>
        <v>100</v>
      </c>
      <c r="G39" s="109" t="s">
        <v>3296</v>
      </c>
      <c r="H39" s="777">
        <f>SUMIF(116:116,G39,117:117)-SUMIF(116:116,C39,117:117)+100</f>
        <v>100</v>
      </c>
      <c r="I39" s="109" t="s">
        <v>3296</v>
      </c>
      <c r="J39" s="777">
        <f>SUMIF(116:116,I39,117:117)-SUMIF(116:116,C39,117:117)+100</f>
        <v>100</v>
      </c>
      <c r="K39" s="768">
        <v>1</v>
      </c>
      <c r="L39" s="2297"/>
      <c r="M39" s="2292"/>
      <c r="N39" s="2292"/>
      <c r="O39" s="2292"/>
      <c r="P39" s="3764"/>
      <c r="Q39" s="1347" t="str">
        <f t="shared" si="11"/>
        <v>市政基础设施</v>
      </c>
      <c r="R39" s="1348" t="s">
        <v>104</v>
      </c>
      <c r="S39" s="1349">
        <f t="shared" si="12"/>
        <v>100</v>
      </c>
      <c r="T39" s="1348" t="s">
        <v>104</v>
      </c>
      <c r="U39" s="1349">
        <f t="shared" si="13"/>
        <v>100</v>
      </c>
      <c r="V39" s="1348" t="s">
        <v>104</v>
      </c>
      <c r="W39" s="1349">
        <f t="shared" si="14"/>
        <v>100</v>
      </c>
      <c r="X39" s="1337"/>
      <c r="Y39" s="3766"/>
      <c r="Z39" s="1350" t="str">
        <f t="shared" si="18"/>
        <v>市政基础设施</v>
      </c>
      <c r="AA39" s="1351">
        <f t="shared" si="15"/>
        <v>1</v>
      </c>
      <c r="AB39" s="1351">
        <f t="shared" si="16"/>
        <v>1</v>
      </c>
      <c r="AC39" s="1351">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764"/>
      <c r="Q40" s="1347" t="str">
        <f t="shared" si="11"/>
        <v>房型</v>
      </c>
      <c r="R40" s="1348" t="s">
        <v>104</v>
      </c>
      <c r="S40" s="1349">
        <f t="shared" si="12"/>
        <v>100</v>
      </c>
      <c r="T40" s="1348" t="s">
        <v>104</v>
      </c>
      <c r="U40" s="1349">
        <f t="shared" si="13"/>
        <v>100</v>
      </c>
      <c r="V40" s="1348" t="s">
        <v>104</v>
      </c>
      <c r="W40" s="1349">
        <f t="shared" si="14"/>
        <v>100</v>
      </c>
      <c r="X40" s="1337"/>
      <c r="Y40" s="3766"/>
      <c r="Z40" s="1350" t="str">
        <f t="shared" si="18"/>
        <v>房型</v>
      </c>
      <c r="AA40" s="1351">
        <f t="shared" si="15"/>
        <v>1</v>
      </c>
      <c r="AB40" s="1351">
        <f t="shared" si="16"/>
        <v>1</v>
      </c>
      <c r="AC40" s="1351">
        <f t="shared" si="17"/>
        <v>1</v>
      </c>
    </row>
    <row r="41" spans="1:29" s="1036" customFormat="1" ht="27">
      <c r="A41" s="1040"/>
      <c r="B41" s="12" t="s">
        <v>105</v>
      </c>
      <c r="C41" s="1354"/>
      <c r="D41" s="426">
        <v>100</v>
      </c>
      <c r="E41" s="1026"/>
      <c r="F41" s="767">
        <f>SUMIF(120:120,E41,121:121)-SUMIF(120:120,C41,121:121)+100</f>
        <v>100</v>
      </c>
      <c r="G41" s="1025"/>
      <c r="H41" s="426">
        <f>SUMIF(120:120,G41,121:121)-SUMIF(120:120,C41,121:121)+100</f>
        <v>100</v>
      </c>
      <c r="I41" s="114"/>
      <c r="J41" s="777">
        <f>SUMIF(120:120,I41,121:121)-SUMIF(120:120,C41,121:121)+100</f>
        <v>100</v>
      </c>
      <c r="K41" s="153"/>
      <c r="L41" s="2296"/>
      <c r="M41" s="2298"/>
      <c r="N41" s="2298"/>
      <c r="O41" s="2298"/>
      <c r="P41" s="3764"/>
      <c r="Q41" s="1355" t="str">
        <f t="shared" si="11"/>
        <v>单套/主力户型建筑面积</v>
      </c>
      <c r="R41" s="1356" t="s">
        <v>104</v>
      </c>
      <c r="S41" s="1357">
        <f t="shared" si="12"/>
        <v>100</v>
      </c>
      <c r="T41" s="1356" t="s">
        <v>104</v>
      </c>
      <c r="U41" s="1357">
        <f t="shared" si="13"/>
        <v>100</v>
      </c>
      <c r="V41" s="1356" t="s">
        <v>104</v>
      </c>
      <c r="W41" s="1357">
        <f t="shared" si="14"/>
        <v>100</v>
      </c>
      <c r="X41" s="1358"/>
      <c r="Y41" s="3766"/>
      <c r="Z41" s="1359" t="str">
        <f t="shared" si="18"/>
        <v>单套/主力户型建筑面积</v>
      </c>
      <c r="AA41" s="1351">
        <f t="shared" si="15"/>
        <v>1</v>
      </c>
      <c r="AB41" s="1351">
        <f t="shared" si="16"/>
        <v>1</v>
      </c>
      <c r="AC41" s="1351">
        <f t="shared" si="17"/>
        <v>1</v>
      </c>
    </row>
    <row r="42" spans="1:29" ht="15">
      <c r="A42" s="161"/>
      <c r="B42" s="12" t="s">
        <v>83</v>
      </c>
      <c r="C42" s="109" t="s">
        <v>3328</v>
      </c>
      <c r="D42" s="777">
        <v>100</v>
      </c>
      <c r="E42" s="109" t="s">
        <v>3326</v>
      </c>
      <c r="F42" s="803">
        <f>SUMIF(122:122,E42,123:123)-SUMIF(122:122,C42,123:123)+100</f>
        <v>109</v>
      </c>
      <c r="G42" s="109" t="s">
        <v>3326</v>
      </c>
      <c r="H42" s="777">
        <f>SUMIF(122:122,G42,123:123)-SUMIF(122:122,C42,123:123)+100</f>
        <v>109</v>
      </c>
      <c r="I42" s="109" t="s">
        <v>3326</v>
      </c>
      <c r="J42" s="777">
        <f>SUMIF(122:122,I42,123:123)-SUMIF(122:122,C42,123:123)+100</f>
        <v>109</v>
      </c>
      <c r="K42" s="768">
        <v>3</v>
      </c>
      <c r="L42" s="2297"/>
      <c r="M42" s="2292"/>
      <c r="N42" s="2292"/>
      <c r="O42" s="2292"/>
      <c r="P42" s="3764"/>
      <c r="Q42" s="1347" t="str">
        <f t="shared" si="11"/>
        <v>内部装修</v>
      </c>
      <c r="R42" s="1348" t="s">
        <v>104</v>
      </c>
      <c r="S42" s="1349">
        <f t="shared" si="12"/>
        <v>109</v>
      </c>
      <c r="T42" s="1348" t="s">
        <v>104</v>
      </c>
      <c r="U42" s="1349">
        <f t="shared" si="13"/>
        <v>109</v>
      </c>
      <c r="V42" s="1348" t="s">
        <v>104</v>
      </c>
      <c r="W42" s="1349">
        <f t="shared" si="14"/>
        <v>109</v>
      </c>
      <c r="X42" s="1337"/>
      <c r="Y42" s="3766"/>
      <c r="Z42" s="1350" t="str">
        <f t="shared" si="18"/>
        <v>内部装修</v>
      </c>
      <c r="AA42" s="1351">
        <f t="shared" si="15"/>
        <v>0.91743119266055051</v>
      </c>
      <c r="AB42" s="1351">
        <f t="shared" si="16"/>
        <v>0.91743119266055051</v>
      </c>
      <c r="AC42" s="1351">
        <f t="shared" si="17"/>
        <v>0.91743119266055051</v>
      </c>
    </row>
    <row r="43" spans="1:29" ht="27">
      <c r="A43" s="161"/>
      <c r="B43" s="12" t="s">
        <v>84</v>
      </c>
      <c r="C43" s="109" t="s">
        <v>3286</v>
      </c>
      <c r="D43" s="777">
        <v>100</v>
      </c>
      <c r="E43" s="109" t="s">
        <v>3286</v>
      </c>
      <c r="F43" s="803">
        <f>SUMIF(124:124,E43,125:125)-SUMIF(124:124,C43,125:125)+100</f>
        <v>100</v>
      </c>
      <c r="G43" s="109" t="s">
        <v>3286</v>
      </c>
      <c r="H43" s="777">
        <f>SUMIF(124:124,G43,125:125)-SUMIF(124:124,C43,125:125)+100</f>
        <v>100</v>
      </c>
      <c r="I43" s="109" t="s">
        <v>3286</v>
      </c>
      <c r="J43" s="777">
        <f>SUMIF(124:124,I43,125:125)-SUMIF(124:124,C43,125:125)+100</f>
        <v>100</v>
      </c>
      <c r="K43" s="768">
        <v>2</v>
      </c>
      <c r="L43" s="2297"/>
      <c r="M43" s="2292"/>
      <c r="N43" s="2292"/>
      <c r="O43" s="2292"/>
      <c r="P43" s="3764"/>
      <c r="Q43" s="1347" t="str">
        <f t="shared" si="11"/>
        <v>内部装修维护情况</v>
      </c>
      <c r="R43" s="1348" t="s">
        <v>104</v>
      </c>
      <c r="S43" s="1349">
        <f t="shared" si="12"/>
        <v>100</v>
      </c>
      <c r="T43" s="1348" t="s">
        <v>104</v>
      </c>
      <c r="U43" s="1349">
        <f t="shared" si="13"/>
        <v>100</v>
      </c>
      <c r="V43" s="1348" t="s">
        <v>104</v>
      </c>
      <c r="W43" s="1349">
        <f t="shared" si="14"/>
        <v>100</v>
      </c>
      <c r="X43" s="1337"/>
      <c r="Y43" s="3766"/>
      <c r="Z43" s="1350" t="str">
        <f t="shared" si="18"/>
        <v>内部装修维护情况</v>
      </c>
      <c r="AA43" s="1351">
        <f t="shared" si="15"/>
        <v>1</v>
      </c>
      <c r="AB43" s="1351">
        <f t="shared" si="16"/>
        <v>1</v>
      </c>
      <c r="AC43" s="1351">
        <f t="shared" si="17"/>
        <v>1</v>
      </c>
    </row>
    <row r="44" spans="1:29" s="40" customFormat="1" ht="14.25">
      <c r="A44" s="1038"/>
      <c r="B44" s="1353">
        <v>111</v>
      </c>
      <c r="C44" s="1354"/>
      <c r="D44" s="426">
        <v>100</v>
      </c>
      <c r="E44" s="1354"/>
      <c r="F44" s="767">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764"/>
      <c r="Q44" s="7">
        <f t="shared" si="11"/>
        <v>111</v>
      </c>
      <c r="R44" s="1339" t="s">
        <v>104</v>
      </c>
      <c r="S44" s="1340">
        <f t="shared" si="12"/>
        <v>100</v>
      </c>
      <c r="T44" s="1339" t="s">
        <v>104</v>
      </c>
      <c r="U44" s="1340">
        <f t="shared" si="13"/>
        <v>100</v>
      </c>
      <c r="V44" s="1339" t="s">
        <v>104</v>
      </c>
      <c r="W44" s="1340">
        <f t="shared" si="14"/>
        <v>100</v>
      </c>
      <c r="X44" s="287"/>
      <c r="Y44" s="3766"/>
      <c r="Z44" s="288">
        <f t="shared" si="18"/>
        <v>111</v>
      </c>
      <c r="AA44" s="1341">
        <f t="shared" si="15"/>
        <v>1</v>
      </c>
      <c r="AB44" s="1341">
        <f t="shared" si="16"/>
        <v>1</v>
      </c>
      <c r="AC44" s="1341">
        <f t="shared" si="17"/>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764"/>
      <c r="Q45" s="1347">
        <f t="shared" si="11"/>
        <v>111</v>
      </c>
      <c r="R45" s="1348" t="s">
        <v>104</v>
      </c>
      <c r="S45" s="1349">
        <f t="shared" si="12"/>
        <v>100</v>
      </c>
      <c r="T45" s="1348" t="s">
        <v>104</v>
      </c>
      <c r="U45" s="1349">
        <f t="shared" si="13"/>
        <v>100</v>
      </c>
      <c r="V45" s="1348" t="s">
        <v>104</v>
      </c>
      <c r="W45" s="1349">
        <f t="shared" si="14"/>
        <v>100</v>
      </c>
      <c r="X45" s="1337"/>
      <c r="Y45" s="3766"/>
      <c r="Z45" s="1350">
        <f t="shared" si="18"/>
        <v>111</v>
      </c>
      <c r="AA45" s="1351">
        <f t="shared" si="15"/>
        <v>1</v>
      </c>
      <c r="AB45" s="1351">
        <f t="shared" si="16"/>
        <v>1</v>
      </c>
      <c r="AC45" s="1351">
        <f t="shared" si="17"/>
        <v>1</v>
      </c>
    </row>
    <row r="46" spans="1:29" ht="15" thickBot="1">
      <c r="A46" s="162"/>
      <c r="B46" s="1029">
        <v>0.95</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765"/>
      <c r="Q46" s="1347">
        <f t="shared" si="11"/>
        <v>0.95</v>
      </c>
      <c r="R46" s="1348" t="s">
        <v>103</v>
      </c>
      <c r="S46" s="1349">
        <f t="shared" si="12"/>
        <v>100</v>
      </c>
      <c r="T46" s="1348" t="s">
        <v>103</v>
      </c>
      <c r="U46" s="1349">
        <f t="shared" si="13"/>
        <v>100</v>
      </c>
      <c r="V46" s="1348" t="s">
        <v>103</v>
      </c>
      <c r="W46" s="1349">
        <f t="shared" si="14"/>
        <v>100</v>
      </c>
      <c r="X46" s="1337"/>
      <c r="Y46" s="3767"/>
      <c r="Z46" s="1350">
        <f t="shared" si="18"/>
        <v>0.95</v>
      </c>
      <c r="AA46" s="1351">
        <f t="shared" si="15"/>
        <v>1</v>
      </c>
      <c r="AB46" s="1351">
        <f t="shared" si="16"/>
        <v>1</v>
      </c>
      <c r="AC46" s="1351">
        <f t="shared" si="17"/>
        <v>1</v>
      </c>
    </row>
    <row r="47" spans="1:29" ht="15">
      <c r="A47" s="163" t="s">
        <v>102</v>
      </c>
      <c r="B47" s="164"/>
      <c r="C47" s="2829" t="s">
        <v>101</v>
      </c>
      <c r="D47" s="2830"/>
      <c r="E47" s="2831">
        <f>ROUND(54951*B46,0)</f>
        <v>52203</v>
      </c>
      <c r="F47" s="2832"/>
      <c r="G47" s="2833">
        <f>ROUND(62200*B46,0)</f>
        <v>59090</v>
      </c>
      <c r="H47" s="2834"/>
      <c r="I47" s="2831">
        <f>ROUND(62571*B46,0)</f>
        <v>59442</v>
      </c>
      <c r="J47" s="2834"/>
      <c r="K47" s="1360"/>
      <c r="L47" s="2299"/>
      <c r="M47" s="2300"/>
      <c r="N47" s="2292"/>
      <c r="O47" s="2300"/>
      <c r="P47" s="3759" t="str">
        <f>A47</f>
        <v>成交单价（元/平方米）</v>
      </c>
      <c r="Q47" s="3759"/>
      <c r="R47" s="3760">
        <f>E47</f>
        <v>52203</v>
      </c>
      <c r="S47" s="3760"/>
      <c r="T47" s="3760">
        <f>G47</f>
        <v>59090</v>
      </c>
      <c r="U47" s="3760"/>
      <c r="V47" s="3760">
        <f>I47</f>
        <v>59442</v>
      </c>
      <c r="W47" s="3760"/>
      <c r="X47" s="1361"/>
      <c r="Y47" s="1362"/>
      <c r="Z47" s="1361"/>
      <c r="AA47" s="1361"/>
      <c r="AB47" s="1361"/>
      <c r="AC47" s="1361"/>
    </row>
    <row r="48" spans="1:29" ht="15.75" thickBot="1">
      <c r="A48" s="165" t="s">
        <v>100</v>
      </c>
      <c r="B48" s="166"/>
      <c r="C48" s="2835">
        <f>R49</f>
        <v>55282</v>
      </c>
      <c r="D48" s="2836"/>
      <c r="E48" s="2837">
        <f>R48</f>
        <v>49619</v>
      </c>
      <c r="F48" s="2837"/>
      <c r="G48" s="2835">
        <f>T48</f>
        <v>59307</v>
      </c>
      <c r="H48" s="2836"/>
      <c r="I48" s="2837">
        <f>V48</f>
        <v>56921</v>
      </c>
      <c r="J48" s="2836"/>
      <c r="K48" s="1363"/>
      <c r="L48" s="2299"/>
      <c r="M48" s="2300"/>
      <c r="N48" s="2300"/>
      <c r="O48" s="2300"/>
      <c r="P48" s="3759" t="str">
        <f>A48</f>
        <v>比较价值（元/平方米）</v>
      </c>
      <c r="Q48" s="3759"/>
      <c r="R48" s="3760">
        <f>IF(F1="售价",ROUND(PRODUCT(R47,AA7:AA46),0),ROUND(PRODUCT(R47,AA7:AA46),1))</f>
        <v>49619</v>
      </c>
      <c r="S48" s="3760"/>
      <c r="T48" s="3760">
        <f>IF(F1="售价",ROUND(PRODUCT(T47,AB7:AB46),0),ROUND(PRODUCT(T47,AB7:AB46),1))</f>
        <v>59307</v>
      </c>
      <c r="U48" s="3760"/>
      <c r="V48" s="3760">
        <f>IF(F1="售价",ROUND(PRODUCT(V47,AC7:AC46),0),ROUND(PRODUCT(V47,AC7:AC46),1))</f>
        <v>56921</v>
      </c>
      <c r="W48" s="3760"/>
      <c r="X48" s="1361"/>
      <c r="Y48" s="1361"/>
      <c r="Z48" s="1361"/>
      <c r="AA48" s="1361"/>
      <c r="AB48" s="1361"/>
      <c r="AC48" s="1361"/>
    </row>
    <row r="49" spans="1:29" ht="15.75" thickBot="1">
      <c r="A49" s="115" t="s">
        <v>3012</v>
      </c>
      <c r="B49" s="116"/>
      <c r="C49" s="2838">
        <f>R49</f>
        <v>55282</v>
      </c>
      <c r="D49" s="2839"/>
      <c r="E49" s="2839"/>
      <c r="F49" s="2839"/>
      <c r="G49" s="2839"/>
      <c r="H49" s="2839"/>
      <c r="I49" s="2839"/>
      <c r="J49" s="2839"/>
      <c r="K49" s="1364"/>
      <c r="L49" s="2299"/>
      <c r="M49" s="2300"/>
      <c r="N49" s="2300"/>
      <c r="O49" s="2300"/>
      <c r="P49" s="3756" t="str">
        <f>A49</f>
        <v>估价对象XX用房的比较价值（楼面单价，元/平方米）</v>
      </c>
      <c r="Q49" s="3757"/>
      <c r="R49" s="3758">
        <f>IF(F1="售价",ROUND(AVERAGE(R48:V48),0),ROUND(AVERAGE(R48:V48),1))</f>
        <v>55282</v>
      </c>
      <c r="S49" s="3758"/>
      <c r="T49" s="3758"/>
      <c r="U49" s="3758"/>
      <c r="V49" s="3758"/>
      <c r="W49" s="3758"/>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997</v>
      </c>
      <c r="D52" s="838"/>
      <c r="E52" s="839">
        <f>IF(E47&lt;E48,E48/E47-1,E47/E48-1)</f>
        <v>5.207682540962133E-2</v>
      </c>
      <c r="F52" s="840" t="str">
        <f>IF(OR(E52&gt;=0.3,E52&lt;=-0.3),"超过30%","")</f>
        <v/>
      </c>
      <c r="G52" s="839">
        <f>IF(G47&lt;G48,G48/G47-1,G47/G48-1)</f>
        <v>3.6723641902183246E-3</v>
      </c>
      <c r="H52" s="840" t="str">
        <f>IF(OR(G52&gt;=0.3,G52&lt;=-0.3),"超过30%","")</f>
        <v/>
      </c>
      <c r="I52" s="839">
        <f>IF(I47&lt;I48,I48/I47-1,I47/I48-1)</f>
        <v>4.428945380439564E-2</v>
      </c>
      <c r="J52" s="840" t="str">
        <f>IF(OR(I52&gt;=0.3,I52&lt;=-0.3),"超过30%","")</f>
        <v/>
      </c>
      <c r="K52" s="2301"/>
      <c r="L52" s="2302"/>
      <c r="M52" s="2300"/>
      <c r="N52" s="2300"/>
      <c r="O52" s="2300"/>
    </row>
    <row r="53" spans="1:29" ht="13.5" customHeight="1">
      <c r="A53" s="2300"/>
      <c r="B53" s="2300"/>
      <c r="C53" s="837" t="s">
        <v>998</v>
      </c>
      <c r="D53" s="841"/>
      <c r="E53" s="839">
        <f>IF(E48&lt;G48,G48/E48-1,E48/G48-1)</f>
        <v>0.19524778814567001</v>
      </c>
      <c r="F53" s="840" t="str">
        <f>IF(OR(E53&gt;=0.2,E53&lt;=-0.2),"超过20%","")</f>
        <v/>
      </c>
      <c r="G53" s="839">
        <f>IF(G48&lt;I48,I48/G48-1,G48/I48-1)</f>
        <v>4.1917745647476412E-2</v>
      </c>
      <c r="H53" s="840" t="str">
        <f>IF(OR(G53&gt;=0.2,G53&lt;=-0.2),"超过20%","")</f>
        <v/>
      </c>
      <c r="I53" s="839">
        <f>IF(I48&lt;E48,E48/I48-1,I48/E48-1)</f>
        <v>0.14716136963663118</v>
      </c>
      <c r="J53" s="840" t="str">
        <f>IF(OR(I53&gt;=0.2,I53&lt;=-0.2),"超过20%","")</f>
        <v/>
      </c>
      <c r="K53" s="2301"/>
      <c r="L53" s="2302"/>
      <c r="M53" s="2300"/>
      <c r="N53" s="2300"/>
      <c r="O53" s="2300"/>
    </row>
    <row r="54" spans="1:29" s="119" customFormat="1" ht="13.5" customHeight="1">
      <c r="A54" s="2305"/>
      <c r="B54" s="2305"/>
      <c r="C54" s="837" t="s">
        <v>999</v>
      </c>
      <c r="D54" s="841"/>
      <c r="E54" s="839">
        <f>IF(E47&lt;G47,G47/E47-1,E47/G47-1)</f>
        <v>0.13192728387257446</v>
      </c>
      <c r="F54" s="840" t="str">
        <f>IF(OR(E54&gt;=0.3,E54&lt;=-0.3),"超过30%","")</f>
        <v/>
      </c>
      <c r="G54" s="839">
        <f>IF(G47&lt;I47,I47/G47-1,G47/I47-1)</f>
        <v>5.9570147233034554E-3</v>
      </c>
      <c r="H54" s="840" t="str">
        <f>IF(OR(G54&gt;=0.3,G54&lt;=-0.3),"超过30%","")</f>
        <v/>
      </c>
      <c r="I54" s="839">
        <f>IF(I47&lt;E47,E47/I47-1,I47/E47-1)</f>
        <v>0.13867019136831216</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1"/>
    </row>
    <row r="58" spans="1:29" s="848" customFormat="1" ht="15">
      <c r="A58" s="845" t="s">
        <v>2791</v>
      </c>
      <c r="B58" s="846"/>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2"/>
      <c r="B59" s="3034"/>
      <c r="C59" s="3035">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1000</v>
      </c>
      <c r="D65" s="879" t="s">
        <v>1001</v>
      </c>
      <c r="E65" s="879" t="s">
        <v>1002</v>
      </c>
      <c r="F65" s="879" t="s">
        <v>1003</v>
      </c>
      <c r="G65" s="879" t="s">
        <v>1004</v>
      </c>
      <c r="H65" s="879" t="s">
        <v>1005</v>
      </c>
      <c r="I65" s="879" t="s">
        <v>1006</v>
      </c>
      <c r="J65" s="879"/>
      <c r="K65" s="880"/>
      <c r="L65" s="881"/>
      <c r="M65" s="882"/>
      <c r="N65" s="1385"/>
      <c r="O65" s="1385"/>
      <c r="P65" s="1375"/>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90" t="str">
        <f>M68&amp;"（含）"&amp;"-"&amp;P68</f>
        <v>（含）-</v>
      </c>
      <c r="N67" s="1386"/>
      <c r="O67" s="1386"/>
      <c r="P67" s="1375"/>
      <c r="Q67" s="121"/>
    </row>
    <row r="68" spans="1:17" ht="14.25">
      <c r="A68" s="173"/>
      <c r="B68" s="1054"/>
      <c r="C68" s="889">
        <v>0</v>
      </c>
      <c r="D68" s="889">
        <v>1</v>
      </c>
      <c r="E68" s="889">
        <v>2</v>
      </c>
      <c r="F68" s="889">
        <v>3</v>
      </c>
      <c r="G68" s="889">
        <v>4</v>
      </c>
      <c r="H68" s="889"/>
      <c r="I68" s="889"/>
      <c r="J68" s="889"/>
      <c r="K68" s="890"/>
      <c r="L68" s="891"/>
      <c r="M68" s="892"/>
      <c r="N68" s="1385"/>
      <c r="O68" s="1385"/>
      <c r="P68" s="1375"/>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6" customFormat="1" ht="15" thickTop="1">
      <c r="A70" s="1055"/>
      <c r="B70" s="1051">
        <f>B12</f>
        <v>0</v>
      </c>
      <c r="C70" s="894"/>
      <c r="D70" s="894"/>
      <c r="E70" s="894"/>
      <c r="F70" s="894"/>
      <c r="G70" s="894"/>
      <c r="H70" s="895"/>
      <c r="I70" s="895"/>
      <c r="J70" s="895"/>
      <c r="K70" s="895"/>
      <c r="L70" s="896"/>
      <c r="M70" s="897"/>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5" thickTop="1">
      <c r="A72" s="1055"/>
      <c r="B72" s="1051">
        <f>B13</f>
        <v>0</v>
      </c>
      <c r="C72" s="894"/>
      <c r="D72" s="894"/>
      <c r="E72" s="894"/>
      <c r="F72" s="894"/>
      <c r="G72" s="894"/>
      <c r="H72" s="895"/>
      <c r="I72" s="895"/>
      <c r="J72" s="895"/>
      <c r="K72" s="895"/>
      <c r="L72" s="896"/>
      <c r="M72" s="897"/>
      <c r="N72" s="1387"/>
      <c r="O72" s="1387"/>
      <c r="P72" s="1377"/>
      <c r="Q72" s="1062"/>
    </row>
    <row r="73" spans="1:17" s="1036" customFormat="1" ht="15" thickBot="1">
      <c r="A73" s="1055"/>
      <c r="B73" s="1052"/>
      <c r="C73" s="900"/>
      <c r="D73" s="900"/>
      <c r="E73" s="900"/>
      <c r="F73" s="900"/>
      <c r="G73" s="900"/>
      <c r="H73" s="902"/>
      <c r="I73" s="902"/>
      <c r="J73" s="902"/>
      <c r="K73" s="902"/>
      <c r="L73" s="902"/>
      <c r="M73" s="903"/>
      <c r="N73" s="1387"/>
      <c r="O73" s="1387"/>
      <c r="P73" s="1376"/>
      <c r="Q73" s="1060"/>
    </row>
    <row r="74" spans="1:17" s="1036" customFormat="1" ht="15" thickTop="1">
      <c r="A74" s="1055"/>
      <c r="B74" s="1053">
        <f>B14</f>
        <v>0</v>
      </c>
      <c r="C74" s="894"/>
      <c r="D74" s="894"/>
      <c r="E74" s="894"/>
      <c r="F74" s="894"/>
      <c r="G74" s="863"/>
      <c r="H74" s="904"/>
      <c r="I74" s="904"/>
      <c r="J74" s="904"/>
      <c r="K74" s="904"/>
      <c r="L74" s="905"/>
      <c r="M74" s="906"/>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69</v>
      </c>
      <c r="B76" s="286" t="s">
        <v>110</v>
      </c>
      <c r="C76" s="913" t="s">
        <v>1007</v>
      </c>
      <c r="D76" s="913" t="s">
        <v>1008</v>
      </c>
      <c r="E76" s="913" t="s">
        <v>1009</v>
      </c>
      <c r="F76" s="913" t="s">
        <v>1010</v>
      </c>
      <c r="G76" s="913" t="s">
        <v>1011</v>
      </c>
      <c r="H76" s="869"/>
      <c r="I76" s="869"/>
      <c r="J76" s="869"/>
      <c r="K76" s="914"/>
      <c r="L76" s="915"/>
      <c r="M76" s="916"/>
      <c r="N76" s="1385"/>
      <c r="O76" s="1385"/>
      <c r="P76" s="1379"/>
      <c r="Q76" s="121"/>
    </row>
    <row r="77" spans="1:17" ht="15" thickBot="1">
      <c r="A77" s="173"/>
      <c r="B77" s="1052"/>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1" t="s">
        <v>92</v>
      </c>
      <c r="C78" s="918" t="s">
        <v>1007</v>
      </c>
      <c r="D78" s="918" t="s">
        <v>1008</v>
      </c>
      <c r="E78" s="918" t="s">
        <v>1009</v>
      </c>
      <c r="F78" s="918" t="s">
        <v>1010</v>
      </c>
      <c r="G78" s="918" t="s">
        <v>1011</v>
      </c>
      <c r="H78" s="879"/>
      <c r="I78" s="879"/>
      <c r="J78" s="879"/>
      <c r="K78" s="880"/>
      <c r="L78" s="881"/>
      <c r="M78" s="882"/>
      <c r="N78" s="1385"/>
      <c r="O78" s="1385"/>
      <c r="P78" s="1375"/>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1" t="s">
        <v>2632</v>
      </c>
      <c r="C80" s="918" t="s">
        <v>1007</v>
      </c>
      <c r="D80" s="918" t="s">
        <v>1008</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3" t="s">
        <v>2642</v>
      </c>
      <c r="C82" s="177" t="s">
        <v>2643</v>
      </c>
      <c r="D82" s="177" t="s">
        <v>2647</v>
      </c>
      <c r="E82" s="177" t="s">
        <v>2644</v>
      </c>
      <c r="F82" s="177" t="s">
        <v>2645</v>
      </c>
      <c r="G82" s="177" t="s">
        <v>2646</v>
      </c>
      <c r="H82" s="879"/>
      <c r="I82" s="879"/>
      <c r="J82" s="879"/>
      <c r="K82" s="879"/>
      <c r="L82" s="879"/>
      <c r="M82" s="2761"/>
      <c r="N82" s="1386"/>
      <c r="O82" s="1386"/>
      <c r="P82" s="1375"/>
      <c r="Q82" s="121"/>
    </row>
    <row r="83" spans="1:17" ht="15" thickBot="1">
      <c r="A83" s="173"/>
      <c r="B83" s="1053"/>
      <c r="C83" s="1000">
        <v>100</v>
      </c>
      <c r="D83" s="1000">
        <f>C83-$K21</f>
        <v>99</v>
      </c>
      <c r="E83" s="1000">
        <f t="shared" ref="E83:G83" si="23">D83-$K21</f>
        <v>98</v>
      </c>
      <c r="F83" s="1000">
        <f t="shared" si="23"/>
        <v>97</v>
      </c>
      <c r="G83" s="1000">
        <f t="shared" si="23"/>
        <v>96</v>
      </c>
      <c r="H83" s="1000"/>
      <c r="I83" s="1000"/>
      <c r="J83" s="1000"/>
      <c r="K83" s="1000"/>
      <c r="L83" s="1000"/>
      <c r="M83" s="792"/>
      <c r="N83" s="1386"/>
      <c r="O83" s="1386"/>
      <c r="P83" s="1375"/>
      <c r="Q83" s="121"/>
    </row>
    <row r="84" spans="1:17" ht="15" thickTop="1">
      <c r="A84" s="173"/>
      <c r="B84" s="1051" t="s">
        <v>98</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95</v>
      </c>
      <c r="E85" s="884">
        <f>D85-$K23</f>
        <v>90</v>
      </c>
      <c r="F85" s="884">
        <f>E85-$K23</f>
        <v>85</v>
      </c>
      <c r="G85" s="884">
        <f>F85-$K23</f>
        <v>80</v>
      </c>
      <c r="H85" s="884"/>
      <c r="I85" s="884"/>
      <c r="J85" s="884"/>
      <c r="K85" s="884"/>
      <c r="L85" s="884"/>
      <c r="M85" s="885"/>
      <c r="N85" s="1386"/>
      <c r="O85" s="1386"/>
      <c r="P85" s="1375"/>
      <c r="Q85" s="121"/>
    </row>
    <row r="86" spans="1:17" s="40" customFormat="1" ht="14.25" thickTop="1">
      <c r="A86" s="1069"/>
      <c r="B86" s="1051" t="s">
        <v>2290</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9"/>
      <c r="B88" s="1051" t="s">
        <v>97</v>
      </c>
      <c r="C88" s="139"/>
      <c r="D88" s="139"/>
      <c r="E88" s="139"/>
      <c r="F88" s="1382"/>
      <c r="G88" s="139"/>
      <c r="H88" s="139"/>
      <c r="I88" s="139"/>
      <c r="J88" s="139"/>
      <c r="K88" s="139"/>
      <c r="L88" s="139"/>
      <c r="M88" s="1381"/>
      <c r="N88" s="1384"/>
      <c r="O88" s="1384"/>
      <c r="P88" s="1375"/>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thickTop="1">
      <c r="A90" s="1055"/>
      <c r="B90" s="1051" t="str">
        <f>B27</f>
        <v>道路级别</v>
      </c>
      <c r="C90" s="139" t="s">
        <v>3332</v>
      </c>
      <c r="D90" s="139" t="s">
        <v>3333</v>
      </c>
      <c r="E90" s="139" t="s">
        <v>3321</v>
      </c>
      <c r="F90" s="139" t="s">
        <v>3322</v>
      </c>
      <c r="G90" s="139" t="s">
        <v>3265</v>
      </c>
      <c r="H90" s="1056"/>
      <c r="I90" s="1056"/>
      <c r="J90" s="1056"/>
      <c r="K90" s="1056"/>
      <c r="L90" s="1057"/>
      <c r="M90" s="1058"/>
      <c r="N90" s="1387"/>
      <c r="O90" s="1387"/>
      <c r="P90" s="1376"/>
      <c r="Q90" s="1060"/>
    </row>
    <row r="91" spans="1:17" s="1036" customFormat="1" ht="15" thickBot="1">
      <c r="A91" s="1055"/>
      <c r="B91" s="1052"/>
      <c r="C91" s="900">
        <v>100</v>
      </c>
      <c r="D91" s="900">
        <v>99.5</v>
      </c>
      <c r="E91" s="900">
        <v>99</v>
      </c>
      <c r="F91" s="900">
        <v>98.5</v>
      </c>
      <c r="G91" s="900">
        <v>98</v>
      </c>
      <c r="H91" s="902"/>
      <c r="I91" s="902"/>
      <c r="J91" s="902"/>
      <c r="K91" s="902"/>
      <c r="L91" s="902"/>
      <c r="M91" s="903"/>
      <c r="N91" s="1387"/>
      <c r="O91" s="1387"/>
      <c r="P91" s="1376"/>
      <c r="Q91" s="1060"/>
    </row>
    <row r="92" spans="1:17" ht="15" thickTop="1">
      <c r="A92" s="173"/>
      <c r="B92" s="1051">
        <f>B28</f>
        <v>111</v>
      </c>
      <c r="C92" s="894"/>
      <c r="D92" s="894"/>
      <c r="E92" s="894"/>
      <c r="F92" s="894"/>
      <c r="G92" s="923"/>
      <c r="H92" s="923"/>
      <c r="I92" s="923"/>
      <c r="J92" s="923"/>
      <c r="K92" s="924"/>
      <c r="L92" s="925"/>
      <c r="M92" s="926"/>
      <c r="N92" s="1385"/>
      <c r="O92" s="1385"/>
      <c r="P92" s="1375"/>
      <c r="Q92" s="121"/>
    </row>
    <row r="93" spans="1:17" ht="15" thickBot="1">
      <c r="A93" s="173"/>
      <c r="B93" s="1052"/>
      <c r="C93" s="900"/>
      <c r="D93" s="876"/>
      <c r="E93" s="876"/>
      <c r="F93" s="876"/>
      <c r="G93" s="876"/>
      <c r="H93" s="876"/>
      <c r="I93" s="876"/>
      <c r="J93" s="876"/>
      <c r="K93" s="876"/>
      <c r="L93" s="876"/>
      <c r="M93" s="877"/>
      <c r="N93" s="1386"/>
      <c r="O93" s="1386"/>
      <c r="P93" s="1375"/>
      <c r="Q93" s="121"/>
    </row>
    <row r="94" spans="1:17" ht="15" thickTop="1">
      <c r="A94" s="173"/>
      <c r="B94" s="1051">
        <f>B29</f>
        <v>111</v>
      </c>
      <c r="C94" s="894"/>
      <c r="D94" s="894"/>
      <c r="E94" s="894"/>
      <c r="F94" s="894"/>
      <c r="G94" s="923"/>
      <c r="H94" s="923"/>
      <c r="I94" s="923"/>
      <c r="J94" s="923"/>
      <c r="K94" s="924"/>
      <c r="L94" s="925"/>
      <c r="M94" s="926"/>
      <c r="N94" s="1385"/>
      <c r="O94" s="1385"/>
      <c r="P94" s="1375"/>
      <c r="Q94" s="121"/>
    </row>
    <row r="95" spans="1:17" ht="15" thickBot="1">
      <c r="A95" s="173"/>
      <c r="B95" s="1052"/>
      <c r="C95" s="900"/>
      <c r="D95" s="900"/>
      <c r="E95" s="900"/>
      <c r="F95" s="900"/>
      <c r="G95" s="876"/>
      <c r="H95" s="876"/>
      <c r="I95" s="876"/>
      <c r="J95" s="876"/>
      <c r="K95" s="876"/>
      <c r="L95" s="876"/>
      <c r="M95" s="877"/>
      <c r="N95" s="1386"/>
      <c r="O95" s="1386"/>
      <c r="P95" s="1375"/>
      <c r="Q95" s="121"/>
    </row>
    <row r="96" spans="1:17" ht="15" thickTop="1">
      <c r="A96" s="173"/>
      <c r="B96" s="1051">
        <f>B30</f>
        <v>111</v>
      </c>
      <c r="C96" s="894"/>
      <c r="D96" s="894"/>
      <c r="E96" s="894"/>
      <c r="F96" s="894"/>
      <c r="G96" s="923"/>
      <c r="H96" s="923"/>
      <c r="I96" s="923"/>
      <c r="J96" s="923"/>
      <c r="K96" s="924"/>
      <c r="L96" s="925"/>
      <c r="M96" s="926"/>
      <c r="N96" s="1385"/>
      <c r="O96" s="1385"/>
      <c r="P96" s="1375"/>
      <c r="Q96" s="121"/>
    </row>
    <row r="97" spans="1:17" ht="15" thickBot="1">
      <c r="A97" s="173"/>
      <c r="B97" s="1052"/>
      <c r="C97" s="910"/>
      <c r="D97" s="910"/>
      <c r="E97" s="910"/>
      <c r="F97" s="910"/>
      <c r="G97" s="876"/>
      <c r="H97" s="876"/>
      <c r="I97" s="876"/>
      <c r="J97" s="876"/>
      <c r="K97" s="876"/>
      <c r="L97" s="876"/>
      <c r="M97" s="877"/>
      <c r="N97" s="1386"/>
      <c r="O97" s="1386"/>
      <c r="P97" s="1375"/>
      <c r="Q97" s="121"/>
    </row>
    <row r="98" spans="1:17" ht="15" thickTop="1">
      <c r="A98" s="173"/>
      <c r="B98" s="1053">
        <f>B31</f>
        <v>111</v>
      </c>
      <c r="C98" s="927"/>
      <c r="D98" s="927"/>
      <c r="E98" s="927"/>
      <c r="F98" s="927"/>
      <c r="G98" s="927"/>
      <c r="H98" s="927"/>
      <c r="I98" s="927"/>
      <c r="J98" s="927"/>
      <c r="K98" s="928"/>
      <c r="L98" s="929"/>
      <c r="M98" s="930"/>
      <c r="N98" s="1385"/>
      <c r="O98" s="1385"/>
      <c r="P98" s="1375"/>
      <c r="Q98" s="121"/>
    </row>
    <row r="99" spans="1:17" ht="15" thickBot="1">
      <c r="A99" s="174"/>
      <c r="B99" s="1068"/>
      <c r="C99" s="931"/>
      <c r="D99" s="931"/>
      <c r="E99" s="931"/>
      <c r="F99" s="931"/>
      <c r="G99" s="931"/>
      <c r="H99" s="931"/>
      <c r="I99" s="931"/>
      <c r="J99" s="931"/>
      <c r="K99" s="931"/>
      <c r="L99" s="931"/>
      <c r="M99" s="932"/>
      <c r="N99" s="1386"/>
      <c r="O99" s="1386"/>
      <c r="P99" s="1375"/>
      <c r="Q99" s="121"/>
    </row>
    <row r="100" spans="1:17">
      <c r="A100" s="172" t="s">
        <v>70</v>
      </c>
      <c r="B100" s="286" t="s">
        <v>123</v>
      </c>
      <c r="C100" s="122" t="s">
        <v>3357</v>
      </c>
      <c r="D100" s="122" t="s">
        <v>3358</v>
      </c>
      <c r="E100" s="122" t="s">
        <v>3345</v>
      </c>
      <c r="F100" s="122" t="s">
        <v>3346</v>
      </c>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97</v>
      </c>
      <c r="E101" s="884">
        <f t="shared" si="26"/>
        <v>94</v>
      </c>
      <c r="F101" s="884">
        <f t="shared" si="26"/>
        <v>91</v>
      </c>
      <c r="G101" s="884">
        <f t="shared" si="26"/>
        <v>88</v>
      </c>
      <c r="H101" s="884">
        <f t="shared" si="26"/>
        <v>85</v>
      </c>
      <c r="I101" s="884">
        <f t="shared" si="26"/>
        <v>82</v>
      </c>
      <c r="J101" s="884">
        <f t="shared" si="26"/>
        <v>79</v>
      </c>
      <c r="K101" s="884">
        <f t="shared" si="26"/>
        <v>76</v>
      </c>
      <c r="L101" s="884">
        <f t="shared" si="26"/>
        <v>73</v>
      </c>
      <c r="M101" s="884">
        <f t="shared" si="26"/>
        <v>70</v>
      </c>
      <c r="N101" s="1386"/>
      <c r="O101" s="1386"/>
      <c r="P101" s="1375"/>
      <c r="Q101" s="121"/>
    </row>
    <row r="102" spans="1:17" ht="15" thickTop="1">
      <c r="A102" s="173"/>
      <c r="B102" s="1051" t="s">
        <v>96</v>
      </c>
      <c r="C102" s="918" t="str">
        <f>C103&amp;"(含)"&amp;"-"&amp;D103</f>
        <v>100(含)-200</v>
      </c>
      <c r="D102" s="918" t="str">
        <f t="shared" ref="D102:L102" si="27">D103&amp;"(含)"&amp;"-"&amp;E103</f>
        <v>200(含)-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100</v>
      </c>
      <c r="D103" s="935">
        <v>200</v>
      </c>
      <c r="E103" s="935"/>
      <c r="F103" s="935"/>
      <c r="G103" s="935"/>
      <c r="H103" s="935"/>
      <c r="I103" s="935"/>
      <c r="J103" s="936"/>
      <c r="K103" s="936"/>
      <c r="L103" s="937"/>
      <c r="M103" s="938"/>
      <c r="N103" s="1387"/>
      <c r="O103" s="1387"/>
      <c r="P103" s="1376"/>
      <c r="Q103" s="1060"/>
    </row>
    <row r="104" spans="1:17" s="1036" customFormat="1" ht="15" thickBot="1">
      <c r="A104" s="1055"/>
      <c r="B104" s="1052"/>
      <c r="C104" s="900">
        <v>100</v>
      </c>
      <c r="D104" s="876"/>
      <c r="E104" s="876"/>
      <c r="F104" s="876"/>
      <c r="G104" s="876"/>
      <c r="H104" s="876"/>
      <c r="I104" s="876"/>
      <c r="J104" s="876"/>
      <c r="K104" s="876"/>
      <c r="L104" s="876"/>
      <c r="M104" s="876"/>
      <c r="N104" s="1386"/>
      <c r="O104" s="1386"/>
      <c r="P104" s="1376"/>
      <c r="Q104" s="1060"/>
    </row>
    <row r="105" spans="1:17" ht="14.25" thickTop="1">
      <c r="A105" s="175"/>
      <c r="B105" s="1051" t="s">
        <v>95</v>
      </c>
      <c r="C105" s="139" t="s">
        <v>3334</v>
      </c>
      <c r="D105" s="139" t="s">
        <v>3335</v>
      </c>
      <c r="E105" s="131" t="s">
        <v>3336</v>
      </c>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99</v>
      </c>
      <c r="E106" s="884">
        <f t="shared" si="28"/>
        <v>98</v>
      </c>
      <c r="F106" s="884">
        <f t="shared" si="28"/>
        <v>97</v>
      </c>
      <c r="G106" s="884">
        <f t="shared" si="28"/>
        <v>96</v>
      </c>
      <c r="H106" s="884">
        <f t="shared" si="28"/>
        <v>95</v>
      </c>
      <c r="I106" s="884">
        <f t="shared" si="28"/>
        <v>94</v>
      </c>
      <c r="J106" s="884">
        <f t="shared" si="28"/>
        <v>93</v>
      </c>
      <c r="K106" s="884">
        <f t="shared" si="28"/>
        <v>92</v>
      </c>
      <c r="L106" s="884">
        <f t="shared" si="28"/>
        <v>91</v>
      </c>
      <c r="M106" s="884">
        <f t="shared" si="28"/>
        <v>90</v>
      </c>
      <c r="N106" s="1386"/>
      <c r="O106" s="1386"/>
      <c r="P106" s="1375"/>
      <c r="Q106" s="121"/>
    </row>
    <row r="107" spans="1:17" ht="14.25" thickTop="1">
      <c r="A107" s="175"/>
      <c r="B107" s="1051" t="s">
        <v>111</v>
      </c>
      <c r="C107" s="131" t="s">
        <v>3337</v>
      </c>
      <c r="D107" s="131" t="s">
        <v>3338</v>
      </c>
      <c r="E107" s="131"/>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3339</v>
      </c>
      <c r="D109" s="139" t="s">
        <v>3340</v>
      </c>
      <c r="E109" s="139" t="s">
        <v>3341</v>
      </c>
      <c r="F109" s="131" t="s">
        <v>3342</v>
      </c>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60"/>
    </row>
    <row r="114" spans="1:17" ht="14.25" thickTop="1">
      <c r="A114" s="175"/>
      <c r="B114" s="1051" t="s">
        <v>125</v>
      </c>
      <c r="C114" s="139" t="s">
        <v>3343</v>
      </c>
      <c r="D114" s="139" t="s">
        <v>3344</v>
      </c>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6"/>
      <c r="O115" s="1386"/>
      <c r="P115" s="1375"/>
      <c r="Q115" s="121"/>
    </row>
    <row r="116" spans="1:17" ht="14.25" thickTop="1">
      <c r="A116" s="175"/>
      <c r="B116" s="1051" t="s">
        <v>2634</v>
      </c>
      <c r="C116" s="139" t="s">
        <v>3273</v>
      </c>
      <c r="D116" s="139" t="s">
        <v>3274</v>
      </c>
      <c r="E116" s="139" t="s">
        <v>3275</v>
      </c>
      <c r="F116" s="139" t="s">
        <v>3276</v>
      </c>
      <c r="G116" s="139" t="s">
        <v>3277</v>
      </c>
      <c r="H116" s="131"/>
      <c r="I116" s="131"/>
      <c r="J116" s="131"/>
      <c r="K116" s="132"/>
      <c r="L116" s="133"/>
      <c r="M116" s="134"/>
      <c r="N116" s="1385"/>
      <c r="O116" s="1385"/>
      <c r="P116" s="1375"/>
      <c r="Q116" s="121"/>
    </row>
    <row r="117" spans="1:17" ht="15" thickBot="1">
      <c r="A117" s="173"/>
      <c r="B117" s="1052"/>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c r="D120" s="139"/>
      <c r="E120" s="139"/>
      <c r="F120" s="139"/>
      <c r="G120" s="139"/>
      <c r="H120" s="139"/>
      <c r="I120" s="139"/>
      <c r="J120" s="139"/>
      <c r="K120" s="139"/>
      <c r="L120" s="1380"/>
      <c r="M120" s="1381"/>
      <c r="N120" s="1387"/>
      <c r="O120" s="1387"/>
      <c r="P120" s="1376"/>
      <c r="Q120" s="1060"/>
    </row>
    <row r="121" spans="1:17" s="1036" customFormat="1" ht="15" thickBot="1">
      <c r="A121" s="1055"/>
      <c r="B121" s="1050"/>
      <c r="C121" s="900"/>
      <c r="D121" s="876"/>
      <c r="E121" s="876"/>
      <c r="F121" s="876"/>
      <c r="G121" s="876"/>
      <c r="H121" s="876"/>
      <c r="I121" s="876"/>
      <c r="J121" s="876"/>
      <c r="K121" s="876"/>
      <c r="L121" s="876"/>
      <c r="M121" s="876"/>
      <c r="N121" s="1387"/>
      <c r="O121" s="1387"/>
      <c r="P121" s="1376"/>
      <c r="Q121" s="1060"/>
    </row>
    <row r="122" spans="1:17" ht="14.25" thickTop="1">
      <c r="A122" s="175"/>
      <c r="B122" s="1051" t="s">
        <v>126</v>
      </c>
      <c r="C122" s="139" t="s">
        <v>3339</v>
      </c>
      <c r="D122" s="139" t="s">
        <v>3340</v>
      </c>
      <c r="E122" s="139" t="s">
        <v>3341</v>
      </c>
      <c r="F122" s="131" t="s">
        <v>3342</v>
      </c>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97</v>
      </c>
      <c r="E123" s="884">
        <f t="shared" si="33"/>
        <v>94</v>
      </c>
      <c r="F123" s="884">
        <f t="shared" si="33"/>
        <v>91</v>
      </c>
      <c r="G123" s="884">
        <f t="shared" si="33"/>
        <v>88</v>
      </c>
      <c r="H123" s="884">
        <f t="shared" si="33"/>
        <v>85</v>
      </c>
      <c r="I123" s="884">
        <f t="shared" si="33"/>
        <v>82</v>
      </c>
      <c r="J123" s="884">
        <f t="shared" si="33"/>
        <v>79</v>
      </c>
      <c r="K123" s="884">
        <f t="shared" si="33"/>
        <v>76</v>
      </c>
      <c r="L123" s="884">
        <f t="shared" si="33"/>
        <v>73</v>
      </c>
      <c r="M123" s="884">
        <f t="shared" si="33"/>
        <v>70</v>
      </c>
      <c r="N123" s="1386"/>
      <c r="O123" s="1386"/>
      <c r="P123" s="1375"/>
      <c r="Q123" s="121"/>
    </row>
    <row r="124" spans="1:17" ht="27.75" thickTop="1">
      <c r="A124" s="175"/>
      <c r="B124" s="1051" t="s">
        <v>94</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900"/>
      <c r="E129" s="900"/>
      <c r="F129" s="900"/>
      <c r="G129" s="876"/>
      <c r="H129" s="876"/>
      <c r="I129" s="876"/>
      <c r="J129" s="876"/>
      <c r="K129" s="876"/>
      <c r="L129" s="876"/>
      <c r="M129" s="877"/>
      <c r="N129" s="1386"/>
      <c r="O129" s="1386"/>
      <c r="P129" s="1375"/>
      <c r="Q129" s="121"/>
    </row>
    <row r="130" spans="1:17" ht="14.25" thickTop="1">
      <c r="A130" s="175"/>
      <c r="B130" s="1053">
        <f>B46</f>
        <v>0.95</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row r="136" spans="1:17" ht="14.25" thickBot="1">
      <c r="B136" s="2137" t="s">
        <v>2291</v>
      </c>
    </row>
    <row r="137" spans="1:17" ht="14.25">
      <c r="B137" s="2138" t="s">
        <v>2292</v>
      </c>
      <c r="C137" s="2139"/>
      <c r="D137" s="2139"/>
      <c r="E137" s="2139"/>
      <c r="F137" s="2139"/>
      <c r="G137" s="2140"/>
      <c r="H137" s="2141"/>
      <c r="I137" s="2142" t="s">
        <v>2293</v>
      </c>
      <c r="J137" s="2139"/>
      <c r="K137" s="2143"/>
    </row>
    <row r="138" spans="1:17" ht="14.25">
      <c r="B138" s="2144"/>
      <c r="C138" s="1774" t="s">
        <v>2294</v>
      </c>
      <c r="D138" s="1774" t="s">
        <v>2295</v>
      </c>
      <c r="E138" s="2145" t="s">
        <v>2296</v>
      </c>
      <c r="F138" s="2146" t="s">
        <v>2297</v>
      </c>
      <c r="G138" s="1774" t="s">
        <v>2295</v>
      </c>
      <c r="H138" s="2147" t="s">
        <v>2296</v>
      </c>
      <c r="I138" s="2148"/>
      <c r="J138" s="1774" t="s">
        <v>2298</v>
      </c>
      <c r="K138" s="2147" t="s">
        <v>2299</v>
      </c>
    </row>
    <row r="139" spans="1:17" ht="15">
      <c r="B139" s="2149">
        <v>6</v>
      </c>
      <c r="C139" s="2150">
        <v>96</v>
      </c>
      <c r="D139" s="2151" t="s">
        <v>2300</v>
      </c>
      <c r="E139" s="2152">
        <v>100</v>
      </c>
      <c r="F139" s="2153">
        <v>102.5</v>
      </c>
      <c r="G139" s="2151" t="s">
        <v>2300</v>
      </c>
      <c r="H139" s="2154">
        <v>105</v>
      </c>
      <c r="I139" s="2155" t="s">
        <v>2301</v>
      </c>
      <c r="J139" s="2150">
        <v>20</v>
      </c>
      <c r="K139" s="2156">
        <f>C145/(J139-2)</f>
        <v>4.0555555555555553E-3</v>
      </c>
    </row>
    <row r="140" spans="1:17" ht="15">
      <c r="B140" s="2157">
        <v>5</v>
      </c>
      <c r="C140" s="2158">
        <v>100</v>
      </c>
      <c r="D140" s="2159"/>
      <c r="E140" s="2160"/>
      <c r="F140" s="2161">
        <v>102</v>
      </c>
      <c r="G140" s="2159"/>
      <c r="H140" s="2162"/>
      <c r="I140" s="2163" t="s">
        <v>2302</v>
      </c>
      <c r="J140" s="647">
        <f>ROUNDUP((J139-1)/2,0)</f>
        <v>10</v>
      </c>
      <c r="K140" s="2164">
        <v>100</v>
      </c>
    </row>
    <row r="141" spans="1:17" ht="15">
      <c r="B141" s="2157">
        <v>4</v>
      </c>
      <c r="C141" s="2158">
        <v>102</v>
      </c>
      <c r="D141" s="2159"/>
      <c r="E141" s="2160"/>
      <c r="F141" s="2161">
        <v>101.5</v>
      </c>
      <c r="G141" s="2159"/>
      <c r="H141" s="2162"/>
      <c r="I141" s="2163" t="s">
        <v>2303</v>
      </c>
      <c r="J141" s="647">
        <v>1</v>
      </c>
      <c r="K141" s="2165">
        <f>ROUND(100+(J141-J140)*K139*100,1)</f>
        <v>96.4</v>
      </c>
    </row>
    <row r="142" spans="1:17" ht="15">
      <c r="B142" s="2157">
        <v>3</v>
      </c>
      <c r="C142" s="2158">
        <v>103</v>
      </c>
      <c r="D142" s="2159"/>
      <c r="E142" s="2160"/>
      <c r="F142" s="2161">
        <v>101</v>
      </c>
      <c r="G142" s="2159"/>
      <c r="H142" s="2162"/>
      <c r="I142" s="2163" t="s">
        <v>2304</v>
      </c>
      <c r="J142" s="647">
        <f>J139</f>
        <v>20</v>
      </c>
      <c r="K142" s="2166">
        <v>95</v>
      </c>
    </row>
    <row r="143" spans="1:17" ht="15">
      <c r="B143" s="2157">
        <v>2</v>
      </c>
      <c r="C143" s="2158">
        <v>100</v>
      </c>
      <c r="D143" s="2159"/>
      <c r="E143" s="2160"/>
      <c r="F143" s="2161">
        <v>100.5</v>
      </c>
      <c r="G143" s="2159"/>
      <c r="H143" s="2162"/>
      <c r="I143" s="2163" t="s">
        <v>2305</v>
      </c>
      <c r="J143" s="2158">
        <v>15</v>
      </c>
      <c r="K143" s="2165">
        <f>ROUND(100+(J143-J140)*K139*100,1)</f>
        <v>102</v>
      </c>
    </row>
    <row r="144" spans="1:17" ht="15">
      <c r="B144" s="2157">
        <v>1</v>
      </c>
      <c r="C144" s="2158">
        <v>98</v>
      </c>
      <c r="D144" s="1157" t="s">
        <v>2306</v>
      </c>
      <c r="E144" s="2160">
        <v>102</v>
      </c>
      <c r="F144" s="2167">
        <v>100</v>
      </c>
      <c r="G144" s="1157" t="s">
        <v>2306</v>
      </c>
      <c r="H144" s="2162">
        <v>105</v>
      </c>
      <c r="I144" s="2163" t="s">
        <v>2305</v>
      </c>
      <c r="J144" s="2158">
        <v>18</v>
      </c>
      <c r="K144" s="2165">
        <f>ROUND(100+(J144-J140)*K139*100,1)</f>
        <v>103.2</v>
      </c>
    </row>
    <row r="145" spans="2:11" ht="15.75" thickBot="1">
      <c r="B145" s="2168" t="s">
        <v>2307</v>
      </c>
      <c r="C145" s="2169">
        <f>ROUND(MAX(C139:C144)/MIN(C139:C144)-1,3)</f>
        <v>7.2999999999999995E-2</v>
      </c>
      <c r="D145" s="2170"/>
      <c r="E145" s="2171"/>
      <c r="F145" s="2172" t="s">
        <v>2308</v>
      </c>
      <c r="G145" s="2173"/>
      <c r="H145" s="2174"/>
      <c r="I145" s="2175" t="s">
        <v>2309</v>
      </c>
      <c r="J145" s="2176">
        <v>8</v>
      </c>
      <c r="K145" s="2177">
        <f>ROUND(100+(J145-J140)*K139*100,1)</f>
        <v>99.2</v>
      </c>
    </row>
    <row r="147" spans="2:11">
      <c r="B147" s="2137" t="s">
        <v>2317</v>
      </c>
    </row>
    <row r="148" spans="2:11">
      <c r="B148" s="2137" t="s">
        <v>2318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172</v>
      </c>
      <c r="B2" s="2840" t="e">
        <f ca="1">IF(C2="——",ROUND(C49*D3/10000,0),ROUND(C49*D3/10000,0)-D2)</f>
        <v>#DIV/0!</v>
      </c>
      <c r="C2" s="3093"/>
      <c r="D2" s="2720" t="e">
        <f ca="1">SUMIF(INDIRECT("'"&amp;F2&amp;"'"&amp;"!A:A"),"承租人权益价值",INDIRECT("'"&amp;F2&amp;"'"&amp;"!c:c"))</f>
        <v>#REF!</v>
      </c>
      <c r="E2" s="3094" t="s">
        <v>862</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173</v>
      </c>
      <c r="B3" s="949" t="e">
        <f ca="1">IF(C2="——",C49,ROUND(B2*10000/D3,0))</f>
        <v>#DIV/0!</v>
      </c>
      <c r="C3" s="142" t="s">
        <v>167</v>
      </c>
      <c r="D3" s="741">
        <f>IF(D1="",'数据-汇总表'!E3,SUMIF('数据-汇总表'!$C19:$C33,D1,'数据-汇总表'!$E19:$E33))</f>
        <v>54996.800000000003</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742" t="s">
        <v>54</v>
      </c>
      <c r="D4" s="3743"/>
      <c r="E4" s="3744" t="s">
        <v>55</v>
      </c>
      <c r="F4" s="3745"/>
      <c r="G4" s="3742" t="s">
        <v>56</v>
      </c>
      <c r="H4" s="3743"/>
      <c r="I4" s="3742" t="s">
        <v>57</v>
      </c>
      <c r="J4" s="3743"/>
      <c r="K4" s="187" t="s">
        <v>58</v>
      </c>
      <c r="L4" s="2291"/>
      <c r="M4" s="2292"/>
      <c r="N4" s="2292"/>
      <c r="O4" s="2292"/>
      <c r="P4" s="3746" t="s">
        <v>53</v>
      </c>
      <c r="Q4" s="3747"/>
      <c r="R4" s="3737" t="s">
        <v>55</v>
      </c>
      <c r="S4" s="3738"/>
      <c r="T4" s="3737" t="s">
        <v>56</v>
      </c>
      <c r="U4" s="3738"/>
      <c r="V4" s="3754" t="s">
        <v>57</v>
      </c>
      <c r="W4" s="3754"/>
      <c r="X4" s="1337"/>
      <c r="Y4" s="3737" t="s">
        <v>53</v>
      </c>
      <c r="Z4" s="3738"/>
      <c r="AA4" s="3732" t="s">
        <v>55</v>
      </c>
      <c r="AB4" s="3754" t="s">
        <v>56</v>
      </c>
      <c r="AC4" s="3732" t="s">
        <v>57</v>
      </c>
    </row>
    <row r="5" spans="1:29">
      <c r="A5" s="146"/>
      <c r="B5" s="147"/>
      <c r="C5" s="3667" t="s">
        <v>59</v>
      </c>
      <c r="D5" s="3668"/>
      <c r="E5" s="3665" t="s">
        <v>60</v>
      </c>
      <c r="F5" s="3666"/>
      <c r="G5" s="3667" t="s">
        <v>61</v>
      </c>
      <c r="H5" s="3668"/>
      <c r="I5" s="3667" t="s">
        <v>62</v>
      </c>
      <c r="J5" s="3668"/>
      <c r="K5" s="187"/>
      <c r="L5" s="2291"/>
      <c r="M5" s="2292"/>
      <c r="N5" s="2292"/>
      <c r="O5" s="2292"/>
      <c r="P5" s="3748"/>
      <c r="Q5" s="3749"/>
      <c r="R5" s="3739"/>
      <c r="S5" s="3740"/>
      <c r="T5" s="3739"/>
      <c r="U5" s="3740"/>
      <c r="V5" s="3754"/>
      <c r="W5" s="3754"/>
      <c r="X5" s="1337"/>
      <c r="Y5" s="3739"/>
      <c r="Z5" s="3740"/>
      <c r="AA5" s="3733"/>
      <c r="AB5" s="3754"/>
      <c r="AC5" s="3733"/>
    </row>
    <row r="6" spans="1:29" ht="14.25" thickBot="1">
      <c r="A6" s="148"/>
      <c r="B6" s="149"/>
      <c r="C6" s="3669" t="s">
        <v>63</v>
      </c>
      <c r="D6" s="3670"/>
      <c r="E6" s="3671" t="s">
        <v>63</v>
      </c>
      <c r="F6" s="3672"/>
      <c r="G6" s="3669" t="s">
        <v>63</v>
      </c>
      <c r="H6" s="3670"/>
      <c r="I6" s="3669" t="s">
        <v>63</v>
      </c>
      <c r="J6" s="3670"/>
      <c r="K6" s="187" t="s">
        <v>117</v>
      </c>
      <c r="L6" s="2291"/>
      <c r="M6" s="2292"/>
      <c r="N6" s="2292"/>
      <c r="O6" s="2292"/>
      <c r="P6" s="3750"/>
      <c r="Q6" s="3751"/>
      <c r="R6" s="3739"/>
      <c r="S6" s="3740"/>
      <c r="T6" s="3752"/>
      <c r="U6" s="3753"/>
      <c r="V6" s="3754"/>
      <c r="W6" s="3754"/>
      <c r="X6" s="1337"/>
      <c r="Y6" s="3752"/>
      <c r="Z6" s="3753"/>
      <c r="AA6" s="3734"/>
      <c r="AB6" s="3754"/>
      <c r="AC6" s="3734"/>
    </row>
    <row r="7" spans="1:29" s="40" customFormat="1" ht="15" thickBot="1">
      <c r="A7" s="1011" t="s">
        <v>64</v>
      </c>
      <c r="B7" s="1012"/>
      <c r="C7" s="1013">
        <f>'数据-取费表'!B2</f>
        <v>42975</v>
      </c>
      <c r="D7" s="753">
        <v>100</v>
      </c>
      <c r="E7" s="1014"/>
      <c r="F7" s="755">
        <f>SUMIF(58:58,YEAR(E7)&amp;"-"&amp;MONTH(E7),59:59)</f>
        <v>0</v>
      </c>
      <c r="G7" s="1014"/>
      <c r="H7" s="753">
        <f>SUMIF(58:58,YEAR(G7)&amp;"-"&amp;MONTH(G7),59:59)</f>
        <v>0</v>
      </c>
      <c r="I7" s="1014"/>
      <c r="J7" s="753">
        <f>SUMIF(58:58,YEAR(I7)&amp;"-"&amp;MONTH(I7),59:59)</f>
        <v>0</v>
      </c>
      <c r="K7" s="1016"/>
      <c r="L7" s="2293"/>
      <c r="M7" s="2255"/>
      <c r="N7" s="2255"/>
      <c r="O7" s="2255"/>
      <c r="P7" s="3735" t="s">
        <v>64</v>
      </c>
      <c r="Q7" s="3755"/>
      <c r="R7" s="1339" t="s">
        <v>65</v>
      </c>
      <c r="S7" s="1340">
        <f t="shared" ref="S7:S15" si="0">F7</f>
        <v>0</v>
      </c>
      <c r="T7" s="1339" t="s">
        <v>65</v>
      </c>
      <c r="U7" s="1340">
        <f t="shared" ref="U7:U15" si="1">H7</f>
        <v>0</v>
      </c>
      <c r="V7" s="1339" t="s">
        <v>65</v>
      </c>
      <c r="W7" s="1340">
        <f t="shared" ref="W7:W15" si="2">J7</f>
        <v>0</v>
      </c>
      <c r="X7" s="287"/>
      <c r="Y7" s="3735" t="s">
        <v>64</v>
      </c>
      <c r="Z7" s="3736"/>
      <c r="AA7" s="1341" t="e">
        <f>D7/F7</f>
        <v>#DIV/0!</v>
      </c>
      <c r="AB7" s="1341" t="e">
        <f>D7/H7</f>
        <v>#DIV/0!</v>
      </c>
      <c r="AC7" s="1341" t="e">
        <f>D7/J7</f>
        <v>#DIV/0!</v>
      </c>
    </row>
    <row r="8" spans="1:29" s="40" customFormat="1" ht="15" thickBot="1">
      <c r="A8" s="1011" t="s">
        <v>66</v>
      </c>
      <c r="B8" s="1012"/>
      <c r="C8" s="1017" t="s">
        <v>116</v>
      </c>
      <c r="D8" s="753">
        <v>100</v>
      </c>
      <c r="E8" s="1017"/>
      <c r="F8" s="755">
        <f>SUMIF(61:61,E8,62:62)-SUMIF(61:61,C8,62:62)+100</f>
        <v>0</v>
      </c>
      <c r="G8" s="1017"/>
      <c r="H8" s="753">
        <f>SUMIF(61:61,G8,62:62)-SUMIF(61:61,C8,62:62)+100</f>
        <v>0</v>
      </c>
      <c r="I8" s="1017"/>
      <c r="J8" s="753">
        <f>SUMIF(61:61,I8,62:62)-SUMIF(61:61,C8,62:62)+100</f>
        <v>0</v>
      </c>
      <c r="K8" s="1016"/>
      <c r="L8" s="2293"/>
      <c r="M8" s="2255"/>
      <c r="N8" s="2255"/>
      <c r="O8" s="2255"/>
      <c r="P8" s="3735" t="s">
        <v>1012</v>
      </c>
      <c r="Q8" s="3736"/>
      <c r="R8" s="1339" t="s">
        <v>65</v>
      </c>
      <c r="S8" s="1340">
        <f t="shared" si="0"/>
        <v>0</v>
      </c>
      <c r="T8" s="1339" t="s">
        <v>65</v>
      </c>
      <c r="U8" s="1340">
        <f t="shared" si="1"/>
        <v>0</v>
      </c>
      <c r="V8" s="1339" t="s">
        <v>65</v>
      </c>
      <c r="W8" s="1340">
        <f t="shared" si="2"/>
        <v>0</v>
      </c>
      <c r="X8" s="287"/>
      <c r="Y8" s="3735" t="s">
        <v>1012</v>
      </c>
      <c r="Z8" s="3736"/>
      <c r="AA8" s="1341" t="e">
        <f t="shared" ref="AA8:AA46" si="3">D8/F8</f>
        <v>#DIV/0!</v>
      </c>
      <c r="AB8" s="1341" t="e">
        <f t="shared" ref="AB8:AB46" si="4">D8/H8</f>
        <v>#DIV/0!</v>
      </c>
      <c r="AC8" s="1341" t="e">
        <f t="shared" ref="AC8:AC46" si="5">D8/J8</f>
        <v>#DIV/0!</v>
      </c>
    </row>
    <row r="9" spans="1:29" s="40" customFormat="1" ht="14.25">
      <c r="A9" s="1018" t="s">
        <v>1013</v>
      </c>
      <c r="B9" s="62" t="s">
        <v>1014</v>
      </c>
      <c r="C9" s="1342"/>
      <c r="D9" s="425">
        <v>100</v>
      </c>
      <c r="E9" s="1343"/>
      <c r="F9" s="760">
        <f>SUMIF(63:63,E9,64:64)-SUMIF(63:63,C9,64:64)+100</f>
        <v>100</v>
      </c>
      <c r="G9" s="1343"/>
      <c r="H9" s="425">
        <f>SUMIF(63:63,G9,64:64)-SUMIF(63:63,C9,64:64)+100</f>
        <v>100</v>
      </c>
      <c r="I9" s="1343"/>
      <c r="J9" s="425">
        <f>SUMIF(63:63,I9,64:64)-SUMIF(63:63,C9,64:64)+100</f>
        <v>100</v>
      </c>
      <c r="K9" s="1016"/>
      <c r="L9" s="2293"/>
      <c r="M9" s="2255"/>
      <c r="N9" s="2255"/>
      <c r="O9" s="2255"/>
      <c r="P9" s="3741" t="s">
        <v>67</v>
      </c>
      <c r="Q9" s="7" t="str">
        <f t="shared" ref="Q9:Q15" si="6">B9</f>
        <v>用途</v>
      </c>
      <c r="R9" s="1339" t="s">
        <v>65</v>
      </c>
      <c r="S9" s="1340">
        <f t="shared" si="0"/>
        <v>100</v>
      </c>
      <c r="T9" s="1339" t="s">
        <v>65</v>
      </c>
      <c r="U9" s="1340">
        <f t="shared" si="1"/>
        <v>100</v>
      </c>
      <c r="V9" s="1339" t="s">
        <v>65</v>
      </c>
      <c r="W9" s="1340">
        <f t="shared" si="2"/>
        <v>100</v>
      </c>
      <c r="X9" s="287"/>
      <c r="Y9" s="3528" t="s">
        <v>67</v>
      </c>
      <c r="Z9" s="288" t="str">
        <f t="shared" ref="Z9:Z15" si="7">Q9</f>
        <v>用途</v>
      </c>
      <c r="AA9" s="1341">
        <f t="shared" si="3"/>
        <v>1</v>
      </c>
      <c r="AB9" s="1341">
        <f t="shared" si="4"/>
        <v>1</v>
      </c>
      <c r="AC9" s="1341">
        <f t="shared" si="5"/>
        <v>1</v>
      </c>
    </row>
    <row r="10" spans="1:29" s="92" customFormat="1" ht="27">
      <c r="A10" s="150"/>
      <c r="B10" s="12" t="s">
        <v>106</v>
      </c>
      <c r="C10" s="1345"/>
      <c r="D10" s="426">
        <v>100</v>
      </c>
      <c r="E10" s="1346"/>
      <c r="F10" s="767">
        <f>SUMIF(65:65,E10,66:66)-SUMIF(65:65,C10,66:66)+100</f>
        <v>100</v>
      </c>
      <c r="G10" s="1345"/>
      <c r="H10" s="426">
        <f>SUMIF(65:65,G10,66:66)-SUMIF(65:65,C10,66:66)+100</f>
        <v>100</v>
      </c>
      <c r="I10" s="1345"/>
      <c r="J10" s="426">
        <f>SUMIF(65:65,I10,66:66)-SUMIF(65:65,C10,66:66)+100</f>
        <v>100</v>
      </c>
      <c r="K10" s="952"/>
      <c r="L10" s="2294"/>
      <c r="M10" s="2295"/>
      <c r="N10" s="2295"/>
      <c r="O10" s="2295"/>
      <c r="P10" s="3741"/>
      <c r="Q10" s="7" t="str">
        <f t="shared" si="6"/>
        <v>土地使用年限（年）</v>
      </c>
      <c r="R10" s="1339" t="s">
        <v>65</v>
      </c>
      <c r="S10" s="1340">
        <f t="shared" si="0"/>
        <v>100</v>
      </c>
      <c r="T10" s="1339" t="s">
        <v>65</v>
      </c>
      <c r="U10" s="1340">
        <f t="shared" si="1"/>
        <v>100</v>
      </c>
      <c r="V10" s="1339" t="s">
        <v>65</v>
      </c>
      <c r="W10" s="1340">
        <f t="shared" si="2"/>
        <v>100</v>
      </c>
      <c r="X10" s="287"/>
      <c r="Y10" s="3528"/>
      <c r="Z10" s="288" t="str">
        <f t="shared" si="7"/>
        <v>土地使用年限（年）</v>
      </c>
      <c r="AA10" s="1341">
        <f t="shared" si="3"/>
        <v>1</v>
      </c>
      <c r="AB10" s="1341">
        <f t="shared" si="4"/>
        <v>1</v>
      </c>
      <c r="AC10" s="1341">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952"/>
      <c r="L11" s="2296"/>
      <c r="M11" s="2292"/>
      <c r="N11" s="2292"/>
      <c r="O11" s="2292"/>
      <c r="P11" s="3741"/>
      <c r="Q11" s="7" t="str">
        <f t="shared" si="6"/>
        <v>容积率</v>
      </c>
      <c r="R11" s="1339" t="s">
        <v>65</v>
      </c>
      <c r="S11" s="1340" t="e">
        <f t="shared" si="0"/>
        <v>#N/A</v>
      </c>
      <c r="T11" s="1339" t="s">
        <v>65</v>
      </c>
      <c r="U11" s="1340" t="e">
        <f t="shared" si="1"/>
        <v>#N/A</v>
      </c>
      <c r="V11" s="1339" t="s">
        <v>65</v>
      </c>
      <c r="W11" s="1340" t="e">
        <f t="shared" si="2"/>
        <v>#N/A</v>
      </c>
      <c r="X11" s="287"/>
      <c r="Y11" s="3528"/>
      <c r="Z11" s="288" t="str">
        <f t="shared" si="7"/>
        <v>容积率</v>
      </c>
      <c r="AA11" s="1341" t="e">
        <f t="shared" si="3"/>
        <v>#N/A</v>
      </c>
      <c r="AB11" s="1341" t="e">
        <f t="shared" si="4"/>
        <v>#N/A</v>
      </c>
      <c r="AC11" s="1341" t="e">
        <f t="shared" si="5"/>
        <v>#N/A</v>
      </c>
    </row>
    <row r="12" spans="1:29" s="40" customFormat="1" ht="14.25">
      <c r="A12" s="1027"/>
      <c r="B12" s="1028">
        <v>111</v>
      </c>
      <c r="C12" s="1021"/>
      <c r="D12" s="775">
        <v>100</v>
      </c>
      <c r="E12" s="93"/>
      <c r="F12" s="767">
        <f>SUMIF(70:70,E12,71:71)-SUMIF(70:70,C12,71:71)+100</f>
        <v>100</v>
      </c>
      <c r="G12" s="93"/>
      <c r="H12" s="426">
        <f>SUMIF(70:70,G12,71:71)-SUMIF(70:70,C12,71:71)+100</f>
        <v>100</v>
      </c>
      <c r="I12" s="93"/>
      <c r="J12" s="426">
        <f>SUMIF(70:70,I12,71:71)-SUMIF(70:70,C12,71:71)+100</f>
        <v>100</v>
      </c>
      <c r="K12" s="188"/>
      <c r="L12" s="2293"/>
      <c r="M12" s="2255"/>
      <c r="N12" s="2255"/>
      <c r="O12" s="2255"/>
      <c r="P12" s="3741"/>
      <c r="Q12" s="7">
        <f t="shared" si="6"/>
        <v>111</v>
      </c>
      <c r="R12" s="1339" t="s">
        <v>65</v>
      </c>
      <c r="S12" s="1340">
        <f t="shared" si="0"/>
        <v>100</v>
      </c>
      <c r="T12" s="1339" t="s">
        <v>65</v>
      </c>
      <c r="U12" s="1340">
        <f t="shared" si="1"/>
        <v>100</v>
      </c>
      <c r="V12" s="1339" t="s">
        <v>65</v>
      </c>
      <c r="W12" s="1340">
        <f t="shared" si="2"/>
        <v>100</v>
      </c>
      <c r="X12" s="287"/>
      <c r="Y12" s="3528"/>
      <c r="Z12" s="288">
        <f t="shared" si="7"/>
        <v>111</v>
      </c>
      <c r="AA12" s="1341">
        <f>D12/F12</f>
        <v>1</v>
      </c>
      <c r="AB12" s="1341">
        <f>D12/H12</f>
        <v>1</v>
      </c>
      <c r="AC12" s="1341">
        <f>D12/J12</f>
        <v>1</v>
      </c>
    </row>
    <row r="13" spans="1:29" ht="14.25">
      <c r="A13" s="151"/>
      <c r="B13" s="1028">
        <v>111</v>
      </c>
      <c r="C13" s="93"/>
      <c r="D13" s="777">
        <v>100</v>
      </c>
      <c r="E13" s="93"/>
      <c r="F13" s="767">
        <f>SUMIF(72:72,E13,73:73)-SUMIF(72:72,C13,73:73)+100</f>
        <v>100</v>
      </c>
      <c r="G13" s="93"/>
      <c r="H13" s="777">
        <f>SUMIF(72:72,G13,73:73)-SUMIF(72:72,C13,73:73)+100</f>
        <v>100</v>
      </c>
      <c r="I13" s="93"/>
      <c r="J13" s="777">
        <f>SUMIF(72:72,I13,73:73)-SUMIF(72:72,C13,73:73)+100</f>
        <v>100</v>
      </c>
      <c r="K13" s="188"/>
      <c r="L13" s="2297"/>
      <c r="M13" s="2292"/>
      <c r="N13" s="2292"/>
      <c r="O13" s="2292"/>
      <c r="P13" s="3741"/>
      <c r="Q13" s="7">
        <f t="shared" si="6"/>
        <v>111</v>
      </c>
      <c r="R13" s="1339" t="s">
        <v>65</v>
      </c>
      <c r="S13" s="1340">
        <f t="shared" si="0"/>
        <v>100</v>
      </c>
      <c r="T13" s="1339" t="s">
        <v>65</v>
      </c>
      <c r="U13" s="1340">
        <f t="shared" si="1"/>
        <v>100</v>
      </c>
      <c r="V13" s="1339" t="s">
        <v>65</v>
      </c>
      <c r="W13" s="1340">
        <f t="shared" si="2"/>
        <v>100</v>
      </c>
      <c r="X13" s="287"/>
      <c r="Y13" s="3528"/>
      <c r="Z13" s="288">
        <f t="shared" si="7"/>
        <v>111</v>
      </c>
      <c r="AA13" s="1341">
        <f t="shared" si="3"/>
        <v>1</v>
      </c>
      <c r="AB13" s="1341">
        <f t="shared" si="4"/>
        <v>1</v>
      </c>
      <c r="AC13" s="1341">
        <f t="shared" si="5"/>
        <v>1</v>
      </c>
    </row>
    <row r="14" spans="1:29" ht="15" thickBot="1">
      <c r="A14" s="154"/>
      <c r="B14" s="1029">
        <v>111</v>
      </c>
      <c r="C14" s="94"/>
      <c r="D14" s="780">
        <v>100</v>
      </c>
      <c r="E14" s="93"/>
      <c r="F14" s="781">
        <f>SUMIF(74:74,E14,75:75)-SUMIF(74:74,C14,75:75)+100</f>
        <v>100</v>
      </c>
      <c r="G14" s="93"/>
      <c r="H14" s="780">
        <f>SUMIF(74:74,G14,75:75)-SUMIF(74:74,C14,75:75)+100</f>
        <v>100</v>
      </c>
      <c r="I14" s="93"/>
      <c r="J14" s="780">
        <f>SUMIF(74:74,I14,75:75)-SUMIF(74:74,C14,75:75)+100</f>
        <v>100</v>
      </c>
      <c r="K14" s="188"/>
      <c r="L14" s="2297"/>
      <c r="M14" s="2292"/>
      <c r="N14" s="2292"/>
      <c r="O14" s="2292"/>
      <c r="P14" s="3741"/>
      <c r="Q14" s="7">
        <f t="shared" si="6"/>
        <v>111</v>
      </c>
      <c r="R14" s="1339" t="s">
        <v>65</v>
      </c>
      <c r="S14" s="1340">
        <f t="shared" si="0"/>
        <v>100</v>
      </c>
      <c r="T14" s="1339" t="s">
        <v>65</v>
      </c>
      <c r="U14" s="1340">
        <f t="shared" si="1"/>
        <v>100</v>
      </c>
      <c r="V14" s="1339" t="s">
        <v>65</v>
      </c>
      <c r="W14" s="1340">
        <f t="shared" si="2"/>
        <v>100</v>
      </c>
      <c r="X14" s="287"/>
      <c r="Y14" s="3528"/>
      <c r="Z14" s="288">
        <f t="shared" si="7"/>
        <v>111</v>
      </c>
      <c r="AA14" s="1341">
        <f t="shared" si="3"/>
        <v>1</v>
      </c>
      <c r="AB14" s="1341">
        <f t="shared" si="4"/>
        <v>1</v>
      </c>
      <c r="AC14" s="1341">
        <f t="shared" si="5"/>
        <v>1</v>
      </c>
    </row>
    <row r="15" spans="1:29" ht="67.5">
      <c r="A15" s="155" t="s">
        <v>69</v>
      </c>
      <c r="B15" s="58" t="s">
        <v>130</v>
      </c>
      <c r="C15" s="157" t="str">
        <f>估价对象房地状况!C4</f>
        <v>周边3公里内商业项目以住宅底商为主，人流量一般，商服繁华度较差。</v>
      </c>
      <c r="D15" s="783">
        <v>100</v>
      </c>
      <c r="E15" s="95"/>
      <c r="F15" s="785">
        <f>SUMIF(76:76,E16,77:77)-SUMIF(76:76,C16,77:77)+100</f>
        <v>100</v>
      </c>
      <c r="G15" s="96"/>
      <c r="H15" s="783">
        <f>SUMIF(76:76,G16,77:77)-SUMIF(76:76,C16,77:77)+100</f>
        <v>100</v>
      </c>
      <c r="I15" s="95"/>
      <c r="J15" s="783">
        <f>SUMIF(76:76,I16,77:77)-SUMIF(76:76,C16,77:77)+100</f>
        <v>100</v>
      </c>
      <c r="K15" s="954"/>
      <c r="L15" s="2297"/>
      <c r="M15" s="2292"/>
      <c r="N15" s="2292"/>
      <c r="O15" s="2292"/>
      <c r="P15" s="3768" t="s">
        <v>69</v>
      </c>
      <c r="Q15" s="1347" t="str">
        <f t="shared" si="6"/>
        <v>商业繁华度</v>
      </c>
      <c r="R15" s="1348" t="s">
        <v>65</v>
      </c>
      <c r="S15" s="1349">
        <f t="shared" si="0"/>
        <v>100</v>
      </c>
      <c r="T15" s="1348" t="s">
        <v>65</v>
      </c>
      <c r="U15" s="1349">
        <f t="shared" si="1"/>
        <v>100</v>
      </c>
      <c r="V15" s="1348" t="s">
        <v>65</v>
      </c>
      <c r="W15" s="1349">
        <f t="shared" si="2"/>
        <v>100</v>
      </c>
      <c r="X15" s="1337"/>
      <c r="Y15" s="3761" t="s">
        <v>69</v>
      </c>
      <c r="Z15" s="1350" t="str">
        <f t="shared" si="7"/>
        <v>商业繁华度</v>
      </c>
      <c r="AA15" s="1351">
        <f t="shared" si="3"/>
        <v>1</v>
      </c>
      <c r="AB15" s="1351">
        <f t="shared" si="4"/>
        <v>1</v>
      </c>
      <c r="AC15" s="1351">
        <f t="shared" si="5"/>
        <v>1</v>
      </c>
    </row>
    <row r="16" spans="1:29" ht="14.25">
      <c r="A16" s="151"/>
      <c r="B16" s="156"/>
      <c r="C16" s="97"/>
      <c r="D16" s="790"/>
      <c r="E16" s="97"/>
      <c r="F16" s="791"/>
      <c r="G16" s="97"/>
      <c r="H16" s="792"/>
      <c r="I16" s="97"/>
      <c r="J16" s="790"/>
      <c r="K16" s="189"/>
      <c r="L16" s="2297"/>
      <c r="M16" s="2292"/>
      <c r="N16" s="2292"/>
      <c r="O16" s="2292"/>
      <c r="P16" s="3769"/>
      <c r="Q16" s="1347"/>
      <c r="R16" s="1348"/>
      <c r="S16" s="1349"/>
      <c r="T16" s="1348"/>
      <c r="U16" s="1349"/>
      <c r="V16" s="1348"/>
      <c r="W16" s="1349"/>
      <c r="X16" s="1337"/>
      <c r="Y16" s="3762"/>
      <c r="Z16" s="1350"/>
      <c r="AA16" s="1351">
        <v>1</v>
      </c>
      <c r="AB16" s="1351">
        <v>1</v>
      </c>
      <c r="AC16" s="1351">
        <v>1</v>
      </c>
    </row>
    <row r="17" spans="1:29" ht="108">
      <c r="A17" s="151"/>
      <c r="B17" s="1352" t="s">
        <v>72</v>
      </c>
      <c r="C17" s="158" t="str">
        <f>估价对象房地状况!C6</f>
        <v>估价对象周边道路密集度一般、周边有931、948路等公交线路经过，停车便捷程度较好，综合评价交通便捷度较差。</v>
      </c>
      <c r="D17" s="792">
        <v>100</v>
      </c>
      <c r="E17" s="100"/>
      <c r="F17" s="795">
        <f>SUMIF(78:78,E18,79:79)-SUMIF(78:78,C18,79:79)+100</f>
        <v>100</v>
      </c>
      <c r="G17" s="101"/>
      <c r="H17" s="797">
        <f>SUMIF(78:78,G18,79:79)-SUMIF(78:78,C18,79:79)+100</f>
        <v>100</v>
      </c>
      <c r="I17" s="100"/>
      <c r="J17" s="797">
        <f>SUMIF(78:78,I18,79:79)-SUMIF(78:78,C18,79:79)+100</f>
        <v>100</v>
      </c>
      <c r="K17" s="954"/>
      <c r="L17" s="2297"/>
      <c r="M17" s="2292"/>
      <c r="N17" s="2292"/>
      <c r="O17" s="2292"/>
      <c r="P17" s="3769"/>
      <c r="Q17" s="1347" t="str">
        <f>B17</f>
        <v>交通便捷度</v>
      </c>
      <c r="R17" s="1348" t="s">
        <v>65</v>
      </c>
      <c r="S17" s="1349">
        <f>F17</f>
        <v>100</v>
      </c>
      <c r="T17" s="1348" t="s">
        <v>65</v>
      </c>
      <c r="U17" s="1349">
        <f>H17</f>
        <v>100</v>
      </c>
      <c r="V17" s="1348" t="s">
        <v>65</v>
      </c>
      <c r="W17" s="1349">
        <f>J17</f>
        <v>100</v>
      </c>
      <c r="X17" s="1337"/>
      <c r="Y17" s="3762"/>
      <c r="Z17" s="1350" t="str">
        <f>Q17</f>
        <v>交通便捷度</v>
      </c>
      <c r="AA17" s="1351">
        <f t="shared" si="3"/>
        <v>1</v>
      </c>
      <c r="AB17" s="1351">
        <f t="shared" si="4"/>
        <v>1</v>
      </c>
      <c r="AC17" s="1351">
        <f t="shared" si="5"/>
        <v>1</v>
      </c>
    </row>
    <row r="18" spans="1:29" ht="14.25">
      <c r="A18" s="151"/>
      <c r="B18" s="1037"/>
      <c r="C18" s="102"/>
      <c r="D18" s="792"/>
      <c r="E18" s="103"/>
      <c r="F18" s="795"/>
      <c r="G18" s="104"/>
      <c r="H18" s="790"/>
      <c r="I18" s="103"/>
      <c r="J18" s="790"/>
      <c r="K18" s="189"/>
      <c r="L18" s="2297"/>
      <c r="M18" s="2292"/>
      <c r="N18" s="2292"/>
      <c r="O18" s="2292"/>
      <c r="P18" s="3769"/>
      <c r="Q18" s="1347"/>
      <c r="R18" s="1348"/>
      <c r="S18" s="1349"/>
      <c r="T18" s="1348"/>
      <c r="U18" s="1349"/>
      <c r="V18" s="1348"/>
      <c r="W18" s="1349"/>
      <c r="X18" s="1337"/>
      <c r="Y18" s="3762"/>
      <c r="Z18" s="1350"/>
      <c r="AA18" s="1351">
        <v>1</v>
      </c>
      <c r="AB18" s="1351">
        <v>1</v>
      </c>
      <c r="AC18" s="1351">
        <v>1</v>
      </c>
    </row>
    <row r="19" spans="1:29" ht="108">
      <c r="A19" s="151"/>
      <c r="B19" s="1352" t="s">
        <v>2648</v>
      </c>
      <c r="C19" s="158" t="str">
        <f>估价对象房地状况!C7</f>
        <v>估价对象周边有银行、购物场所、餐饮等配套设施，基础设施水平较高；综合评价公用设施及基础设施水平较差。</v>
      </c>
      <c r="D19" s="797">
        <v>100</v>
      </c>
      <c r="E19" s="105"/>
      <c r="F19" s="800">
        <f>SUMIF(80:80,E20,81:81)-SUMIF(80:80,C20,81:81)+100</f>
        <v>100</v>
      </c>
      <c r="G19" s="106"/>
      <c r="H19" s="792">
        <f>SUMIF(80:80,G20,81:81)-SUMIF(80:80,C20,81:81)+100</f>
        <v>100</v>
      </c>
      <c r="I19" s="105"/>
      <c r="J19" s="792">
        <f>SUMIF(80:80,I20,81:81)-SUMIF(80:80,C20,81:81)+100</f>
        <v>100</v>
      </c>
      <c r="K19" s="954"/>
      <c r="L19" s="2297"/>
      <c r="M19" s="2292"/>
      <c r="N19" s="2292"/>
      <c r="O19" s="2292"/>
      <c r="P19" s="3769"/>
      <c r="Q19" s="1347" t="str">
        <f>B19</f>
        <v>公共配套设施</v>
      </c>
      <c r="R19" s="1348" t="s">
        <v>65</v>
      </c>
      <c r="S19" s="1349">
        <f>F19</f>
        <v>100</v>
      </c>
      <c r="T19" s="1348" t="s">
        <v>65</v>
      </c>
      <c r="U19" s="1349">
        <f>H19</f>
        <v>100</v>
      </c>
      <c r="V19" s="1348" t="s">
        <v>65</v>
      </c>
      <c r="W19" s="1349">
        <f>J19</f>
        <v>100</v>
      </c>
      <c r="X19" s="1337"/>
      <c r="Y19" s="3762"/>
      <c r="Z19" s="1350" t="str">
        <f>Q19</f>
        <v>公共配套设施</v>
      </c>
      <c r="AA19" s="1351">
        <f t="shared" si="3"/>
        <v>1</v>
      </c>
      <c r="AB19" s="1351">
        <f t="shared" si="4"/>
        <v>1</v>
      </c>
      <c r="AC19" s="1351">
        <f t="shared" si="5"/>
        <v>1</v>
      </c>
    </row>
    <row r="20" spans="1:29" ht="14.25">
      <c r="A20" s="151"/>
      <c r="B20" s="1037"/>
      <c r="C20" s="97"/>
      <c r="D20" s="790"/>
      <c r="E20" s="98"/>
      <c r="F20" s="791"/>
      <c r="G20" s="99"/>
      <c r="H20" s="790"/>
      <c r="I20" s="98"/>
      <c r="J20" s="790"/>
      <c r="K20" s="189"/>
      <c r="L20" s="2297"/>
      <c r="M20" s="2292"/>
      <c r="N20" s="2292"/>
      <c r="O20" s="2292"/>
      <c r="P20" s="3769"/>
      <c r="Q20" s="1347"/>
      <c r="R20" s="1348"/>
      <c r="S20" s="1349"/>
      <c r="T20" s="1348"/>
      <c r="U20" s="1349"/>
      <c r="V20" s="1348"/>
      <c r="W20" s="1349"/>
      <c r="X20" s="1337"/>
      <c r="Y20" s="3762"/>
      <c r="Z20" s="1350"/>
      <c r="AA20" s="1351">
        <v>1</v>
      </c>
      <c r="AB20" s="1351">
        <v>1</v>
      </c>
      <c r="AC20" s="1351">
        <v>1</v>
      </c>
    </row>
    <row r="21" spans="1:29" ht="15">
      <c r="A21" s="151"/>
      <c r="B21" s="1408" t="s">
        <v>2649</v>
      </c>
      <c r="C21" s="158" t="str">
        <f>估价对象房地状况!C8</f>
        <v>七通</v>
      </c>
      <c r="D21" s="797">
        <v>100</v>
      </c>
      <c r="E21" s="105"/>
      <c r="F21" s="800">
        <f>SUMIF(82:82,E22,83:83)-SUMIF(82:82,C22,83:83)+100</f>
        <v>100</v>
      </c>
      <c r="G21" s="106"/>
      <c r="H21" s="792">
        <f>SUMIF(82:82,G22,83:83)-SUMIF(82:82,C22,83:83)+100</f>
        <v>100</v>
      </c>
      <c r="I21" s="105"/>
      <c r="J21" s="792">
        <f>SUMIF(82:82,I22,83:83)-SUMIF(82:82,C22,83:83)+100</f>
        <v>100</v>
      </c>
      <c r="K21" s="954"/>
      <c r="L21" s="2297"/>
      <c r="M21" s="2292"/>
      <c r="N21" s="2292"/>
      <c r="O21" s="2292"/>
      <c r="P21" s="3769"/>
      <c r="Q21" s="2742" t="str">
        <f>B21</f>
        <v>基础设施水平</v>
      </c>
      <c r="R21" s="1348" t="s">
        <v>65</v>
      </c>
      <c r="S21" s="1349">
        <f>F21</f>
        <v>100</v>
      </c>
      <c r="T21" s="1348" t="s">
        <v>65</v>
      </c>
      <c r="U21" s="1349">
        <f>H21</f>
        <v>100</v>
      </c>
      <c r="V21" s="1348" t="s">
        <v>65</v>
      </c>
      <c r="W21" s="1349">
        <f>J21</f>
        <v>100</v>
      </c>
      <c r="X21" s="2744"/>
      <c r="Y21" s="3762"/>
      <c r="Z21" s="2743" t="str">
        <f>Q21</f>
        <v>基础设施水平</v>
      </c>
      <c r="AA21" s="1351">
        <f t="shared" ref="AA21" si="8">D21/F21</f>
        <v>1</v>
      </c>
      <c r="AB21" s="1351">
        <f t="shared" ref="AB21" si="9">D21/H21</f>
        <v>1</v>
      </c>
      <c r="AC21" s="1351">
        <f t="shared" ref="AC21" si="10">D21/J21</f>
        <v>1</v>
      </c>
    </row>
    <row r="22" spans="1:29" ht="14.25">
      <c r="A22" s="151"/>
      <c r="B22" s="1408"/>
      <c r="C22" s="102"/>
      <c r="D22" s="790"/>
      <c r="E22" s="97"/>
      <c r="F22" s="791"/>
      <c r="G22" s="97"/>
      <c r="H22" s="790"/>
      <c r="I22" s="97"/>
      <c r="J22" s="790"/>
      <c r="K22" s="2762"/>
      <c r="L22" s="2297"/>
      <c r="M22" s="2292"/>
      <c r="N22" s="2292"/>
      <c r="O22" s="2292"/>
      <c r="P22" s="3769"/>
      <c r="Q22" s="2742"/>
      <c r="R22" s="1348"/>
      <c r="S22" s="1349"/>
      <c r="T22" s="1348"/>
      <c r="U22" s="1349"/>
      <c r="V22" s="1348"/>
      <c r="W22" s="1349"/>
      <c r="X22" s="2744"/>
      <c r="Y22" s="3762"/>
      <c r="Z22" s="2743"/>
      <c r="AA22" s="1351">
        <v>1</v>
      </c>
      <c r="AB22" s="1351">
        <v>1</v>
      </c>
      <c r="AC22" s="1351">
        <v>1</v>
      </c>
    </row>
    <row r="23" spans="1:29" ht="67.5">
      <c r="A23" s="151"/>
      <c r="B23" s="1352" t="s">
        <v>73</v>
      </c>
      <c r="C23" s="190" t="str">
        <f>估价对象房地状况!C9</f>
        <v>临近潭柘寺景区、戒台寺景区，绿化率高，综合评价环境状况较好</v>
      </c>
      <c r="D23" s="792">
        <v>100</v>
      </c>
      <c r="E23" s="100"/>
      <c r="F23" s="795">
        <f>SUMIF(84:84,E24,85:85)-SUMIF(84:84,C24,85:85)+100</f>
        <v>100</v>
      </c>
      <c r="G23" s="101"/>
      <c r="H23" s="792">
        <f>SUMIF(84:84,G24,85:85)-SUMIF(84:84,C24,85:85)+100</f>
        <v>100</v>
      </c>
      <c r="I23" s="100"/>
      <c r="J23" s="792">
        <f>SUMIF(84:84,I24,85:85)-SUMIF(84:84,C24,85:85)+100</f>
        <v>100</v>
      </c>
      <c r="K23" s="954"/>
      <c r="L23" s="2297"/>
      <c r="M23" s="2292"/>
      <c r="N23" s="2292"/>
      <c r="O23" s="2292"/>
      <c r="P23" s="3769"/>
      <c r="Q23" s="1347" t="str">
        <f>B23</f>
        <v>自然及人文环境</v>
      </c>
      <c r="R23" s="1348" t="s">
        <v>65</v>
      </c>
      <c r="S23" s="1349">
        <f>F23</f>
        <v>100</v>
      </c>
      <c r="T23" s="1348" t="s">
        <v>65</v>
      </c>
      <c r="U23" s="1349">
        <f>H23</f>
        <v>100</v>
      </c>
      <c r="V23" s="1348" t="s">
        <v>65</v>
      </c>
      <c r="W23" s="1349">
        <f>J23</f>
        <v>100</v>
      </c>
      <c r="X23" s="1337"/>
      <c r="Y23" s="3762"/>
      <c r="Z23" s="1350" t="str">
        <f>Q23</f>
        <v>自然及人文环境</v>
      </c>
      <c r="AA23" s="1351">
        <f t="shared" si="3"/>
        <v>1</v>
      </c>
      <c r="AB23" s="1351">
        <f t="shared" si="4"/>
        <v>1</v>
      </c>
      <c r="AC23" s="1351">
        <f t="shared" si="5"/>
        <v>1</v>
      </c>
    </row>
    <row r="24" spans="1:29" ht="14.25">
      <c r="A24" s="151"/>
      <c r="B24" s="1037"/>
      <c r="C24" s="97"/>
      <c r="D24" s="790"/>
      <c r="E24" s="98"/>
      <c r="F24" s="791"/>
      <c r="G24" s="99"/>
      <c r="H24" s="790"/>
      <c r="I24" s="98"/>
      <c r="J24" s="790"/>
      <c r="K24" s="189"/>
      <c r="L24" s="2297"/>
      <c r="M24" s="2292"/>
      <c r="N24" s="2292"/>
      <c r="O24" s="2292"/>
      <c r="P24" s="3769"/>
      <c r="Q24" s="1347"/>
      <c r="R24" s="1348"/>
      <c r="S24" s="1349"/>
      <c r="T24" s="1348"/>
      <c r="U24" s="1349"/>
      <c r="V24" s="1348"/>
      <c r="W24" s="1349"/>
      <c r="X24" s="1337"/>
      <c r="Y24" s="3762"/>
      <c r="Z24" s="1350"/>
      <c r="AA24" s="1351">
        <v>1</v>
      </c>
      <c r="AB24" s="1351">
        <v>1</v>
      </c>
      <c r="AC24" s="1351">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2"/>
      <c r="L25" s="2297"/>
      <c r="M25" s="2292"/>
      <c r="N25" s="2292"/>
      <c r="O25" s="2292"/>
      <c r="P25" s="3769"/>
      <c r="Q25" s="1347" t="str">
        <f t="shared" ref="Q25:Q46" si="11">B25</f>
        <v>临街状况</v>
      </c>
      <c r="R25" s="1348" t="s">
        <v>65</v>
      </c>
      <c r="S25" s="1349">
        <f>F25</f>
        <v>100</v>
      </c>
      <c r="T25" s="1348" t="s">
        <v>65</v>
      </c>
      <c r="U25" s="1349">
        <f>H25</f>
        <v>100</v>
      </c>
      <c r="V25" s="1348" t="s">
        <v>65</v>
      </c>
      <c r="W25" s="1349">
        <f>J25</f>
        <v>100</v>
      </c>
      <c r="X25" s="1337"/>
      <c r="Y25" s="3762"/>
      <c r="Z25" s="1350" t="str">
        <f>Q25</f>
        <v>临街状况</v>
      </c>
      <c r="AA25" s="1351">
        <f t="shared" si="3"/>
        <v>1</v>
      </c>
      <c r="AB25" s="1351">
        <f t="shared" si="4"/>
        <v>1</v>
      </c>
      <c r="AC25" s="1351">
        <f t="shared" si="5"/>
        <v>1</v>
      </c>
    </row>
    <row r="26" spans="1:29" ht="14.25">
      <c r="A26" s="151"/>
      <c r="B26" s="1353" t="s">
        <v>1015</v>
      </c>
      <c r="C26" s="93"/>
      <c r="D26" s="777">
        <v>100</v>
      </c>
      <c r="E26" s="93"/>
      <c r="F26" s="803">
        <f>SUMIF(88:88,E26,89:89)-SUMIF(88:88,C26,89:89)+100</f>
        <v>100</v>
      </c>
      <c r="G26" s="93"/>
      <c r="H26" s="777">
        <f>SUMIF(88:88,G26,89:89)-SUMIF(88:88,C26,89:89)+100</f>
        <v>100</v>
      </c>
      <c r="I26" s="93"/>
      <c r="J26" s="777">
        <f>SUMIF(88:88,I26,89:89)-SUMIF(88:88,C26,89:89)+100</f>
        <v>100</v>
      </c>
      <c r="K26" s="188"/>
      <c r="L26" s="2297"/>
      <c r="M26" s="2292"/>
      <c r="N26" s="2292"/>
      <c r="O26" s="2292"/>
      <c r="P26" s="3769"/>
      <c r="Q26" s="1347" t="str">
        <f t="shared" si="11"/>
        <v>平面位置/可视性</v>
      </c>
      <c r="R26" s="1348" t="s">
        <v>65</v>
      </c>
      <c r="S26" s="1349">
        <f>F26</f>
        <v>100</v>
      </c>
      <c r="T26" s="1348" t="s">
        <v>65</v>
      </c>
      <c r="U26" s="1349">
        <f>H26</f>
        <v>100</v>
      </c>
      <c r="V26" s="1348" t="s">
        <v>65</v>
      </c>
      <c r="W26" s="1349">
        <f>J26</f>
        <v>100</v>
      </c>
      <c r="X26" s="1337"/>
      <c r="Y26" s="3762"/>
      <c r="Z26" s="1350" t="str">
        <f>Q26</f>
        <v>平面位置/可视性</v>
      </c>
      <c r="AA26" s="1351">
        <f t="shared" si="3"/>
        <v>1</v>
      </c>
      <c r="AB26" s="1351">
        <f t="shared" si="4"/>
        <v>1</v>
      </c>
      <c r="AC26" s="1351">
        <f t="shared" si="5"/>
        <v>1</v>
      </c>
    </row>
    <row r="27" spans="1:29" s="40" customFormat="1" ht="15">
      <c r="A27" s="1027"/>
      <c r="B27" s="1352" t="s">
        <v>1016</v>
      </c>
      <c r="C27" s="1383"/>
      <c r="D27" s="804">
        <v>100</v>
      </c>
      <c r="E27" s="1383"/>
      <c r="F27" s="805">
        <f>SUMIF(90:90,E27,91:91)-SUMIF(90:90,C27,91:91)+100</f>
        <v>100</v>
      </c>
      <c r="G27" s="1383"/>
      <c r="H27" s="804">
        <f>SUMIF(90:90,G27,91:91)-SUMIF(90:90,C27,91:91)+100</f>
        <v>100</v>
      </c>
      <c r="I27" s="1383"/>
      <c r="J27" s="804">
        <f>SUMIF(90:90,I27,91:91)-SUMIF(90:90,C27,91:91)+100</f>
        <v>100</v>
      </c>
      <c r="K27" s="952"/>
      <c r="L27" s="2293"/>
      <c r="M27" s="2255"/>
      <c r="N27" s="2255"/>
      <c r="O27" s="2255"/>
      <c r="P27" s="3769"/>
      <c r="Q27" s="7" t="str">
        <f t="shared" si="11"/>
        <v>人流量</v>
      </c>
      <c r="R27" s="1339" t="s">
        <v>65</v>
      </c>
      <c r="S27" s="1340">
        <f>F27</f>
        <v>100</v>
      </c>
      <c r="T27" s="1339" t="s">
        <v>65</v>
      </c>
      <c r="U27" s="1340">
        <f>H27</f>
        <v>100</v>
      </c>
      <c r="V27" s="1339" t="s">
        <v>65</v>
      </c>
      <c r="W27" s="1340">
        <f>J27</f>
        <v>100</v>
      </c>
      <c r="X27" s="287"/>
      <c r="Y27" s="3762"/>
      <c r="Z27" s="288" t="str">
        <f>Q27</f>
        <v>人流量</v>
      </c>
      <c r="AA27" s="1351">
        <f>D27/F27</f>
        <v>1</v>
      </c>
      <c r="AB27" s="1351">
        <f>D27/H27</f>
        <v>1</v>
      </c>
      <c r="AC27" s="1351">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7"/>
      <c r="M28" s="2292"/>
      <c r="N28" s="2292"/>
      <c r="O28" s="2292"/>
      <c r="P28" s="3769"/>
      <c r="Q28" s="1347" t="str">
        <f t="shared" si="11"/>
        <v>楼层</v>
      </c>
      <c r="R28" s="1348" t="s">
        <v>65</v>
      </c>
      <c r="S28" s="1349">
        <f t="shared" ref="S28:S46" si="12">F28</f>
        <v>100</v>
      </c>
      <c r="T28" s="1348" t="s">
        <v>65</v>
      </c>
      <c r="U28" s="1349">
        <f t="shared" ref="U28:U46" si="13">H28</f>
        <v>100</v>
      </c>
      <c r="V28" s="1348" t="s">
        <v>65</v>
      </c>
      <c r="W28" s="1349">
        <f t="shared" ref="W28:W46" si="14">J28</f>
        <v>100</v>
      </c>
      <c r="X28" s="1337"/>
      <c r="Y28" s="3762"/>
      <c r="Z28" s="1350" t="str">
        <f t="shared" ref="Z28:Z46" si="15">Q28</f>
        <v>楼层</v>
      </c>
      <c r="AA28" s="1351">
        <f t="shared" si="3"/>
        <v>1</v>
      </c>
      <c r="AB28" s="1351">
        <f t="shared" si="4"/>
        <v>1</v>
      </c>
      <c r="AC28" s="1351">
        <f t="shared" si="5"/>
        <v>1</v>
      </c>
    </row>
    <row r="29" spans="1:29" ht="14.25">
      <c r="A29" s="151"/>
      <c r="B29" s="1353">
        <v>111</v>
      </c>
      <c r="C29" s="93"/>
      <c r="D29" s="777">
        <v>100</v>
      </c>
      <c r="E29" s="93"/>
      <c r="F29" s="803">
        <f>SUMIF(94:94,E29,95:95)-SUMIF(94:94,C29,95:95)+100</f>
        <v>100</v>
      </c>
      <c r="G29" s="93"/>
      <c r="H29" s="777">
        <f>SUMIF(94:94,G29,95:95)-SUMIF(94:94,C29,95:95)+100</f>
        <v>100</v>
      </c>
      <c r="I29" s="93"/>
      <c r="J29" s="777">
        <f>SUMIF(94:94,I29,95:95)-SUMIF(94:94,C29,95:95)+100</f>
        <v>100</v>
      </c>
      <c r="K29" s="188"/>
      <c r="L29" s="2297"/>
      <c r="M29" s="2292"/>
      <c r="N29" s="2292"/>
      <c r="O29" s="2292"/>
      <c r="P29" s="3769"/>
      <c r="Q29" s="1347">
        <f t="shared" si="11"/>
        <v>111</v>
      </c>
      <c r="R29" s="1348" t="s">
        <v>65</v>
      </c>
      <c r="S29" s="1349">
        <f t="shared" si="12"/>
        <v>100</v>
      </c>
      <c r="T29" s="1348" t="s">
        <v>65</v>
      </c>
      <c r="U29" s="1349">
        <f t="shared" si="13"/>
        <v>100</v>
      </c>
      <c r="V29" s="1348" t="s">
        <v>65</v>
      </c>
      <c r="W29" s="1349">
        <f t="shared" si="14"/>
        <v>100</v>
      </c>
      <c r="X29" s="1337"/>
      <c r="Y29" s="3762"/>
      <c r="Z29" s="1350">
        <f t="shared" si="15"/>
        <v>111</v>
      </c>
      <c r="AA29" s="1351">
        <f t="shared" si="3"/>
        <v>1</v>
      </c>
      <c r="AB29" s="1351">
        <f t="shared" si="4"/>
        <v>1</v>
      </c>
      <c r="AC29" s="1351">
        <f t="shared" si="5"/>
        <v>1</v>
      </c>
    </row>
    <row r="30" spans="1:29" ht="14.25">
      <c r="A30" s="151"/>
      <c r="B30" s="1353">
        <v>111</v>
      </c>
      <c r="C30" s="93"/>
      <c r="D30" s="777">
        <v>100</v>
      </c>
      <c r="E30" s="93"/>
      <c r="F30" s="803">
        <f>SUMIF(96:96,E30,97:97)-SUMIF(96:96,C30,97:97)+100</f>
        <v>100</v>
      </c>
      <c r="G30" s="93"/>
      <c r="H30" s="777">
        <f>SUMIF(96:96,G30,97:97)-SUMIF(96:96,C30,97:97)+100</f>
        <v>100</v>
      </c>
      <c r="I30" s="93"/>
      <c r="J30" s="777">
        <f>SUMIF(96:96,I30,97:97)-SUMIF(96:96,C30,97:97)+100</f>
        <v>100</v>
      </c>
      <c r="K30" s="188"/>
      <c r="L30" s="2297"/>
      <c r="M30" s="2292"/>
      <c r="N30" s="2292"/>
      <c r="O30" s="2292"/>
      <c r="P30" s="3769"/>
      <c r="Q30" s="1347">
        <f t="shared" si="11"/>
        <v>111</v>
      </c>
      <c r="R30" s="1348" t="s">
        <v>65</v>
      </c>
      <c r="S30" s="1349">
        <f t="shared" si="12"/>
        <v>100</v>
      </c>
      <c r="T30" s="1348" t="s">
        <v>65</v>
      </c>
      <c r="U30" s="1349">
        <f t="shared" si="13"/>
        <v>100</v>
      </c>
      <c r="V30" s="1348" t="s">
        <v>65</v>
      </c>
      <c r="W30" s="1349">
        <f t="shared" si="14"/>
        <v>100</v>
      </c>
      <c r="X30" s="1337"/>
      <c r="Y30" s="3762"/>
      <c r="Z30" s="1350">
        <f t="shared" si="15"/>
        <v>111</v>
      </c>
      <c r="AA30" s="1351">
        <f t="shared" si="3"/>
        <v>1</v>
      </c>
      <c r="AB30" s="1351">
        <f t="shared" si="4"/>
        <v>1</v>
      </c>
      <c r="AC30" s="1351">
        <f t="shared" si="5"/>
        <v>1</v>
      </c>
    </row>
    <row r="31" spans="1:29" ht="15" thickBot="1">
      <c r="A31" s="154"/>
      <c r="B31" s="1353">
        <v>111</v>
      </c>
      <c r="C31" s="94"/>
      <c r="D31" s="780">
        <v>100</v>
      </c>
      <c r="E31" s="93"/>
      <c r="F31" s="781">
        <f>SUMIF(98:98,E31,99:99)-SUMIF(98:98,C31,99:99)+100</f>
        <v>100</v>
      </c>
      <c r="G31" s="93"/>
      <c r="H31" s="780">
        <f>SUMIF(98:98,G31,99:99)-SUMIF(98:98,C31,99:99)+100</f>
        <v>100</v>
      </c>
      <c r="I31" s="93"/>
      <c r="J31" s="780">
        <f>SUMIF(98:98,I31,99:99)-SUMIF(98:98,C31,99:99)+100</f>
        <v>100</v>
      </c>
      <c r="K31" s="188"/>
      <c r="L31" s="2297"/>
      <c r="M31" s="2292"/>
      <c r="N31" s="2292"/>
      <c r="O31" s="2292"/>
      <c r="P31" s="3769"/>
      <c r="Q31" s="1347">
        <f t="shared" si="11"/>
        <v>111</v>
      </c>
      <c r="R31" s="1348" t="s">
        <v>65</v>
      </c>
      <c r="S31" s="1349">
        <f t="shared" si="12"/>
        <v>100</v>
      </c>
      <c r="T31" s="1348" t="s">
        <v>65</v>
      </c>
      <c r="U31" s="1349">
        <f t="shared" si="13"/>
        <v>100</v>
      </c>
      <c r="V31" s="1348" t="s">
        <v>65</v>
      </c>
      <c r="W31" s="1349">
        <f t="shared" si="14"/>
        <v>100</v>
      </c>
      <c r="X31" s="1337"/>
      <c r="Y31" s="3762"/>
      <c r="Z31" s="1350">
        <f t="shared" si="15"/>
        <v>111</v>
      </c>
      <c r="AA31" s="1351">
        <f t="shared" si="3"/>
        <v>1</v>
      </c>
      <c r="AB31" s="1351">
        <f t="shared" si="4"/>
        <v>1</v>
      </c>
      <c r="AC31" s="1351">
        <f t="shared" si="5"/>
        <v>1</v>
      </c>
    </row>
    <row r="32" spans="1:29" ht="15">
      <c r="A32" s="155" t="s">
        <v>1017</v>
      </c>
      <c r="B32" s="62" t="s">
        <v>1018</v>
      </c>
      <c r="C32" s="110"/>
      <c r="D32" s="807">
        <v>100</v>
      </c>
      <c r="E32" s="110"/>
      <c r="F32" s="803">
        <f>SUMIF(100:100,E32,101:101)-SUMIF(100:100,C32,101:101)+100</f>
        <v>100</v>
      </c>
      <c r="G32" s="110"/>
      <c r="H32" s="777">
        <f>SUMIF(100:100,G32,101:101)-SUMIF(100:100,C32,101:101)+100</f>
        <v>100</v>
      </c>
      <c r="I32" s="110"/>
      <c r="J32" s="807">
        <f>SUMIF(100:100,I32,101:101)-SUMIF(100:100,C32,101:101)+100</f>
        <v>100</v>
      </c>
      <c r="K32" s="952"/>
      <c r="L32" s="2297"/>
      <c r="M32" s="2292"/>
      <c r="N32" s="2292"/>
      <c r="O32" s="2292"/>
      <c r="P32" s="3763" t="s">
        <v>1019</v>
      </c>
      <c r="Q32" s="1347" t="str">
        <f t="shared" si="11"/>
        <v>商业类型</v>
      </c>
      <c r="R32" s="1348" t="s">
        <v>65</v>
      </c>
      <c r="S32" s="1349">
        <f t="shared" si="12"/>
        <v>100</v>
      </c>
      <c r="T32" s="1348" t="s">
        <v>65</v>
      </c>
      <c r="U32" s="1349">
        <f t="shared" si="13"/>
        <v>100</v>
      </c>
      <c r="V32" s="1348" t="s">
        <v>65</v>
      </c>
      <c r="W32" s="1349">
        <f t="shared" si="14"/>
        <v>100</v>
      </c>
      <c r="X32" s="1337"/>
      <c r="Y32" s="3766" t="s">
        <v>1019</v>
      </c>
      <c r="Z32" s="1350" t="str">
        <f t="shared" si="15"/>
        <v>商业类型</v>
      </c>
      <c r="AA32" s="1351">
        <f t="shared" si="3"/>
        <v>1</v>
      </c>
      <c r="AB32" s="1351">
        <f t="shared" si="4"/>
        <v>1</v>
      </c>
      <c r="AC32" s="1351">
        <f t="shared" si="5"/>
        <v>1</v>
      </c>
    </row>
    <row r="33" spans="1:29" s="1036" customFormat="1" ht="14.25">
      <c r="A33" s="1040"/>
      <c r="B33" s="12" t="s">
        <v>76</v>
      </c>
      <c r="C33" s="809"/>
      <c r="D33" s="426">
        <v>100</v>
      </c>
      <c r="E33" s="772"/>
      <c r="F33" s="767" t="e">
        <f>LOOKUP(E33,103:103,104:104)-LOOKUP(C33,103:103,104:104)+100</f>
        <v>#N/A</v>
      </c>
      <c r="G33" s="771"/>
      <c r="H33" s="426" t="e">
        <f>LOOKUP(G33,103:103,104:104)-LOOKUP(C33,103:103,104:104)+100</f>
        <v>#N/A</v>
      </c>
      <c r="I33" s="771"/>
      <c r="J33" s="426" t="e">
        <f>LOOKUP(I33,103:103,104:104)-LOOKUP(C33,103:103,104:104)+100</f>
        <v>#N/A</v>
      </c>
      <c r="K33" s="188"/>
      <c r="L33" s="2296"/>
      <c r="M33" s="2298"/>
      <c r="N33" s="2298"/>
      <c r="O33" s="2298"/>
      <c r="P33" s="3764"/>
      <c r="Q33" s="1355" t="str">
        <f t="shared" si="11"/>
        <v>项目建筑规模</v>
      </c>
      <c r="R33" s="1356" t="s">
        <v>65</v>
      </c>
      <c r="S33" s="1357" t="e">
        <f t="shared" si="12"/>
        <v>#N/A</v>
      </c>
      <c r="T33" s="1356" t="s">
        <v>65</v>
      </c>
      <c r="U33" s="1357" t="e">
        <f t="shared" si="13"/>
        <v>#N/A</v>
      </c>
      <c r="V33" s="1356" t="s">
        <v>65</v>
      </c>
      <c r="W33" s="1357" t="e">
        <f t="shared" si="14"/>
        <v>#N/A</v>
      </c>
      <c r="X33" s="1358"/>
      <c r="Y33" s="3766"/>
      <c r="Z33" s="1359" t="str">
        <f t="shared" si="15"/>
        <v>项目建筑规模</v>
      </c>
      <c r="AA33" s="1351" t="e">
        <f t="shared" si="3"/>
        <v>#N/A</v>
      </c>
      <c r="AB33" s="1351" t="e">
        <f t="shared" si="4"/>
        <v>#N/A</v>
      </c>
      <c r="AC33" s="1351"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2"/>
      <c r="L34" s="2297"/>
      <c r="M34" s="2292"/>
      <c r="N34" s="2292"/>
      <c r="O34" s="2292"/>
      <c r="P34" s="3764"/>
      <c r="Q34" s="1347" t="str">
        <f t="shared" si="11"/>
        <v>建筑结构</v>
      </c>
      <c r="R34" s="1348" t="s">
        <v>65</v>
      </c>
      <c r="S34" s="1349">
        <f t="shared" si="12"/>
        <v>100</v>
      </c>
      <c r="T34" s="1348" t="s">
        <v>65</v>
      </c>
      <c r="U34" s="1349">
        <f t="shared" si="13"/>
        <v>100</v>
      </c>
      <c r="V34" s="1348" t="s">
        <v>65</v>
      </c>
      <c r="W34" s="1349">
        <f t="shared" si="14"/>
        <v>100</v>
      </c>
      <c r="X34" s="1337"/>
      <c r="Y34" s="3766"/>
      <c r="Z34" s="1350" t="str">
        <f t="shared" si="15"/>
        <v>建筑结构</v>
      </c>
      <c r="AA34" s="1351">
        <f t="shared" si="3"/>
        <v>1</v>
      </c>
      <c r="AB34" s="1351">
        <f t="shared" si="4"/>
        <v>1</v>
      </c>
      <c r="AC34" s="1351">
        <f t="shared" si="5"/>
        <v>1</v>
      </c>
    </row>
    <row r="35" spans="1:29" ht="15">
      <c r="A35" s="161"/>
      <c r="B35" s="12" t="s">
        <v>1020</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2"/>
      <c r="L35" s="2297"/>
      <c r="M35" s="2292"/>
      <c r="N35" s="2292"/>
      <c r="O35" s="2292"/>
      <c r="P35" s="3764"/>
      <c r="Q35" s="1347" t="str">
        <f t="shared" si="11"/>
        <v>公共部分装修</v>
      </c>
      <c r="R35" s="1348" t="s">
        <v>65</v>
      </c>
      <c r="S35" s="1349">
        <f t="shared" si="12"/>
        <v>100</v>
      </c>
      <c r="T35" s="1348" t="s">
        <v>65</v>
      </c>
      <c r="U35" s="1349">
        <f t="shared" si="13"/>
        <v>100</v>
      </c>
      <c r="V35" s="1348" t="s">
        <v>65</v>
      </c>
      <c r="W35" s="1349">
        <f t="shared" si="14"/>
        <v>100</v>
      </c>
      <c r="X35" s="1337"/>
      <c r="Y35" s="3766"/>
      <c r="Z35" s="1350" t="str">
        <f t="shared" si="15"/>
        <v>公共部分装修</v>
      </c>
      <c r="AA35" s="1351">
        <f t="shared" si="3"/>
        <v>1</v>
      </c>
      <c r="AB35" s="1351">
        <f t="shared" si="4"/>
        <v>1</v>
      </c>
      <c r="AC35" s="1351">
        <f t="shared" si="5"/>
        <v>1</v>
      </c>
    </row>
    <row r="36" spans="1:29" ht="15">
      <c r="A36" s="161"/>
      <c r="B36" s="12" t="s">
        <v>1021</v>
      </c>
      <c r="C36" s="814"/>
      <c r="D36" s="777">
        <v>100</v>
      </c>
      <c r="E36" s="814"/>
      <c r="F36" s="803" t="e">
        <f>LOOKUP(E36,110:110,111:111)-LOOKUP(C36,110:110,111:111)+100</f>
        <v>#N/A</v>
      </c>
      <c r="G36" s="814"/>
      <c r="H36" s="803" t="e">
        <f>LOOKUP(G36,110:110,111:111)-LOOKUP(C36,110:110,111:111)+100</f>
        <v>#N/A</v>
      </c>
      <c r="I36" s="814"/>
      <c r="J36" s="777" t="e">
        <f>LOOKUP(I36,110:110,111:111)-LOOKUP(C36,110:110,111:111)+100</f>
        <v>#N/A</v>
      </c>
      <c r="K36" s="952"/>
      <c r="L36" s="2297"/>
      <c r="M36" s="2292"/>
      <c r="N36" s="2292"/>
      <c r="O36" s="2292"/>
      <c r="P36" s="3764"/>
      <c r="Q36" s="1347" t="str">
        <f t="shared" si="11"/>
        <v>成新度</v>
      </c>
      <c r="R36" s="1348" t="s">
        <v>65</v>
      </c>
      <c r="S36" s="1349" t="e">
        <f t="shared" si="12"/>
        <v>#N/A</v>
      </c>
      <c r="T36" s="1348" t="s">
        <v>65</v>
      </c>
      <c r="U36" s="1349" t="e">
        <f t="shared" si="13"/>
        <v>#N/A</v>
      </c>
      <c r="V36" s="1348" t="s">
        <v>65</v>
      </c>
      <c r="W36" s="1349" t="e">
        <f t="shared" si="14"/>
        <v>#N/A</v>
      </c>
      <c r="X36" s="1337"/>
      <c r="Y36" s="3766"/>
      <c r="Z36" s="1350" t="str">
        <f t="shared" si="15"/>
        <v>成新度</v>
      </c>
      <c r="AA36" s="1351" t="e">
        <f t="shared" si="3"/>
        <v>#N/A</v>
      </c>
      <c r="AB36" s="1351" t="e">
        <f t="shared" si="4"/>
        <v>#N/A</v>
      </c>
      <c r="AC36" s="1351" t="e">
        <f t="shared" si="5"/>
        <v>#N/A</v>
      </c>
    </row>
    <row r="37" spans="1:29" s="40" customFormat="1" ht="15">
      <c r="A37" s="1038"/>
      <c r="B37" s="12" t="s">
        <v>2650</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2"/>
      <c r="L37" s="2293"/>
      <c r="M37" s="2255"/>
      <c r="N37" s="2255"/>
      <c r="O37" s="2255"/>
      <c r="P37" s="3764"/>
      <c r="Q37" s="7" t="str">
        <f t="shared" si="11"/>
        <v>市政基础设施</v>
      </c>
      <c r="R37" s="1339" t="s">
        <v>65</v>
      </c>
      <c r="S37" s="1340">
        <f t="shared" si="12"/>
        <v>100</v>
      </c>
      <c r="T37" s="1339" t="s">
        <v>65</v>
      </c>
      <c r="U37" s="1340">
        <f t="shared" si="13"/>
        <v>100</v>
      </c>
      <c r="V37" s="1339" t="s">
        <v>65</v>
      </c>
      <c r="W37" s="1340">
        <f t="shared" si="14"/>
        <v>100</v>
      </c>
      <c r="X37" s="287"/>
      <c r="Y37" s="3766"/>
      <c r="Z37" s="288" t="str">
        <f t="shared" si="15"/>
        <v>市政基础设施</v>
      </c>
      <c r="AA37" s="1341">
        <f t="shared" si="3"/>
        <v>1</v>
      </c>
      <c r="AB37" s="1341">
        <f t="shared" si="4"/>
        <v>1</v>
      </c>
      <c r="AC37" s="1341">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2"/>
      <c r="L38" s="2297"/>
      <c r="M38" s="2292"/>
      <c r="N38" s="2292"/>
      <c r="O38" s="2292"/>
      <c r="P38" s="3764" t="s">
        <v>1022</v>
      </c>
      <c r="Q38" s="1347" t="str">
        <f t="shared" si="11"/>
        <v>业态</v>
      </c>
      <c r="R38" s="1348" t="s">
        <v>65</v>
      </c>
      <c r="S38" s="1349">
        <f t="shared" si="12"/>
        <v>100</v>
      </c>
      <c r="T38" s="1348" t="s">
        <v>65</v>
      </c>
      <c r="U38" s="1349">
        <f t="shared" si="13"/>
        <v>100</v>
      </c>
      <c r="V38" s="1348" t="s">
        <v>65</v>
      </c>
      <c r="W38" s="1349">
        <f t="shared" si="14"/>
        <v>100</v>
      </c>
      <c r="X38" s="1337"/>
      <c r="Y38" s="3766" t="s">
        <v>1022</v>
      </c>
      <c r="Z38" s="1350" t="str">
        <f t="shared" si="15"/>
        <v>业态</v>
      </c>
      <c r="AA38" s="1351">
        <f t="shared" si="3"/>
        <v>1</v>
      </c>
      <c r="AB38" s="1351">
        <f t="shared" si="4"/>
        <v>1</v>
      </c>
      <c r="AC38" s="1351">
        <f t="shared" si="5"/>
        <v>1</v>
      </c>
    </row>
    <row r="39" spans="1:29" ht="15">
      <c r="A39" s="161"/>
      <c r="B39" s="12" t="s">
        <v>1023</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2"/>
      <c r="L39" s="2297"/>
      <c r="M39" s="2292"/>
      <c r="N39" s="2292"/>
      <c r="O39" s="2292"/>
      <c r="P39" s="3764"/>
      <c r="Q39" s="1347" t="str">
        <f t="shared" si="11"/>
        <v>层高</v>
      </c>
      <c r="R39" s="1348" t="s">
        <v>65</v>
      </c>
      <c r="S39" s="1349">
        <f t="shared" si="12"/>
        <v>100</v>
      </c>
      <c r="T39" s="1348" t="s">
        <v>65</v>
      </c>
      <c r="U39" s="1349">
        <f t="shared" si="13"/>
        <v>100</v>
      </c>
      <c r="V39" s="1348" t="s">
        <v>65</v>
      </c>
      <c r="W39" s="1349">
        <f t="shared" si="14"/>
        <v>100</v>
      </c>
      <c r="X39" s="1337"/>
      <c r="Y39" s="3766"/>
      <c r="Z39" s="1350" t="str">
        <f t="shared" si="15"/>
        <v>层高</v>
      </c>
      <c r="AA39" s="1351">
        <f t="shared" si="3"/>
        <v>1</v>
      </c>
      <c r="AB39" s="1351">
        <f t="shared" si="4"/>
        <v>1</v>
      </c>
      <c r="AC39" s="1351">
        <f t="shared" si="5"/>
        <v>1</v>
      </c>
    </row>
    <row r="40" spans="1:29" ht="14.25">
      <c r="A40" s="161"/>
      <c r="B40" s="12" t="s">
        <v>1024</v>
      </c>
      <c r="C40" s="957"/>
      <c r="D40" s="777">
        <v>100</v>
      </c>
      <c r="E40" s="958"/>
      <c r="F40" s="803">
        <f>SUMIF(118:118,E40,119:119)-SUMIF(118:118,C40,119:119)+100</f>
        <v>100</v>
      </c>
      <c r="G40" s="958"/>
      <c r="H40" s="777">
        <f>SUMIF(118:118,G40,119:119)-SUMIF(118:118,C40,119:119)+100</f>
        <v>100</v>
      </c>
      <c r="I40" s="958"/>
      <c r="J40" s="777">
        <f>SUMIF(118:118,I40,119:119)-SUMIF(118:118,C40,119:119)+100</f>
        <v>100</v>
      </c>
      <c r="K40" s="188"/>
      <c r="L40" s="2297"/>
      <c r="M40" s="2292"/>
      <c r="N40" s="2292"/>
      <c r="O40" s="2292"/>
      <c r="P40" s="3764"/>
      <c r="Q40" s="1347" t="str">
        <f t="shared" si="11"/>
        <v>单套建筑面积</v>
      </c>
      <c r="R40" s="1348" t="s">
        <v>65</v>
      </c>
      <c r="S40" s="1349">
        <f t="shared" si="12"/>
        <v>100</v>
      </c>
      <c r="T40" s="1348" t="s">
        <v>65</v>
      </c>
      <c r="U40" s="1349">
        <f t="shared" si="13"/>
        <v>100</v>
      </c>
      <c r="V40" s="1348" t="s">
        <v>65</v>
      </c>
      <c r="W40" s="1349">
        <f t="shared" si="14"/>
        <v>100</v>
      </c>
      <c r="X40" s="1337"/>
      <c r="Y40" s="3766"/>
      <c r="Z40" s="1350" t="str">
        <f t="shared" si="15"/>
        <v>单套建筑面积</v>
      </c>
      <c r="AA40" s="1351">
        <f t="shared" si="3"/>
        <v>1</v>
      </c>
      <c r="AB40" s="1351">
        <f t="shared" si="4"/>
        <v>1</v>
      </c>
      <c r="AC40" s="1351">
        <f t="shared" si="5"/>
        <v>1</v>
      </c>
    </row>
    <row r="41" spans="1:29" s="1036" customFormat="1" ht="15">
      <c r="A41" s="1040"/>
      <c r="B41" s="191" t="s">
        <v>1025</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2"/>
      <c r="L41" s="2296"/>
      <c r="M41" s="2298"/>
      <c r="N41" s="2298"/>
      <c r="O41" s="2298"/>
      <c r="P41" s="3764"/>
      <c r="Q41" s="1355" t="str">
        <f t="shared" si="11"/>
        <v>进深比</v>
      </c>
      <c r="R41" s="1356" t="s">
        <v>65</v>
      </c>
      <c r="S41" s="1357">
        <f t="shared" si="12"/>
        <v>100</v>
      </c>
      <c r="T41" s="1356" t="s">
        <v>65</v>
      </c>
      <c r="U41" s="1357">
        <f t="shared" si="13"/>
        <v>100</v>
      </c>
      <c r="V41" s="1356" t="s">
        <v>65</v>
      </c>
      <c r="W41" s="1357">
        <f t="shared" si="14"/>
        <v>100</v>
      </c>
      <c r="X41" s="1358"/>
      <c r="Y41" s="3766"/>
      <c r="Z41" s="1359" t="str">
        <f t="shared" si="15"/>
        <v>进深比</v>
      </c>
      <c r="AA41" s="1351">
        <f t="shared" si="3"/>
        <v>1</v>
      </c>
      <c r="AB41" s="1351">
        <f t="shared" si="4"/>
        <v>1</v>
      </c>
      <c r="AC41" s="1351">
        <f t="shared" si="5"/>
        <v>1</v>
      </c>
    </row>
    <row r="42" spans="1:29" ht="15">
      <c r="A42" s="161"/>
      <c r="B42" s="12" t="s">
        <v>1026</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2"/>
      <c r="L42" s="2297"/>
      <c r="M42" s="2292"/>
      <c r="N42" s="2292"/>
      <c r="O42" s="2292"/>
      <c r="P42" s="3764"/>
      <c r="Q42" s="1347" t="str">
        <f t="shared" si="11"/>
        <v>内部装修</v>
      </c>
      <c r="R42" s="1348" t="s">
        <v>65</v>
      </c>
      <c r="S42" s="1349">
        <f t="shared" si="12"/>
        <v>100</v>
      </c>
      <c r="T42" s="1348" t="s">
        <v>65</v>
      </c>
      <c r="U42" s="1349">
        <f t="shared" si="13"/>
        <v>100</v>
      </c>
      <c r="V42" s="1348" t="s">
        <v>65</v>
      </c>
      <c r="W42" s="1349">
        <f t="shared" si="14"/>
        <v>100</v>
      </c>
      <c r="X42" s="1337"/>
      <c r="Y42" s="3766"/>
      <c r="Z42" s="1350" t="str">
        <f t="shared" si="15"/>
        <v>内部装修</v>
      </c>
      <c r="AA42" s="1351">
        <f t="shared" si="3"/>
        <v>1</v>
      </c>
      <c r="AB42" s="1351">
        <f t="shared" si="4"/>
        <v>1</v>
      </c>
      <c r="AC42" s="1351">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2"/>
      <c r="L43" s="2297"/>
      <c r="M43" s="2292"/>
      <c r="N43" s="2292"/>
      <c r="O43" s="2292"/>
      <c r="P43" s="3764"/>
      <c r="Q43" s="1347" t="str">
        <f t="shared" si="11"/>
        <v>内部装修维护情况</v>
      </c>
      <c r="R43" s="1348" t="s">
        <v>65</v>
      </c>
      <c r="S43" s="1349">
        <f t="shared" si="12"/>
        <v>100</v>
      </c>
      <c r="T43" s="1348" t="s">
        <v>65</v>
      </c>
      <c r="U43" s="1349">
        <f t="shared" si="13"/>
        <v>100</v>
      </c>
      <c r="V43" s="1348" t="s">
        <v>65</v>
      </c>
      <c r="W43" s="1349">
        <f t="shared" si="14"/>
        <v>100</v>
      </c>
      <c r="X43" s="1337"/>
      <c r="Y43" s="3766"/>
      <c r="Z43" s="1350" t="str">
        <f t="shared" si="15"/>
        <v>内部装修维护情况</v>
      </c>
      <c r="AA43" s="1351">
        <f t="shared" si="3"/>
        <v>1</v>
      </c>
      <c r="AB43" s="1351">
        <f t="shared" si="4"/>
        <v>1</v>
      </c>
      <c r="AC43" s="1351">
        <f t="shared" si="5"/>
        <v>1</v>
      </c>
    </row>
    <row r="44" spans="1:29" s="40" customFormat="1" ht="14.25">
      <c r="A44" s="1038"/>
      <c r="B44" s="1353">
        <v>111</v>
      </c>
      <c r="C44" s="1354"/>
      <c r="D44" s="426">
        <v>100</v>
      </c>
      <c r="E44" s="93"/>
      <c r="F44" s="767">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764"/>
      <c r="Q44" s="7">
        <f t="shared" si="11"/>
        <v>111</v>
      </c>
      <c r="R44" s="1339" t="s">
        <v>65</v>
      </c>
      <c r="S44" s="1340">
        <f t="shared" si="12"/>
        <v>100</v>
      </c>
      <c r="T44" s="1339" t="s">
        <v>65</v>
      </c>
      <c r="U44" s="1340">
        <f t="shared" si="13"/>
        <v>100</v>
      </c>
      <c r="V44" s="1339" t="s">
        <v>65</v>
      </c>
      <c r="W44" s="1340">
        <f t="shared" si="14"/>
        <v>100</v>
      </c>
      <c r="X44" s="287"/>
      <c r="Y44" s="3766"/>
      <c r="Z44" s="288">
        <f t="shared" si="15"/>
        <v>111</v>
      </c>
      <c r="AA44" s="1341">
        <f t="shared" si="3"/>
        <v>1</v>
      </c>
      <c r="AB44" s="1341">
        <f t="shared" si="4"/>
        <v>1</v>
      </c>
      <c r="AC44" s="1341">
        <f t="shared" si="5"/>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7"/>
      <c r="M45" s="2292"/>
      <c r="N45" s="2292"/>
      <c r="O45" s="2292"/>
      <c r="P45" s="3764"/>
      <c r="Q45" s="1347">
        <f t="shared" si="11"/>
        <v>111</v>
      </c>
      <c r="R45" s="1348" t="s">
        <v>65</v>
      </c>
      <c r="S45" s="1349">
        <f t="shared" si="12"/>
        <v>100</v>
      </c>
      <c r="T45" s="1348" t="s">
        <v>65</v>
      </c>
      <c r="U45" s="1349">
        <f t="shared" si="13"/>
        <v>100</v>
      </c>
      <c r="V45" s="1348" t="s">
        <v>65</v>
      </c>
      <c r="W45" s="1349">
        <f t="shared" si="14"/>
        <v>100</v>
      </c>
      <c r="X45" s="1337"/>
      <c r="Y45" s="3766"/>
      <c r="Z45" s="1350">
        <f t="shared" si="15"/>
        <v>111</v>
      </c>
      <c r="AA45" s="1351">
        <f t="shared" si="3"/>
        <v>1</v>
      </c>
      <c r="AB45" s="1351">
        <f t="shared" si="4"/>
        <v>1</v>
      </c>
      <c r="AC45" s="1351">
        <f t="shared" si="5"/>
        <v>1</v>
      </c>
    </row>
    <row r="46" spans="1:29" ht="15" thickBot="1">
      <c r="A46" s="162"/>
      <c r="B46" s="1029">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7"/>
      <c r="M46" s="2292"/>
      <c r="N46" s="2292"/>
      <c r="O46" s="2292"/>
      <c r="P46" s="3765"/>
      <c r="Q46" s="1347">
        <f t="shared" si="11"/>
        <v>111</v>
      </c>
      <c r="R46" s="1348" t="s">
        <v>65</v>
      </c>
      <c r="S46" s="1349">
        <f t="shared" si="12"/>
        <v>100</v>
      </c>
      <c r="T46" s="1348" t="s">
        <v>65</v>
      </c>
      <c r="U46" s="1349">
        <f t="shared" si="13"/>
        <v>100</v>
      </c>
      <c r="V46" s="1348" t="s">
        <v>65</v>
      </c>
      <c r="W46" s="1349">
        <f t="shared" si="14"/>
        <v>100</v>
      </c>
      <c r="X46" s="1337"/>
      <c r="Y46" s="3767"/>
      <c r="Z46" s="1350">
        <f t="shared" si="15"/>
        <v>111</v>
      </c>
      <c r="AA46" s="1351">
        <f t="shared" si="3"/>
        <v>1</v>
      </c>
      <c r="AB46" s="1351">
        <f t="shared" si="4"/>
        <v>1</v>
      </c>
      <c r="AC46" s="1351">
        <f t="shared" si="5"/>
        <v>1</v>
      </c>
    </row>
    <row r="47" spans="1:29" ht="15">
      <c r="A47" s="163" t="s">
        <v>1027</v>
      </c>
      <c r="B47" s="164"/>
      <c r="C47" s="2829" t="s">
        <v>23</v>
      </c>
      <c r="D47" s="2830"/>
      <c r="E47" s="2831"/>
      <c r="F47" s="2832"/>
      <c r="G47" s="2833"/>
      <c r="H47" s="2834"/>
      <c r="I47" s="2831"/>
      <c r="J47" s="2834"/>
      <c r="K47" s="1389"/>
      <c r="L47" s="2299"/>
      <c r="M47" s="2300"/>
      <c r="N47" s="2292"/>
      <c r="O47" s="2300"/>
      <c r="P47" s="3759" t="str">
        <f>A47</f>
        <v>成交单价（元/平方米）</v>
      </c>
      <c r="Q47" s="3759"/>
      <c r="R47" s="3754">
        <f>E47</f>
        <v>0</v>
      </c>
      <c r="S47" s="3754"/>
      <c r="T47" s="3754">
        <f>G47</f>
        <v>0</v>
      </c>
      <c r="U47" s="3754"/>
      <c r="V47" s="3754">
        <f>I47</f>
        <v>0</v>
      </c>
      <c r="W47" s="3754"/>
      <c r="X47" s="1361"/>
      <c r="Y47" s="1362"/>
      <c r="Z47" s="1361"/>
      <c r="AA47" s="1361"/>
      <c r="AB47" s="1361"/>
      <c r="AC47" s="1361"/>
    </row>
    <row r="48" spans="1:29" ht="15.75" thickBot="1">
      <c r="A48" s="165" t="s">
        <v>1028</v>
      </c>
      <c r="B48" s="166"/>
      <c r="C48" s="2835" t="e">
        <f>R49</f>
        <v>#DIV/0!</v>
      </c>
      <c r="D48" s="2836"/>
      <c r="E48" s="2837" t="e">
        <f>R48</f>
        <v>#DIV/0!</v>
      </c>
      <c r="F48" s="2837"/>
      <c r="G48" s="2835" t="e">
        <f>T48</f>
        <v>#DIV/0!</v>
      </c>
      <c r="H48" s="2836"/>
      <c r="I48" s="2837" t="e">
        <f>V48</f>
        <v>#DIV/0!</v>
      </c>
      <c r="J48" s="2836"/>
      <c r="K48" s="1390"/>
      <c r="L48" s="2299"/>
      <c r="M48" s="2300"/>
      <c r="N48" s="2292"/>
      <c r="O48" s="2300"/>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1361"/>
      <c r="Y48" s="1361"/>
      <c r="Z48" s="1361"/>
      <c r="AA48" s="1361"/>
      <c r="AB48" s="1361"/>
      <c r="AC48" s="1361"/>
    </row>
    <row r="49" spans="1:29" ht="15.75" thickBot="1">
      <c r="A49" s="115" t="s">
        <v>3012</v>
      </c>
      <c r="B49" s="116"/>
      <c r="C49" s="2839" t="e">
        <f>R49</f>
        <v>#DIV/0!</v>
      </c>
      <c r="D49" s="2839"/>
      <c r="E49" s="2839"/>
      <c r="F49" s="2839"/>
      <c r="G49" s="2839"/>
      <c r="H49" s="2839"/>
      <c r="I49" s="2839"/>
      <c r="J49" s="2839"/>
      <c r="K49" s="1391"/>
      <c r="L49" s="2299"/>
      <c r="M49" s="2300"/>
      <c r="N49" s="2292"/>
      <c r="O49" s="2300"/>
      <c r="P49" s="3756" t="str">
        <f>A49</f>
        <v>估价对象XX用房的比较价值（楼面单价，元/平方米）</v>
      </c>
      <c r="Q49" s="3757"/>
      <c r="R49" s="3758" t="e">
        <f>IF(F1="售价",ROUND(AVERAGE(R48:V48),0),ROUND(AVERAGE(R48:V48),1))</f>
        <v>#DIV/0!</v>
      </c>
      <c r="S49" s="3758"/>
      <c r="T49" s="3758"/>
      <c r="U49" s="3758"/>
      <c r="V49" s="3758"/>
      <c r="W49" s="3758"/>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37" t="s">
        <v>997</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37" t="s">
        <v>998</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37" t="s">
        <v>999</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1029</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48" customFormat="1" ht="15">
      <c r="A58" s="845" t="s">
        <v>2787</v>
      </c>
      <c r="B58" s="846"/>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2"/>
      <c r="B59" s="1043"/>
      <c r="C59" s="3035">
        <v>100</v>
      </c>
      <c r="D59" s="852"/>
      <c r="E59" s="852"/>
      <c r="F59" s="852"/>
      <c r="G59" s="852"/>
      <c r="H59" s="852"/>
      <c r="I59" s="852"/>
      <c r="J59" s="852"/>
      <c r="K59" s="852"/>
      <c r="L59" s="852"/>
      <c r="M59" s="853"/>
      <c r="N59" s="852"/>
      <c r="O59" s="853"/>
      <c r="P59" s="1373"/>
    </row>
    <row r="60" spans="1:29" s="40" customFormat="1" ht="15" thickBot="1">
      <c r="A60" s="1044" t="s">
        <v>1030</v>
      </c>
      <c r="B60" s="1045"/>
      <c r="C60" s="857"/>
      <c r="D60" s="858"/>
      <c r="E60" s="858"/>
      <c r="F60" s="858"/>
      <c r="G60" s="858"/>
      <c r="H60" s="858"/>
      <c r="I60" s="858"/>
      <c r="J60" s="858"/>
      <c r="K60" s="858"/>
      <c r="L60" s="858"/>
      <c r="M60" s="859"/>
      <c r="N60" s="858"/>
      <c r="O60" s="859"/>
      <c r="P60" s="1373"/>
      <c r="Q60" s="121"/>
    </row>
    <row r="61" spans="1:29" s="40" customFormat="1">
      <c r="A61" s="1046" t="s">
        <v>1031</v>
      </c>
      <c r="B61" s="1043"/>
      <c r="C61" s="1047" t="s">
        <v>1032</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1033</v>
      </c>
      <c r="B63" s="286" t="s">
        <v>1034</v>
      </c>
      <c r="C63" s="176">
        <f>C9</f>
        <v>0</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1035</v>
      </c>
      <c r="C65" s="879" t="s">
        <v>1000</v>
      </c>
      <c r="D65" s="879" t="s">
        <v>1001</v>
      </c>
      <c r="E65" s="879" t="s">
        <v>1002</v>
      </c>
      <c r="F65" s="879" t="s">
        <v>1003</v>
      </c>
      <c r="G65" s="879" t="s">
        <v>1004</v>
      </c>
      <c r="H65" s="879" t="s">
        <v>1005</v>
      </c>
      <c r="I65" s="879" t="s">
        <v>1006</v>
      </c>
      <c r="J65" s="879"/>
      <c r="K65" s="880"/>
      <c r="L65" s="881"/>
      <c r="M65" s="882"/>
      <c r="N65" s="1385"/>
      <c r="O65" s="1385"/>
      <c r="P65" s="1375"/>
      <c r="Q65" s="121"/>
    </row>
    <row r="66" spans="1:17" ht="15" thickBot="1">
      <c r="A66" s="173"/>
      <c r="B66" s="1052"/>
      <c r="C66" s="884" t="s">
        <v>138</v>
      </c>
      <c r="D66" s="884" t="s">
        <v>139</v>
      </c>
      <c r="E66" s="884" t="s">
        <v>140</v>
      </c>
      <c r="F66" s="884">
        <v>100</v>
      </c>
      <c r="G66" s="884">
        <f>F66-$K10</f>
        <v>100</v>
      </c>
      <c r="H66" s="884">
        <f>G66-$K10</f>
        <v>100</v>
      </c>
      <c r="I66" s="884">
        <f>H66-$K10</f>
        <v>100</v>
      </c>
      <c r="J66" s="884"/>
      <c r="K66" s="884"/>
      <c r="L66" s="884"/>
      <c r="M66" s="885"/>
      <c r="N66" s="1386"/>
      <c r="O66" s="1386"/>
      <c r="P66" s="1375"/>
      <c r="Q66" s="121"/>
    </row>
    <row r="67" spans="1:17" ht="15" thickTop="1">
      <c r="A67" s="173"/>
      <c r="B67" s="1053" t="s">
        <v>1036</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90" t="str">
        <f>M68&amp;"（含）"&amp;"-"&amp;P68</f>
        <v>（含）-</v>
      </c>
      <c r="N67" s="1386"/>
      <c r="O67" s="1386"/>
      <c r="P67" s="1375"/>
      <c r="Q67" s="121"/>
    </row>
    <row r="68" spans="1:17" ht="14.25">
      <c r="A68" s="173"/>
      <c r="B68" s="1054"/>
      <c r="C68" s="889"/>
      <c r="D68" s="889"/>
      <c r="E68" s="889"/>
      <c r="F68" s="889"/>
      <c r="G68" s="889"/>
      <c r="H68" s="889"/>
      <c r="I68" s="889"/>
      <c r="J68" s="889"/>
      <c r="K68" s="890"/>
      <c r="L68" s="891"/>
      <c r="M68" s="892"/>
      <c r="N68" s="1385"/>
      <c r="O68" s="1385"/>
      <c r="P68" s="1375"/>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6"/>
      <c r="O69" s="1386"/>
      <c r="P69" s="1375"/>
      <c r="Q69" s="121"/>
    </row>
    <row r="70" spans="1:17" s="1036" customFormat="1" ht="14.25" thickTop="1">
      <c r="A70" s="1055"/>
      <c r="B70" s="1051">
        <f>B12</f>
        <v>111</v>
      </c>
      <c r="C70" s="139"/>
      <c r="D70" s="139"/>
      <c r="E70" s="139"/>
      <c r="F70" s="139"/>
      <c r="G70" s="139"/>
      <c r="H70" s="1056"/>
      <c r="I70" s="1056"/>
      <c r="J70" s="1056"/>
      <c r="K70" s="1056"/>
      <c r="L70" s="1057"/>
      <c r="M70" s="1058"/>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4.25" thickTop="1">
      <c r="A72" s="1055"/>
      <c r="B72" s="1051">
        <f>B13</f>
        <v>111</v>
      </c>
      <c r="C72" s="139"/>
      <c r="D72" s="139"/>
      <c r="E72" s="139"/>
      <c r="F72" s="139"/>
      <c r="G72" s="139"/>
      <c r="H72" s="1056"/>
      <c r="I72" s="1056"/>
      <c r="J72" s="1056"/>
      <c r="K72" s="1056"/>
      <c r="L72" s="1057"/>
      <c r="M72" s="1058"/>
      <c r="N72" s="1387"/>
      <c r="O72" s="1387"/>
      <c r="P72" s="1377"/>
      <c r="Q72" s="1062"/>
    </row>
    <row r="73" spans="1:17" s="1036" customFormat="1" ht="15" thickBot="1">
      <c r="A73" s="1055"/>
      <c r="B73" s="1052"/>
      <c r="C73" s="900"/>
      <c r="D73" s="876"/>
      <c r="E73" s="876"/>
      <c r="F73" s="876"/>
      <c r="G73" s="900"/>
      <c r="H73" s="902"/>
      <c r="I73" s="902"/>
      <c r="J73" s="902"/>
      <c r="K73" s="902"/>
      <c r="L73" s="902"/>
      <c r="M73" s="903"/>
      <c r="N73" s="1387"/>
      <c r="O73" s="1387"/>
      <c r="P73" s="1376"/>
      <c r="Q73" s="1060"/>
    </row>
    <row r="74" spans="1:17" s="1036" customFormat="1" ht="14.25" thickTop="1">
      <c r="A74" s="1055"/>
      <c r="B74" s="1053">
        <f>B14</f>
        <v>111</v>
      </c>
      <c r="C74" s="139"/>
      <c r="D74" s="139"/>
      <c r="E74" s="139"/>
      <c r="F74" s="139"/>
      <c r="G74" s="140"/>
      <c r="H74" s="1063"/>
      <c r="I74" s="1063"/>
      <c r="J74" s="1063"/>
      <c r="K74" s="1063"/>
      <c r="L74" s="1064"/>
      <c r="M74" s="1065"/>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1037</v>
      </c>
      <c r="B76" s="286" t="s">
        <v>1038</v>
      </c>
      <c r="C76" s="913" t="s">
        <v>1007</v>
      </c>
      <c r="D76" s="913" t="s">
        <v>1008</v>
      </c>
      <c r="E76" s="913" t="s">
        <v>1009</v>
      </c>
      <c r="F76" s="913" t="s">
        <v>1010</v>
      </c>
      <c r="G76" s="913" t="s">
        <v>1011</v>
      </c>
      <c r="H76" s="869"/>
      <c r="I76" s="869"/>
      <c r="J76" s="869"/>
      <c r="K76" s="914"/>
      <c r="L76" s="915"/>
      <c r="M76" s="916"/>
      <c r="N76" s="1385"/>
      <c r="O76" s="1385"/>
      <c r="P76" s="1379"/>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1" t="s">
        <v>1044</v>
      </c>
      <c r="C78" s="918" t="s">
        <v>422</v>
      </c>
      <c r="D78" s="918" t="s">
        <v>423</v>
      </c>
      <c r="E78" s="918" t="s">
        <v>424</v>
      </c>
      <c r="F78" s="918" t="s">
        <v>425</v>
      </c>
      <c r="G78" s="918" t="s">
        <v>426</v>
      </c>
      <c r="H78" s="879"/>
      <c r="I78" s="879"/>
      <c r="J78" s="879"/>
      <c r="K78" s="880"/>
      <c r="L78" s="881"/>
      <c r="M78" s="882"/>
      <c r="N78" s="1385"/>
      <c r="O78" s="1385"/>
      <c r="P78" s="1375"/>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1" t="s">
        <v>2632</v>
      </c>
      <c r="C80" s="918" t="s">
        <v>422</v>
      </c>
      <c r="D80" s="918" t="s">
        <v>423</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3" t="s">
        <v>2651</v>
      </c>
      <c r="C82" s="213" t="s">
        <v>2652</v>
      </c>
      <c r="D82" s="213" t="s">
        <v>2653</v>
      </c>
      <c r="E82" s="213" t="s">
        <v>2654</v>
      </c>
      <c r="F82" s="213" t="s">
        <v>2655</v>
      </c>
      <c r="G82" s="213" t="s">
        <v>2656</v>
      </c>
      <c r="H82" s="879"/>
      <c r="I82" s="879"/>
      <c r="J82" s="879"/>
      <c r="K82" s="879"/>
      <c r="L82" s="879"/>
      <c r="M82" s="2761"/>
      <c r="N82" s="1386"/>
      <c r="O82" s="1386"/>
      <c r="P82" s="1375"/>
      <c r="Q82" s="121"/>
    </row>
    <row r="83" spans="1:17" ht="15" thickBot="1">
      <c r="A83" s="173"/>
      <c r="B83" s="1053"/>
      <c r="C83" s="884">
        <v>100</v>
      </c>
      <c r="D83" s="884">
        <f>C83-$K21</f>
        <v>100</v>
      </c>
      <c r="E83" s="884">
        <f t="shared" ref="E83:G83" si="19">D83-$K21</f>
        <v>100</v>
      </c>
      <c r="F83" s="884">
        <f t="shared" si="19"/>
        <v>100</v>
      </c>
      <c r="G83" s="884">
        <f t="shared" si="19"/>
        <v>100</v>
      </c>
      <c r="H83" s="1000"/>
      <c r="I83" s="1000"/>
      <c r="J83" s="1000"/>
      <c r="K83" s="1000"/>
      <c r="L83" s="1000"/>
      <c r="M83" s="792"/>
      <c r="N83" s="1386"/>
      <c r="O83" s="1386"/>
      <c r="P83" s="1375"/>
      <c r="Q83" s="121"/>
    </row>
    <row r="84" spans="1:17" ht="15" thickTop="1">
      <c r="A84" s="173"/>
      <c r="B84" s="1051" t="s">
        <v>1045</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9"/>
      <c r="B86" s="1051" t="s">
        <v>1046</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6"/>
      <c r="O87" s="1386"/>
      <c r="P87" s="1375"/>
      <c r="Q87" s="121"/>
    </row>
    <row r="88" spans="1:17" s="40" customFormat="1" ht="14.25" thickTop="1">
      <c r="A88" s="1069"/>
      <c r="B88" s="1051"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9"/>
      <c r="B89" s="1052"/>
      <c r="C89" s="900"/>
      <c r="D89" s="876"/>
      <c r="E89" s="876"/>
      <c r="F89" s="876"/>
      <c r="G89" s="876"/>
      <c r="H89" s="876"/>
      <c r="I89" s="876"/>
      <c r="J89" s="876"/>
      <c r="K89" s="876"/>
      <c r="L89" s="876"/>
      <c r="M89" s="876"/>
      <c r="N89" s="1386"/>
      <c r="O89" s="1386"/>
      <c r="P89" s="1375"/>
      <c r="Q89" s="121"/>
    </row>
    <row r="90" spans="1:17" s="1036" customFormat="1" ht="14.25" thickTop="1">
      <c r="A90" s="1055"/>
      <c r="B90" s="1051" t="str">
        <f>B27</f>
        <v>人流量</v>
      </c>
      <c r="C90" s="139"/>
      <c r="D90" s="139"/>
      <c r="E90" s="139"/>
      <c r="F90" s="139"/>
      <c r="G90" s="139"/>
      <c r="H90" s="1056"/>
      <c r="I90" s="1056"/>
      <c r="J90" s="1056"/>
      <c r="K90" s="1056"/>
      <c r="L90" s="1057"/>
      <c r="M90" s="1058"/>
      <c r="N90" s="1387"/>
      <c r="O90" s="1387"/>
      <c r="P90" s="1376"/>
      <c r="Q90" s="1060"/>
    </row>
    <row r="91" spans="1:17" s="1036" customFormat="1" ht="15" thickBot="1">
      <c r="A91" s="1055"/>
      <c r="B91" s="1052"/>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7"/>
      <c r="O91" s="1387"/>
      <c r="P91" s="1376"/>
      <c r="Q91" s="1060"/>
    </row>
    <row r="92" spans="1:17" ht="14.25" thickTop="1">
      <c r="A92" s="173"/>
      <c r="B92" s="1051" t="str">
        <f>B28</f>
        <v>楼层</v>
      </c>
      <c r="C92" s="139"/>
      <c r="D92" s="139"/>
      <c r="E92" s="139"/>
      <c r="F92" s="139"/>
      <c r="G92" s="139"/>
      <c r="H92" s="139"/>
      <c r="I92" s="139"/>
      <c r="J92" s="139"/>
      <c r="K92" s="139"/>
      <c r="L92" s="1380"/>
      <c r="M92" s="1381"/>
      <c r="N92" s="1385"/>
      <c r="O92" s="1385"/>
      <c r="P92" s="1375"/>
      <c r="Q92" s="121"/>
    </row>
    <row r="93" spans="1:17" ht="15" thickBot="1">
      <c r="A93" s="173"/>
      <c r="B93" s="1052"/>
      <c r="C93" s="876"/>
      <c r="D93" s="876"/>
      <c r="E93" s="876"/>
      <c r="F93" s="876"/>
      <c r="G93" s="876"/>
      <c r="H93" s="876"/>
      <c r="I93" s="876"/>
      <c r="J93" s="876"/>
      <c r="K93" s="876"/>
      <c r="L93" s="876"/>
      <c r="M93" s="877"/>
      <c r="N93" s="1386"/>
      <c r="O93" s="1386"/>
      <c r="P93" s="1375"/>
      <c r="Q93" s="121"/>
    </row>
    <row r="94" spans="1:17" ht="14.25" thickTop="1">
      <c r="A94" s="173"/>
      <c r="B94" s="1051">
        <f>B29</f>
        <v>111</v>
      </c>
      <c r="C94" s="139"/>
      <c r="D94" s="139"/>
      <c r="E94" s="139"/>
      <c r="F94" s="139"/>
      <c r="G94" s="131"/>
      <c r="H94" s="131"/>
      <c r="I94" s="131"/>
      <c r="J94" s="131"/>
      <c r="K94" s="132"/>
      <c r="L94" s="133"/>
      <c r="M94" s="134"/>
      <c r="N94" s="1385"/>
      <c r="O94" s="1385"/>
      <c r="P94" s="1375"/>
      <c r="Q94" s="121"/>
    </row>
    <row r="95" spans="1:17" ht="15" thickBot="1">
      <c r="A95" s="173"/>
      <c r="B95" s="1052"/>
      <c r="C95" s="900"/>
      <c r="D95" s="876"/>
      <c r="E95" s="876"/>
      <c r="F95" s="876"/>
      <c r="G95" s="876"/>
      <c r="H95" s="876"/>
      <c r="I95" s="876"/>
      <c r="J95" s="876"/>
      <c r="K95" s="876"/>
      <c r="L95" s="876"/>
      <c r="M95" s="877"/>
      <c r="N95" s="1386"/>
      <c r="O95" s="1386"/>
      <c r="P95" s="1375"/>
      <c r="Q95" s="121"/>
    </row>
    <row r="96" spans="1:17" ht="14.25" thickTop="1">
      <c r="A96" s="173"/>
      <c r="B96" s="1051">
        <f>B30</f>
        <v>111</v>
      </c>
      <c r="C96" s="139"/>
      <c r="D96" s="139"/>
      <c r="E96" s="139"/>
      <c r="F96" s="139"/>
      <c r="G96" s="131"/>
      <c r="H96" s="131"/>
      <c r="I96" s="131"/>
      <c r="J96" s="131"/>
      <c r="K96" s="132"/>
      <c r="L96" s="133"/>
      <c r="M96" s="134"/>
      <c r="N96" s="1385"/>
      <c r="O96" s="1385"/>
      <c r="P96" s="1375"/>
      <c r="Q96" s="121"/>
    </row>
    <row r="97" spans="1:17" ht="15" thickBot="1">
      <c r="A97" s="173"/>
      <c r="B97" s="1052"/>
      <c r="C97" s="900"/>
      <c r="D97" s="876"/>
      <c r="E97" s="876"/>
      <c r="F97" s="876"/>
      <c r="G97" s="876"/>
      <c r="H97" s="876"/>
      <c r="I97" s="876"/>
      <c r="J97" s="876"/>
      <c r="K97" s="876"/>
      <c r="L97" s="876"/>
      <c r="M97" s="877"/>
      <c r="N97" s="1386"/>
      <c r="O97" s="1386"/>
      <c r="P97" s="1375"/>
      <c r="Q97" s="121"/>
    </row>
    <row r="98" spans="1:17" ht="14.25" thickTop="1">
      <c r="A98" s="173"/>
      <c r="B98" s="1053">
        <f>B31</f>
        <v>111</v>
      </c>
      <c r="C98" s="139"/>
      <c r="D98" s="139"/>
      <c r="E98" s="139"/>
      <c r="F98" s="139"/>
      <c r="G98" s="135"/>
      <c r="H98" s="135"/>
      <c r="I98" s="135"/>
      <c r="J98" s="135"/>
      <c r="K98" s="136"/>
      <c r="L98" s="137"/>
      <c r="M98" s="138"/>
      <c r="N98" s="1385"/>
      <c r="O98" s="1385"/>
      <c r="P98" s="1375"/>
      <c r="Q98" s="121"/>
    </row>
    <row r="99" spans="1:17" ht="15" thickBot="1">
      <c r="A99" s="174"/>
      <c r="B99" s="1068"/>
      <c r="C99" s="910"/>
      <c r="D99" s="910"/>
      <c r="E99" s="910"/>
      <c r="F99" s="910"/>
      <c r="G99" s="931"/>
      <c r="H99" s="931"/>
      <c r="I99" s="931"/>
      <c r="J99" s="931"/>
      <c r="K99" s="931"/>
      <c r="L99" s="931"/>
      <c r="M99" s="932"/>
      <c r="N99" s="1386"/>
      <c r="O99" s="1386"/>
      <c r="P99" s="1375"/>
      <c r="Q99" s="121"/>
    </row>
    <row r="100" spans="1:17">
      <c r="A100" s="172" t="s">
        <v>1047</v>
      </c>
      <c r="B100" s="286" t="s">
        <v>1048</v>
      </c>
      <c r="C100" s="122"/>
      <c r="D100" s="122"/>
      <c r="E100" s="122"/>
      <c r="F100" s="122"/>
      <c r="G100" s="122"/>
      <c r="H100" s="122"/>
      <c r="I100" s="122"/>
      <c r="J100" s="122"/>
      <c r="K100" s="123"/>
      <c r="L100" s="124"/>
      <c r="M100" s="125"/>
      <c r="N100" s="1385"/>
      <c r="O100" s="1385"/>
      <c r="P100" s="1375"/>
      <c r="Q100" s="121"/>
    </row>
    <row r="101" spans="1:17" ht="15" thickBot="1">
      <c r="A101" s="173"/>
      <c r="B101" s="1052"/>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6"/>
      <c r="O101" s="1386"/>
      <c r="P101" s="1375"/>
      <c r="Q101" s="121"/>
    </row>
    <row r="102" spans="1:17" ht="15" thickTop="1">
      <c r="A102" s="173"/>
      <c r="B102" s="1051" t="s">
        <v>1049</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4"/>
      <c r="O102" s="1384"/>
      <c r="P102" s="1375"/>
      <c r="Q102" s="121"/>
    </row>
    <row r="103" spans="1:17" s="1036" customFormat="1" ht="14.25">
      <c r="A103" s="1070"/>
      <c r="B103" s="1071"/>
      <c r="C103" s="935"/>
      <c r="D103" s="935"/>
      <c r="E103" s="935"/>
      <c r="F103" s="935"/>
      <c r="G103" s="935"/>
      <c r="H103" s="935"/>
      <c r="I103" s="935"/>
      <c r="J103" s="936"/>
      <c r="K103" s="936"/>
      <c r="L103" s="937"/>
      <c r="M103" s="938"/>
      <c r="N103" s="1387"/>
      <c r="O103" s="1387"/>
      <c r="P103" s="1376"/>
      <c r="Q103" s="1060"/>
    </row>
    <row r="104" spans="1:17" s="1036" customFormat="1" ht="15" thickBot="1">
      <c r="A104" s="1055"/>
      <c r="B104" s="1052"/>
      <c r="C104" s="900"/>
      <c r="D104" s="876"/>
      <c r="E104" s="876"/>
      <c r="F104" s="876"/>
      <c r="G104" s="876"/>
      <c r="H104" s="876"/>
      <c r="I104" s="876"/>
      <c r="J104" s="876"/>
      <c r="K104" s="876"/>
      <c r="L104" s="876"/>
      <c r="M104" s="877"/>
      <c r="N104" s="1386"/>
      <c r="O104" s="1386"/>
      <c r="P104" s="1376"/>
      <c r="Q104" s="1060"/>
    </row>
    <row r="105" spans="1:17" ht="14.25" thickTop="1">
      <c r="A105" s="175"/>
      <c r="B105" s="1051" t="s">
        <v>1050</v>
      </c>
      <c r="C105" s="139"/>
      <c r="D105" s="139"/>
      <c r="E105" s="131"/>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6"/>
      <c r="O106" s="1386"/>
      <c r="P106" s="1375"/>
      <c r="Q106" s="121"/>
    </row>
    <row r="107" spans="1:17" ht="14.25" thickTop="1">
      <c r="A107" s="175"/>
      <c r="B107" s="1051" t="s">
        <v>1051</v>
      </c>
      <c r="C107" s="139"/>
      <c r="D107" s="139"/>
      <c r="E107" s="139"/>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6"/>
      <c r="O108" s="1386"/>
      <c r="P108" s="1375"/>
      <c r="Q108" s="121"/>
    </row>
    <row r="109" spans="1:17" ht="15" thickTop="1">
      <c r="A109" s="175"/>
      <c r="B109" s="1051" t="s">
        <v>1052</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3"/>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2"/>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6"/>
      <c r="O111" s="1386"/>
      <c r="P111" s="1375"/>
      <c r="Q111" s="121"/>
    </row>
    <row r="112" spans="1:17" s="1036" customFormat="1" ht="14.25" thickTop="1">
      <c r="A112" s="1070"/>
      <c r="B112" s="1051" t="s">
        <v>2634</v>
      </c>
      <c r="C112" s="139"/>
      <c r="D112" s="139"/>
      <c r="E112" s="139"/>
      <c r="F112" s="139"/>
      <c r="G112" s="139"/>
      <c r="H112" s="131"/>
      <c r="I112" s="131"/>
      <c r="J112" s="131"/>
      <c r="K112" s="132"/>
      <c r="L112" s="133"/>
      <c r="M112" s="134"/>
      <c r="N112" s="1387"/>
      <c r="O112" s="1387"/>
      <c r="P112" s="1376"/>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7"/>
      <c r="O113" s="1387"/>
      <c r="P113" s="1376"/>
      <c r="Q113" s="1060"/>
    </row>
    <row r="114" spans="1:17" ht="14.25" thickTop="1">
      <c r="A114" s="175"/>
      <c r="B114" s="1051" t="s">
        <v>1053</v>
      </c>
      <c r="C114" s="139"/>
      <c r="D114" s="139"/>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6"/>
      <c r="O115" s="1386"/>
      <c r="P115" s="1375"/>
      <c r="Q115" s="121"/>
    </row>
    <row r="116" spans="1:17" ht="14.25" thickTop="1">
      <c r="A116" s="175"/>
      <c r="B116" s="1051" t="s">
        <v>1054</v>
      </c>
      <c r="C116" s="139"/>
      <c r="D116" s="139"/>
      <c r="E116" s="139"/>
      <c r="F116" s="139"/>
      <c r="G116" s="139"/>
      <c r="H116" s="131"/>
      <c r="I116" s="131"/>
      <c r="J116" s="131"/>
      <c r="K116" s="132"/>
      <c r="L116" s="133"/>
      <c r="M116" s="134"/>
      <c r="N116" s="1385"/>
      <c r="O116" s="1385"/>
      <c r="P116" s="1375"/>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5" thickTop="1">
      <c r="A118" s="175"/>
      <c r="B118" s="1051" t="s">
        <v>1055</v>
      </c>
      <c r="C118" s="967"/>
      <c r="D118" s="967"/>
      <c r="E118" s="967"/>
      <c r="F118" s="967"/>
      <c r="G118" s="967"/>
      <c r="H118" s="895"/>
      <c r="I118" s="895"/>
      <c r="J118" s="895"/>
      <c r="K118" s="895"/>
      <c r="L118" s="896"/>
      <c r="M118" s="897"/>
      <c r="N118" s="1385"/>
      <c r="O118" s="1385"/>
      <c r="P118" s="1375"/>
      <c r="Q118" s="121"/>
    </row>
    <row r="119" spans="1:17" ht="15" thickBot="1">
      <c r="A119" s="173"/>
      <c r="B119" s="1052"/>
      <c r="C119" s="900"/>
      <c r="D119" s="876"/>
      <c r="E119" s="876"/>
      <c r="F119" s="876"/>
      <c r="G119" s="876"/>
      <c r="H119" s="876"/>
      <c r="I119" s="876"/>
      <c r="J119" s="876"/>
      <c r="K119" s="876"/>
      <c r="L119" s="876"/>
      <c r="M119" s="877"/>
      <c r="N119" s="1386"/>
      <c r="O119" s="1386"/>
      <c r="P119" s="1375"/>
      <c r="Q119" s="121"/>
    </row>
    <row r="120" spans="1:17" s="1036" customFormat="1" ht="14.25" thickTop="1">
      <c r="A120" s="1070"/>
      <c r="B120" s="1051" t="s">
        <v>1056</v>
      </c>
      <c r="C120" s="131"/>
      <c r="D120" s="131"/>
      <c r="E120" s="131"/>
      <c r="F120" s="131"/>
      <c r="G120" s="1056"/>
      <c r="H120" s="1056"/>
      <c r="I120" s="1056"/>
      <c r="J120" s="1056"/>
      <c r="K120" s="1056"/>
      <c r="L120" s="1057"/>
      <c r="M120" s="1058"/>
      <c r="N120" s="1387"/>
      <c r="O120" s="1387"/>
      <c r="P120" s="1376"/>
      <c r="Q120" s="1060"/>
    </row>
    <row r="121" spans="1:17" s="1036" customFormat="1" ht="15" thickBot="1">
      <c r="A121" s="1055"/>
      <c r="B121" s="1050"/>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7"/>
      <c r="O121" s="1387"/>
      <c r="P121" s="1376"/>
      <c r="Q121" s="1060"/>
    </row>
    <row r="122" spans="1:17" ht="14.25" thickTop="1">
      <c r="A122" s="175"/>
      <c r="B122" s="1051" t="s">
        <v>1057</v>
      </c>
      <c r="C122" s="139"/>
      <c r="D122" s="139"/>
      <c r="E122" s="139"/>
      <c r="F122" s="131"/>
      <c r="G122" s="131"/>
      <c r="H122" s="131"/>
      <c r="I122" s="131"/>
      <c r="J122" s="131"/>
      <c r="K122" s="132"/>
      <c r="L122" s="133"/>
      <c r="M122" s="134"/>
      <c r="N122" s="1385"/>
      <c r="O122" s="1385"/>
      <c r="P122" s="1375"/>
      <c r="Q122" s="121"/>
    </row>
    <row r="123" spans="1:17" ht="15" thickBot="1">
      <c r="A123" s="173"/>
      <c r="B123" s="1052"/>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6"/>
      <c r="O123" s="1386"/>
      <c r="P123" s="1375"/>
      <c r="Q123" s="121"/>
    </row>
    <row r="124" spans="1:17" ht="27.75" thickTop="1">
      <c r="A124" s="175"/>
      <c r="B124" s="1051" t="s">
        <v>1058</v>
      </c>
      <c r="C124" s="181" t="s">
        <v>1039</v>
      </c>
      <c r="D124" s="181" t="s">
        <v>1040</v>
      </c>
      <c r="E124" s="181" t="s">
        <v>1041</v>
      </c>
      <c r="F124" s="181" t="s">
        <v>1042</v>
      </c>
      <c r="G124" s="181" t="s">
        <v>1043</v>
      </c>
      <c r="H124" s="177"/>
      <c r="I124" s="177"/>
      <c r="J124" s="177"/>
      <c r="K124" s="178"/>
      <c r="L124" s="179"/>
      <c r="M124" s="180"/>
      <c r="N124" s="1385"/>
      <c r="O124" s="1385"/>
      <c r="P124" s="1376"/>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876"/>
      <c r="E129" s="876"/>
      <c r="F129" s="876"/>
      <c r="G129" s="876"/>
      <c r="H129" s="876"/>
      <c r="I129" s="876"/>
      <c r="J129" s="876"/>
      <c r="K129" s="876"/>
      <c r="L129" s="876"/>
      <c r="M129" s="877"/>
      <c r="N129" s="1386"/>
      <c r="O129" s="1386"/>
      <c r="P129" s="1375"/>
      <c r="Q129" s="121"/>
    </row>
    <row r="130" spans="1:17" ht="14.25" thickTop="1">
      <c r="A130" s="175"/>
      <c r="B130" s="1053">
        <f>B46</f>
        <v>111</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2" sqref="C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1059</v>
      </c>
      <c r="B1" s="3114" t="s">
        <v>1060</v>
      </c>
      <c r="C1" s="3108" t="s">
        <v>1061</v>
      </c>
      <c r="D1" s="3099"/>
      <c r="E1" s="3104"/>
      <c r="F1" s="3101"/>
      <c r="G1" s="3103" t="s">
        <v>1062</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1063</v>
      </c>
      <c r="B2" s="2840" t="e">
        <f ca="1">IF(C2="——",ROUND(C50*D3/10000,0),ROUND(C50*D3/10000,0)-D2)</f>
        <v>#DIV/0!</v>
      </c>
      <c r="C2" s="3093"/>
      <c r="D2" s="2720" t="e">
        <f ca="1">SUMIF(INDIRECT("'"&amp;F2&amp;"'"&amp;"!A:A"),"承租人权益价值",INDIRECT("'"&amp;F2&amp;"'"&amp;"!c:c"))</f>
        <v>#REF!</v>
      </c>
      <c r="E2" s="3094" t="s">
        <v>862</v>
      </c>
      <c r="F2" s="3095"/>
      <c r="G2" s="2314"/>
      <c r="H2" s="2314"/>
      <c r="I2" s="2314"/>
      <c r="J2" s="2314"/>
      <c r="K2" s="2314"/>
      <c r="L2" s="2315"/>
      <c r="M2" s="2316"/>
      <c r="N2" s="2316"/>
      <c r="O2" s="2316"/>
      <c r="P2" s="1331"/>
      <c r="Q2" s="1331"/>
      <c r="R2" s="1331"/>
      <c r="S2" s="1331"/>
      <c r="T2" s="1331"/>
      <c r="U2" s="1331"/>
      <c r="V2" s="1331"/>
      <c r="W2" s="1331"/>
      <c r="X2" s="1331"/>
      <c r="Y2" s="1331"/>
      <c r="Z2" s="1331"/>
      <c r="AA2" s="1331"/>
      <c r="AB2" s="1331"/>
      <c r="AC2" s="1332"/>
    </row>
    <row r="3" spans="1:29" s="90" customFormat="1" ht="28.5" customHeight="1" thickBot="1">
      <c r="A3" s="87" t="s">
        <v>1064</v>
      </c>
      <c r="B3" s="949" t="e">
        <f ca="1">IF(C2="——",C50,ROUND(B2*10000/D3,0))</f>
        <v>#DIV/0!</v>
      </c>
      <c r="C3" s="142" t="s">
        <v>1065</v>
      </c>
      <c r="D3" s="741">
        <f>IF(D1="",'数据-汇总表'!E3,SUMIF('数据-汇总表'!$C19:$C33,D1,'数据-汇总表'!$E19:$E33))</f>
        <v>54996.800000000003</v>
      </c>
      <c r="E3" s="2312"/>
      <c r="F3" s="2313"/>
      <c r="G3" s="2314"/>
      <c r="H3" s="2314"/>
      <c r="I3" s="2314"/>
      <c r="J3" s="2314"/>
      <c r="K3" s="2317"/>
      <c r="L3" s="2315"/>
      <c r="M3" s="2316"/>
      <c r="N3" s="2316"/>
      <c r="O3" s="2316"/>
      <c r="P3" s="1331"/>
      <c r="Q3" s="1331"/>
      <c r="R3" s="1331"/>
      <c r="S3" s="1331"/>
      <c r="T3" s="1331"/>
      <c r="U3" s="1331"/>
      <c r="V3" s="1331"/>
      <c r="W3" s="1331"/>
      <c r="X3" s="1331"/>
      <c r="Y3" s="1331"/>
      <c r="Z3" s="1331"/>
      <c r="AA3" s="1331"/>
      <c r="AB3" s="1331"/>
      <c r="AC3" s="1332"/>
    </row>
    <row r="4" spans="1:29">
      <c r="A4" s="143" t="s">
        <v>1066</v>
      </c>
      <c r="B4" s="144"/>
      <c r="C4" s="3742" t="s">
        <v>1067</v>
      </c>
      <c r="D4" s="3743"/>
      <c r="E4" s="3744" t="s">
        <v>1068</v>
      </c>
      <c r="F4" s="3745"/>
      <c r="G4" s="3742" t="s">
        <v>1069</v>
      </c>
      <c r="H4" s="3743"/>
      <c r="I4" s="3742" t="s">
        <v>1070</v>
      </c>
      <c r="J4" s="3743"/>
      <c r="K4" s="187" t="s">
        <v>1071</v>
      </c>
      <c r="L4" s="2291"/>
      <c r="M4" s="2292"/>
      <c r="N4" s="2292"/>
      <c r="O4" s="2292"/>
      <c r="P4" s="3776" t="s">
        <v>1066</v>
      </c>
      <c r="Q4" s="3777"/>
      <c r="R4" s="3771" t="s">
        <v>1068</v>
      </c>
      <c r="S4" s="3772"/>
      <c r="T4" s="3771" t="s">
        <v>1069</v>
      </c>
      <c r="U4" s="3772"/>
      <c r="V4" s="3780" t="s">
        <v>1070</v>
      </c>
      <c r="W4" s="3780"/>
      <c r="X4" s="2331"/>
      <c r="Y4" s="3771" t="s">
        <v>1066</v>
      </c>
      <c r="Z4" s="3772"/>
      <c r="AA4" s="3770" t="s">
        <v>1068</v>
      </c>
      <c r="AB4" s="3770" t="s">
        <v>1069</v>
      </c>
      <c r="AC4" s="3773" t="s">
        <v>1070</v>
      </c>
    </row>
    <row r="5" spans="1:29">
      <c r="A5" s="146"/>
      <c r="B5" s="147"/>
      <c r="C5" s="3667" t="s">
        <v>1072</v>
      </c>
      <c r="D5" s="3668"/>
      <c r="E5" s="3665" t="s">
        <v>1073</v>
      </c>
      <c r="F5" s="3666"/>
      <c r="G5" s="3667" t="s">
        <v>1074</v>
      </c>
      <c r="H5" s="3668"/>
      <c r="I5" s="3667" t="s">
        <v>1075</v>
      </c>
      <c r="J5" s="3668"/>
      <c r="K5" s="187"/>
      <c r="L5" s="2291"/>
      <c r="M5" s="2292"/>
      <c r="N5" s="2292"/>
      <c r="O5" s="2292"/>
      <c r="P5" s="3778"/>
      <c r="Q5" s="3749"/>
      <c r="R5" s="3739"/>
      <c r="S5" s="3740"/>
      <c r="T5" s="3739"/>
      <c r="U5" s="3740"/>
      <c r="V5" s="3754"/>
      <c r="W5" s="3754"/>
      <c r="X5" s="2217"/>
      <c r="Y5" s="3739"/>
      <c r="Z5" s="3740"/>
      <c r="AA5" s="3733"/>
      <c r="AB5" s="3733"/>
      <c r="AC5" s="3774"/>
    </row>
    <row r="6" spans="1:29" ht="14.25" thickBot="1">
      <c r="A6" s="148"/>
      <c r="B6" s="149"/>
      <c r="C6" s="3669" t="s">
        <v>1076</v>
      </c>
      <c r="D6" s="3670"/>
      <c r="E6" s="3671" t="s">
        <v>1076</v>
      </c>
      <c r="F6" s="3672"/>
      <c r="G6" s="3669" t="s">
        <v>1076</v>
      </c>
      <c r="H6" s="3670"/>
      <c r="I6" s="3669" t="s">
        <v>1076</v>
      </c>
      <c r="J6" s="3670"/>
      <c r="K6" s="187" t="s">
        <v>1077</v>
      </c>
      <c r="L6" s="2291"/>
      <c r="M6" s="2292"/>
      <c r="N6" s="2292"/>
      <c r="O6" s="2292"/>
      <c r="P6" s="3779"/>
      <c r="Q6" s="3751"/>
      <c r="R6" s="3739"/>
      <c r="S6" s="3740"/>
      <c r="T6" s="3752"/>
      <c r="U6" s="3753"/>
      <c r="V6" s="3754"/>
      <c r="W6" s="3754"/>
      <c r="X6" s="2217"/>
      <c r="Y6" s="3752"/>
      <c r="Z6" s="3753"/>
      <c r="AA6" s="3734"/>
      <c r="AB6" s="3734"/>
      <c r="AC6" s="3775"/>
    </row>
    <row r="7" spans="1:29" s="40" customFormat="1" ht="15" thickBot="1">
      <c r="A7" s="1011" t="s">
        <v>1078</v>
      </c>
      <c r="B7" s="1012"/>
      <c r="C7" s="752">
        <f>'数据-取费表'!B2</f>
        <v>42975</v>
      </c>
      <c r="D7" s="753">
        <v>100</v>
      </c>
      <c r="E7" s="1014"/>
      <c r="F7" s="755">
        <f>SUMIF(59:59,YEAR(E7)&amp;"-"&amp;MONTH(E7),60:60)</f>
        <v>0</v>
      </c>
      <c r="G7" s="1014"/>
      <c r="H7" s="753">
        <f>SUMIF(59:59,YEAR(G7)&amp;"-"&amp;MONTH(G7),60:60)</f>
        <v>0</v>
      </c>
      <c r="I7" s="1014"/>
      <c r="J7" s="753">
        <f>SUMIF(59:59,YEAR(I7)&amp;"-"&amp;MONTH(I7),60:60)</f>
        <v>0</v>
      </c>
      <c r="K7" s="1016"/>
      <c r="L7" s="2293"/>
      <c r="M7" s="2255"/>
      <c r="N7" s="2255"/>
      <c r="O7" s="2255"/>
      <c r="P7" s="3781" t="s">
        <v>1078</v>
      </c>
      <c r="Q7" s="3755"/>
      <c r="R7" s="1339" t="s">
        <v>65</v>
      </c>
      <c r="S7" s="1340">
        <f t="shared" ref="S7:S15" si="0">F7</f>
        <v>0</v>
      </c>
      <c r="T7" s="1339" t="s">
        <v>65</v>
      </c>
      <c r="U7" s="1340">
        <f t="shared" ref="U7:U15" si="1">H7</f>
        <v>0</v>
      </c>
      <c r="V7" s="1339" t="s">
        <v>65</v>
      </c>
      <c r="W7" s="1340">
        <f t="shared" ref="W7:W15" si="2">J7</f>
        <v>0</v>
      </c>
      <c r="X7" s="287"/>
      <c r="Y7" s="3735" t="s">
        <v>1078</v>
      </c>
      <c r="Z7" s="3736"/>
      <c r="AA7" s="1341" t="e">
        <f>D7/F7</f>
        <v>#DIV/0!</v>
      </c>
      <c r="AB7" s="1341" t="e">
        <f>D7/H7</f>
        <v>#DIV/0!</v>
      </c>
      <c r="AC7" s="2332" t="e">
        <f>D7/J7</f>
        <v>#DIV/0!</v>
      </c>
    </row>
    <row r="8" spans="1:29" s="40" customFormat="1" ht="15" thickBot="1">
      <c r="A8" s="1011" t="s">
        <v>1079</v>
      </c>
      <c r="B8" s="1012"/>
      <c r="C8" s="1017" t="s">
        <v>1080</v>
      </c>
      <c r="D8" s="753">
        <v>100</v>
      </c>
      <c r="E8" s="1017"/>
      <c r="F8" s="755">
        <f>SUMIF(62:62,E8,63:63)-SUMIF(62:62,C8,63:63)+100</f>
        <v>0</v>
      </c>
      <c r="G8" s="1017"/>
      <c r="H8" s="753">
        <f>SUMIF(62:62,G8,63:63)-SUMIF(62:62,C8,63:63)+100</f>
        <v>0</v>
      </c>
      <c r="I8" s="1017"/>
      <c r="J8" s="753">
        <f>SUMIF(62:62,I8,63:63)-SUMIF(62:62,C8,63:63)+100</f>
        <v>0</v>
      </c>
      <c r="K8" s="1016"/>
      <c r="L8" s="2293"/>
      <c r="M8" s="2255"/>
      <c r="N8" s="2255"/>
      <c r="O8" s="2255"/>
      <c r="P8" s="3781" t="s">
        <v>1012</v>
      </c>
      <c r="Q8" s="3736"/>
      <c r="R8" s="1339" t="s">
        <v>65</v>
      </c>
      <c r="S8" s="1340">
        <f t="shared" si="0"/>
        <v>0</v>
      </c>
      <c r="T8" s="1339" t="s">
        <v>65</v>
      </c>
      <c r="U8" s="1340">
        <f t="shared" si="1"/>
        <v>0</v>
      </c>
      <c r="V8" s="1339" t="s">
        <v>65</v>
      </c>
      <c r="W8" s="1340">
        <f t="shared" si="2"/>
        <v>0</v>
      </c>
      <c r="X8" s="287"/>
      <c r="Y8" s="3735" t="s">
        <v>1012</v>
      </c>
      <c r="Z8" s="3736"/>
      <c r="AA8" s="1341" t="e">
        <f t="shared" ref="AA8:AA47" si="3">D8/F8</f>
        <v>#DIV/0!</v>
      </c>
      <c r="AB8" s="1341" t="e">
        <f t="shared" ref="AB8:AB47" si="4">D8/H8</f>
        <v>#DIV/0!</v>
      </c>
      <c r="AC8" s="2332" t="e">
        <f t="shared" ref="AC8:AC47" si="5">D8/J8</f>
        <v>#DIV/0!</v>
      </c>
    </row>
    <row r="9" spans="1:29" s="40" customFormat="1" ht="14.25">
      <c r="A9" s="1018" t="s">
        <v>1013</v>
      </c>
      <c r="B9" s="62" t="s">
        <v>1014</v>
      </c>
      <c r="C9" s="1342"/>
      <c r="D9" s="425">
        <v>100</v>
      </c>
      <c r="E9" s="1344"/>
      <c r="F9" s="425">
        <f>SUMIF(64:64,E9,65:65)-SUMIF(64:64,C9,65:65)+100</f>
        <v>100</v>
      </c>
      <c r="G9" s="1343"/>
      <c r="H9" s="425">
        <f>SUMIF(64:64,G9,65:65)-SUMIF(64:64,C9,65:65)+100</f>
        <v>100</v>
      </c>
      <c r="I9" s="1343"/>
      <c r="J9" s="425">
        <f>SUMIF(64:64,I9,65:65)-SUMIF(64:64,C9,65:65)+100</f>
        <v>100</v>
      </c>
      <c r="K9" s="1016"/>
      <c r="L9" s="2293"/>
      <c r="M9" s="2255"/>
      <c r="N9" s="2255"/>
      <c r="O9" s="2255"/>
      <c r="P9" s="3741" t="s">
        <v>67</v>
      </c>
      <c r="Q9" s="2208" t="str">
        <f t="shared" ref="Q9:Q15" si="6">B9</f>
        <v>用途</v>
      </c>
      <c r="R9" s="1339" t="s">
        <v>65</v>
      </c>
      <c r="S9" s="1340">
        <f t="shared" si="0"/>
        <v>100</v>
      </c>
      <c r="T9" s="1339" t="s">
        <v>65</v>
      </c>
      <c r="U9" s="1340">
        <f t="shared" si="1"/>
        <v>100</v>
      </c>
      <c r="V9" s="1339" t="s">
        <v>65</v>
      </c>
      <c r="W9" s="1340">
        <f t="shared" si="2"/>
        <v>100</v>
      </c>
      <c r="X9" s="287"/>
      <c r="Y9" s="3528" t="s">
        <v>67</v>
      </c>
      <c r="Z9" s="2207" t="str">
        <f t="shared" ref="Z9:Z15" si="7">Q9</f>
        <v>用途</v>
      </c>
      <c r="AA9" s="1341">
        <f t="shared" si="3"/>
        <v>1</v>
      </c>
      <c r="AB9" s="1341">
        <f t="shared" si="4"/>
        <v>1</v>
      </c>
      <c r="AC9" s="2332">
        <f t="shared" si="5"/>
        <v>1</v>
      </c>
    </row>
    <row r="10" spans="1:29" s="92" customFormat="1" ht="27">
      <c r="A10" s="150"/>
      <c r="B10" s="12" t="s">
        <v>106</v>
      </c>
      <c r="C10" s="1345"/>
      <c r="D10" s="426">
        <v>100</v>
      </c>
      <c r="E10" s="1345"/>
      <c r="F10" s="426">
        <f>SUMIF(66:66,E10,67:67)-SUMIF(66:66,C10,67:67)+100</f>
        <v>100</v>
      </c>
      <c r="G10" s="1346"/>
      <c r="H10" s="426">
        <f>SUMIF(66:66,G10,67:67)-SUMIF(66:66,C10,67:67)+100</f>
        <v>100</v>
      </c>
      <c r="I10" s="1345"/>
      <c r="J10" s="426">
        <f>SUMIF(66:66,I10,67:67)-SUMIF(66:66,C10,67:67)+100</f>
        <v>100</v>
      </c>
      <c r="K10" s="952"/>
      <c r="L10" s="2294"/>
      <c r="M10" s="2295"/>
      <c r="N10" s="2295"/>
      <c r="O10" s="2295"/>
      <c r="P10" s="3741"/>
      <c r="Q10" s="2208" t="str">
        <f t="shared" si="6"/>
        <v>土地使用年限（年）</v>
      </c>
      <c r="R10" s="1339" t="s">
        <v>65</v>
      </c>
      <c r="S10" s="1340">
        <f t="shared" si="0"/>
        <v>100</v>
      </c>
      <c r="T10" s="1339" t="s">
        <v>65</v>
      </c>
      <c r="U10" s="1340">
        <f t="shared" si="1"/>
        <v>100</v>
      </c>
      <c r="V10" s="1339" t="s">
        <v>65</v>
      </c>
      <c r="W10" s="1340">
        <f t="shared" si="2"/>
        <v>100</v>
      </c>
      <c r="X10" s="287"/>
      <c r="Y10" s="3528"/>
      <c r="Z10" s="2207" t="str">
        <f t="shared" si="7"/>
        <v>土地使用年限（年）</v>
      </c>
      <c r="AA10" s="1341">
        <f t="shared" si="3"/>
        <v>1</v>
      </c>
      <c r="AB10" s="1341">
        <f t="shared" si="4"/>
        <v>1</v>
      </c>
      <c r="AC10" s="2332">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2"/>
      <c r="L11" s="2296"/>
      <c r="M11" s="2292"/>
      <c r="N11" s="2292"/>
      <c r="O11" s="2292"/>
      <c r="P11" s="3741"/>
      <c r="Q11" s="2208" t="str">
        <f t="shared" si="6"/>
        <v>容积率</v>
      </c>
      <c r="R11" s="1339" t="s">
        <v>65</v>
      </c>
      <c r="S11" s="1340" t="e">
        <f t="shared" si="0"/>
        <v>#N/A</v>
      </c>
      <c r="T11" s="1339" t="s">
        <v>65</v>
      </c>
      <c r="U11" s="1340" t="e">
        <f t="shared" si="1"/>
        <v>#N/A</v>
      </c>
      <c r="V11" s="1339" t="s">
        <v>65</v>
      </c>
      <c r="W11" s="1340" t="e">
        <f t="shared" si="2"/>
        <v>#N/A</v>
      </c>
      <c r="X11" s="287"/>
      <c r="Y11" s="3528"/>
      <c r="Z11" s="2207" t="str">
        <f t="shared" si="7"/>
        <v>容积率</v>
      </c>
      <c r="AA11" s="1341" t="e">
        <f t="shared" si="3"/>
        <v>#N/A</v>
      </c>
      <c r="AB11" s="1341" t="e">
        <f t="shared" si="4"/>
        <v>#N/A</v>
      </c>
      <c r="AC11" s="2332" t="e">
        <f t="shared" si="5"/>
        <v>#N/A</v>
      </c>
    </row>
    <row r="12" spans="1:29" s="40" customFormat="1" ht="14.25">
      <c r="A12" s="1027"/>
      <c r="B12" s="1028">
        <v>111</v>
      </c>
      <c r="C12" s="1021"/>
      <c r="D12" s="775">
        <v>100</v>
      </c>
      <c r="E12" s="1021"/>
      <c r="F12" s="426">
        <f>SUMIF(71:71,E12,72:72)-SUMIF(71:71,C12,72:72)+100</f>
        <v>100</v>
      </c>
      <c r="G12" s="1399"/>
      <c r="H12" s="426">
        <f>SUMIF(71:71,G12,72:72)-SUMIF(71:71,C12,72:72)+100</f>
        <v>100</v>
      </c>
      <c r="I12" s="1021"/>
      <c r="J12" s="426">
        <f>SUMIF(71:71,I12,72:72)-SUMIF(71:71,C12,72:72)+100</f>
        <v>100</v>
      </c>
      <c r="K12" s="188"/>
      <c r="L12" s="2293"/>
      <c r="M12" s="2255"/>
      <c r="N12" s="2255"/>
      <c r="O12" s="2255"/>
      <c r="P12" s="3741"/>
      <c r="Q12" s="2208">
        <f t="shared" si="6"/>
        <v>111</v>
      </c>
      <c r="R12" s="1339" t="s">
        <v>65</v>
      </c>
      <c r="S12" s="1340">
        <f t="shared" si="0"/>
        <v>100</v>
      </c>
      <c r="T12" s="1339" t="s">
        <v>65</v>
      </c>
      <c r="U12" s="1340">
        <f t="shared" si="1"/>
        <v>100</v>
      </c>
      <c r="V12" s="1339" t="s">
        <v>65</v>
      </c>
      <c r="W12" s="1340">
        <f t="shared" si="2"/>
        <v>100</v>
      </c>
      <c r="X12" s="287"/>
      <c r="Y12" s="3528"/>
      <c r="Z12" s="2207">
        <f t="shared" si="7"/>
        <v>111</v>
      </c>
      <c r="AA12" s="1341">
        <f>D12/F12</f>
        <v>1</v>
      </c>
      <c r="AB12" s="1341">
        <f>D12/H12</f>
        <v>1</v>
      </c>
      <c r="AC12" s="2332">
        <f>D12/J12</f>
        <v>1</v>
      </c>
    </row>
    <row r="13" spans="1:29" ht="14.25">
      <c r="A13" s="151"/>
      <c r="B13" s="1028">
        <v>111</v>
      </c>
      <c r="C13" s="93"/>
      <c r="D13" s="777">
        <v>100</v>
      </c>
      <c r="E13" s="1021"/>
      <c r="F13" s="426">
        <f>SUMIF(73:73,E13,74:74)-SUMIF(73:73,C13,74:74)+100</f>
        <v>100</v>
      </c>
      <c r="G13" s="1399"/>
      <c r="H13" s="777">
        <f>SUMIF(73:73,G13,74:74)-SUMIF(73:73,C13,74:74)+100</f>
        <v>100</v>
      </c>
      <c r="I13" s="1021"/>
      <c r="J13" s="777">
        <f>SUMIF(73:73,I13,74:74)-SUMIF(73:73,C13,74:74)+100</f>
        <v>100</v>
      </c>
      <c r="K13" s="188"/>
      <c r="L13" s="2297"/>
      <c r="M13" s="2292"/>
      <c r="N13" s="2292"/>
      <c r="O13" s="2292"/>
      <c r="P13" s="3741"/>
      <c r="Q13" s="2208">
        <f t="shared" si="6"/>
        <v>111</v>
      </c>
      <c r="R13" s="1339" t="s">
        <v>65</v>
      </c>
      <c r="S13" s="1340">
        <f t="shared" si="0"/>
        <v>100</v>
      </c>
      <c r="T13" s="1339" t="s">
        <v>65</v>
      </c>
      <c r="U13" s="1340">
        <f t="shared" si="1"/>
        <v>100</v>
      </c>
      <c r="V13" s="1339" t="s">
        <v>65</v>
      </c>
      <c r="W13" s="1340">
        <f t="shared" si="2"/>
        <v>100</v>
      </c>
      <c r="X13" s="287"/>
      <c r="Y13" s="3528"/>
      <c r="Z13" s="2207">
        <f t="shared" si="7"/>
        <v>111</v>
      </c>
      <c r="AA13" s="1341">
        <f t="shared" si="3"/>
        <v>1</v>
      </c>
      <c r="AB13" s="1341">
        <f t="shared" si="4"/>
        <v>1</v>
      </c>
      <c r="AC13" s="2332">
        <f t="shared" si="5"/>
        <v>1</v>
      </c>
    </row>
    <row r="14" spans="1:29" ht="15" thickBot="1">
      <c r="A14" s="154"/>
      <c r="B14" s="1029">
        <v>111</v>
      </c>
      <c r="C14" s="94"/>
      <c r="D14" s="780">
        <v>100</v>
      </c>
      <c r="E14" s="1400"/>
      <c r="F14" s="780">
        <f>SUMIF(75:75,E14,76:76)-SUMIF(75:75,C14,76:76)+100</f>
        <v>100</v>
      </c>
      <c r="G14" s="1399"/>
      <c r="H14" s="780">
        <f>SUMIF(75:75,G14,76:76)-SUMIF(75:75,C14,76:76)+100</f>
        <v>100</v>
      </c>
      <c r="I14" s="1021"/>
      <c r="J14" s="780">
        <f>SUMIF(75:75,I14,76:76)-SUMIF(75:75,C14,76:76)+100</f>
        <v>100</v>
      </c>
      <c r="K14" s="188"/>
      <c r="L14" s="2297"/>
      <c r="M14" s="2292"/>
      <c r="N14" s="2292"/>
      <c r="O14" s="2292"/>
      <c r="P14" s="3741"/>
      <c r="Q14" s="2208">
        <f t="shared" si="6"/>
        <v>111</v>
      </c>
      <c r="R14" s="1339" t="s">
        <v>65</v>
      </c>
      <c r="S14" s="1340">
        <f t="shared" si="0"/>
        <v>100</v>
      </c>
      <c r="T14" s="1339" t="s">
        <v>65</v>
      </c>
      <c r="U14" s="1340">
        <f t="shared" si="1"/>
        <v>100</v>
      </c>
      <c r="V14" s="1339" t="s">
        <v>65</v>
      </c>
      <c r="W14" s="1340">
        <f t="shared" si="2"/>
        <v>100</v>
      </c>
      <c r="X14" s="287"/>
      <c r="Y14" s="3528"/>
      <c r="Z14" s="2207">
        <f t="shared" si="7"/>
        <v>111</v>
      </c>
      <c r="AA14" s="1341">
        <f t="shared" si="3"/>
        <v>1</v>
      </c>
      <c r="AB14" s="1341">
        <f t="shared" si="4"/>
        <v>1</v>
      </c>
      <c r="AC14" s="2332">
        <f t="shared" si="5"/>
        <v>1</v>
      </c>
    </row>
    <row r="15" spans="1:29" ht="67.5">
      <c r="A15" s="155" t="s">
        <v>69</v>
      </c>
      <c r="B15" s="1030" t="s">
        <v>142</v>
      </c>
      <c r="C15" s="208" t="str">
        <f>估价对象房地状况!C5</f>
        <v>估价对象，周边办公楼项目较少，入驻率一般，办公集聚程度较差</v>
      </c>
      <c r="D15" s="783">
        <v>100</v>
      </c>
      <c r="E15" s="96"/>
      <c r="F15" s="783">
        <f>SUMIF(77:77,E16,78:78)-SUMIF(77:77,C16,78:78)+100</f>
        <v>100</v>
      </c>
      <c r="G15" s="95"/>
      <c r="H15" s="783">
        <f>SUMIF(77:77,G16,78:78)-SUMIF(77:77,C16,78:78)+100</f>
        <v>100</v>
      </c>
      <c r="I15" s="95"/>
      <c r="J15" s="783">
        <f>SUMIF(77:77,I16,78:78)-SUMIF(77:77,C16,78:78)+100</f>
        <v>100</v>
      </c>
      <c r="K15" s="954"/>
      <c r="L15" s="2297"/>
      <c r="M15" s="2292"/>
      <c r="N15" s="2292"/>
      <c r="O15" s="2292"/>
      <c r="P15" s="3768" t="s">
        <v>69</v>
      </c>
      <c r="Q15" s="2215" t="str">
        <f t="shared" si="6"/>
        <v>办公集聚程度</v>
      </c>
      <c r="R15" s="1348" t="s">
        <v>65</v>
      </c>
      <c r="S15" s="1349">
        <f t="shared" si="0"/>
        <v>100</v>
      </c>
      <c r="T15" s="1348" t="s">
        <v>65</v>
      </c>
      <c r="U15" s="1349">
        <f t="shared" si="1"/>
        <v>100</v>
      </c>
      <c r="V15" s="1348" t="s">
        <v>65</v>
      </c>
      <c r="W15" s="1349">
        <f t="shared" si="2"/>
        <v>100</v>
      </c>
      <c r="X15" s="2217"/>
      <c r="Y15" s="3761" t="s">
        <v>69</v>
      </c>
      <c r="Z15" s="2216" t="str">
        <f t="shared" si="7"/>
        <v>办公集聚程度</v>
      </c>
      <c r="AA15" s="1351">
        <f t="shared" si="3"/>
        <v>1</v>
      </c>
      <c r="AB15" s="1351">
        <f t="shared" si="4"/>
        <v>1</v>
      </c>
      <c r="AC15" s="2333">
        <f t="shared" si="5"/>
        <v>1</v>
      </c>
    </row>
    <row r="16" spans="1:29" ht="14.25">
      <c r="A16" s="151"/>
      <c r="B16" s="209"/>
      <c r="C16" s="192"/>
      <c r="D16" s="790"/>
      <c r="E16" s="97"/>
      <c r="F16" s="790"/>
      <c r="G16" s="192"/>
      <c r="H16" s="792"/>
      <c r="I16" s="97"/>
      <c r="J16" s="790"/>
      <c r="K16" s="189"/>
      <c r="L16" s="2297"/>
      <c r="M16" s="2292"/>
      <c r="N16" s="2292"/>
      <c r="O16" s="2292"/>
      <c r="P16" s="3769"/>
      <c r="Q16" s="2215"/>
      <c r="R16" s="1348"/>
      <c r="S16" s="1349"/>
      <c r="T16" s="1348"/>
      <c r="U16" s="1349"/>
      <c r="V16" s="1348"/>
      <c r="W16" s="1349"/>
      <c r="X16" s="2217"/>
      <c r="Y16" s="3762"/>
      <c r="Z16" s="2216"/>
      <c r="AA16" s="1351">
        <v>1</v>
      </c>
      <c r="AB16" s="1351">
        <v>1</v>
      </c>
      <c r="AC16" s="2333">
        <v>1</v>
      </c>
    </row>
    <row r="17" spans="1:29" ht="108">
      <c r="A17" s="151"/>
      <c r="B17" s="1031" t="s">
        <v>72</v>
      </c>
      <c r="C17" s="210" t="str">
        <f>估价对象房地状况!C6</f>
        <v>估价对象周边道路密集度一般、周边有931、948路等公交线路经过，停车便捷程度较好，综合评价交通便捷度较差。</v>
      </c>
      <c r="D17" s="792">
        <v>100</v>
      </c>
      <c r="E17" s="101"/>
      <c r="F17" s="792">
        <f>SUMIF(79:79,E18,80:80)-SUMIF(79:79,C18,80:80)+100</f>
        <v>100</v>
      </c>
      <c r="G17" s="100"/>
      <c r="H17" s="797">
        <f>SUMIF(79:79,G18,80:80)-SUMIF(79:79,C18,80:80)+100</f>
        <v>100</v>
      </c>
      <c r="I17" s="100"/>
      <c r="J17" s="797">
        <f>SUMIF(79:79,I18,80:80)-SUMIF(79:79,C18,80:80)+100</f>
        <v>100</v>
      </c>
      <c r="K17" s="954"/>
      <c r="L17" s="2297"/>
      <c r="M17" s="2292"/>
      <c r="N17" s="2292"/>
      <c r="O17" s="2292"/>
      <c r="P17" s="3769"/>
      <c r="Q17" s="2215" t="str">
        <f>B17</f>
        <v>交通便捷度</v>
      </c>
      <c r="R17" s="1348" t="s">
        <v>65</v>
      </c>
      <c r="S17" s="1349">
        <f>F17</f>
        <v>100</v>
      </c>
      <c r="T17" s="1348" t="s">
        <v>65</v>
      </c>
      <c r="U17" s="1349">
        <f>H17</f>
        <v>100</v>
      </c>
      <c r="V17" s="1348" t="s">
        <v>65</v>
      </c>
      <c r="W17" s="1349">
        <f>J17</f>
        <v>100</v>
      </c>
      <c r="X17" s="2217"/>
      <c r="Y17" s="3762"/>
      <c r="Z17" s="2216" t="str">
        <f>Q17</f>
        <v>交通便捷度</v>
      </c>
      <c r="AA17" s="1351">
        <f t="shared" si="3"/>
        <v>1</v>
      </c>
      <c r="AB17" s="1351">
        <f t="shared" si="4"/>
        <v>1</v>
      </c>
      <c r="AC17" s="2333">
        <f t="shared" si="5"/>
        <v>1</v>
      </c>
    </row>
    <row r="18" spans="1:29" ht="14.25">
      <c r="A18" s="151"/>
      <c r="B18" s="1032"/>
      <c r="C18" s="193"/>
      <c r="D18" s="792"/>
      <c r="E18" s="104"/>
      <c r="F18" s="792"/>
      <c r="G18" s="103"/>
      <c r="H18" s="790"/>
      <c r="I18" s="103"/>
      <c r="J18" s="790"/>
      <c r="K18" s="189"/>
      <c r="L18" s="2297"/>
      <c r="M18" s="2292"/>
      <c r="N18" s="2292"/>
      <c r="O18" s="2292"/>
      <c r="P18" s="3769"/>
      <c r="Q18" s="2215"/>
      <c r="R18" s="1348"/>
      <c r="S18" s="1349"/>
      <c r="T18" s="1348"/>
      <c r="U18" s="1349"/>
      <c r="V18" s="1348"/>
      <c r="W18" s="1349"/>
      <c r="X18" s="2217"/>
      <c r="Y18" s="3762"/>
      <c r="Z18" s="2216"/>
      <c r="AA18" s="1351">
        <v>1</v>
      </c>
      <c r="AB18" s="1351">
        <v>1</v>
      </c>
      <c r="AC18" s="2333">
        <v>1</v>
      </c>
    </row>
    <row r="19" spans="1:29" ht="108">
      <c r="A19" s="151"/>
      <c r="B19" s="1031" t="s">
        <v>2657</v>
      </c>
      <c r="C19" s="210" t="str">
        <f>估价对象房地状况!C7</f>
        <v>估价对象周边有银行、购物场所、餐饮等配套设施，基础设施水平较高；综合评价公用设施及基础设施水平较差。</v>
      </c>
      <c r="D19" s="797">
        <v>100</v>
      </c>
      <c r="E19" s="106"/>
      <c r="F19" s="797">
        <f>SUMIF(81:81,E20,82:82)-SUMIF(81:81,C20,82:82)+100</f>
        <v>100</v>
      </c>
      <c r="G19" s="105"/>
      <c r="H19" s="792">
        <f>SUMIF(81:81,G20,82:82)-SUMIF(81:81,C20,82:82)+100</f>
        <v>100</v>
      </c>
      <c r="I19" s="105"/>
      <c r="J19" s="792">
        <f>SUMIF(81:81,I20,82:82)-SUMIF(81:81,C20,82:82)+100</f>
        <v>100</v>
      </c>
      <c r="K19" s="954"/>
      <c r="L19" s="2297"/>
      <c r="M19" s="2292"/>
      <c r="N19" s="2292"/>
      <c r="O19" s="2292"/>
      <c r="P19" s="3769"/>
      <c r="Q19" s="2215" t="str">
        <f>B19</f>
        <v>公共配套设施</v>
      </c>
      <c r="R19" s="1348" t="s">
        <v>65</v>
      </c>
      <c r="S19" s="1349">
        <f>F19</f>
        <v>100</v>
      </c>
      <c r="T19" s="1348" t="s">
        <v>65</v>
      </c>
      <c r="U19" s="1349">
        <f>H19</f>
        <v>100</v>
      </c>
      <c r="V19" s="1348" t="s">
        <v>65</v>
      </c>
      <c r="W19" s="1349">
        <f>J19</f>
        <v>100</v>
      </c>
      <c r="X19" s="2217"/>
      <c r="Y19" s="3762"/>
      <c r="Z19" s="2216" t="str">
        <f>Q19</f>
        <v>公共配套设施</v>
      </c>
      <c r="AA19" s="1351">
        <f t="shared" si="3"/>
        <v>1</v>
      </c>
      <c r="AB19" s="1351">
        <f t="shared" si="4"/>
        <v>1</v>
      </c>
      <c r="AC19" s="2333">
        <f t="shared" si="5"/>
        <v>1</v>
      </c>
    </row>
    <row r="20" spans="1:29" ht="14.25">
      <c r="A20" s="151"/>
      <c r="B20" s="1032"/>
      <c r="C20" s="192"/>
      <c r="D20" s="790"/>
      <c r="E20" s="99"/>
      <c r="F20" s="790"/>
      <c r="G20" s="98"/>
      <c r="H20" s="790"/>
      <c r="I20" s="98"/>
      <c r="J20" s="790"/>
      <c r="K20" s="189"/>
      <c r="L20" s="2297"/>
      <c r="M20" s="2292"/>
      <c r="N20" s="2292"/>
      <c r="O20" s="2292"/>
      <c r="P20" s="3769"/>
      <c r="Q20" s="2215"/>
      <c r="R20" s="1348"/>
      <c r="S20" s="1349"/>
      <c r="T20" s="1348"/>
      <c r="U20" s="1349"/>
      <c r="V20" s="1348"/>
      <c r="W20" s="1349"/>
      <c r="X20" s="2217"/>
      <c r="Y20" s="3762"/>
      <c r="Z20" s="2216"/>
      <c r="AA20" s="1351">
        <v>1</v>
      </c>
      <c r="AB20" s="1351">
        <v>1</v>
      </c>
      <c r="AC20" s="2333">
        <v>1</v>
      </c>
    </row>
    <row r="21" spans="1:29" ht="15">
      <c r="A21" s="151"/>
      <c r="B21" s="1033" t="s">
        <v>2658</v>
      </c>
      <c r="C21" s="210" t="str">
        <f>估价对象房地状况!C8</f>
        <v>七通</v>
      </c>
      <c r="D21" s="792">
        <v>100</v>
      </c>
      <c r="E21" s="106"/>
      <c r="F21" s="797">
        <f>SUMIF(83:83,E22,84:84)-SUMIF(83:83,C22,84:84)+100</f>
        <v>100</v>
      </c>
      <c r="G21" s="105"/>
      <c r="H21" s="792">
        <f>SUMIF(83:83,G22,84:84)-SUMIF(83:83,C22,84:84)+100</f>
        <v>100</v>
      </c>
      <c r="I21" s="105"/>
      <c r="J21" s="792">
        <f>SUMIF(83:83,I22,84:84)-SUMIF(83:83,C22,84:84)+100</f>
        <v>100</v>
      </c>
      <c r="K21" s="954"/>
      <c r="L21" s="2297"/>
      <c r="M21" s="2292"/>
      <c r="N21" s="2292"/>
      <c r="O21" s="2292"/>
      <c r="P21" s="3769"/>
      <c r="Q21" s="2742" t="str">
        <f>B21</f>
        <v>基础设施水平</v>
      </c>
      <c r="R21" s="1348" t="s">
        <v>65</v>
      </c>
      <c r="S21" s="1349">
        <f>F21</f>
        <v>100</v>
      </c>
      <c r="T21" s="1348" t="s">
        <v>65</v>
      </c>
      <c r="U21" s="1349">
        <f>H21</f>
        <v>100</v>
      </c>
      <c r="V21" s="1348" t="s">
        <v>65</v>
      </c>
      <c r="W21" s="1349">
        <f>J21</f>
        <v>100</v>
      </c>
      <c r="X21" s="2744"/>
      <c r="Y21" s="3762"/>
      <c r="Z21" s="2743" t="str">
        <f>Q21</f>
        <v>基础设施水平</v>
      </c>
      <c r="AA21" s="1351">
        <f t="shared" ref="AA21" si="8">D21/F21</f>
        <v>1</v>
      </c>
      <c r="AB21" s="1351">
        <f t="shared" ref="AB21" si="9">D21/H21</f>
        <v>1</v>
      </c>
      <c r="AC21" s="2333">
        <f t="shared" ref="AC21" si="10">D21/J21</f>
        <v>1</v>
      </c>
    </row>
    <row r="22" spans="1:29" ht="14.25">
      <c r="A22" s="151"/>
      <c r="B22" s="1033"/>
      <c r="C22" s="193"/>
      <c r="D22" s="790"/>
      <c r="E22" s="97"/>
      <c r="F22" s="790"/>
      <c r="G22" s="192"/>
      <c r="H22" s="790"/>
      <c r="I22" s="192"/>
      <c r="J22" s="790"/>
      <c r="K22" s="2762"/>
      <c r="L22" s="2297"/>
      <c r="M22" s="2292"/>
      <c r="N22" s="2292"/>
      <c r="O22" s="2292"/>
      <c r="P22" s="3769"/>
      <c r="Q22" s="2742"/>
      <c r="R22" s="1348"/>
      <c r="S22" s="1349"/>
      <c r="T22" s="1348"/>
      <c r="U22" s="1349"/>
      <c r="V22" s="1348"/>
      <c r="W22" s="1349"/>
      <c r="X22" s="2744"/>
      <c r="Y22" s="3762"/>
      <c r="Z22" s="2743"/>
      <c r="AA22" s="1351">
        <v>1</v>
      </c>
      <c r="AB22" s="1351">
        <v>1</v>
      </c>
      <c r="AC22" s="2333">
        <v>1</v>
      </c>
    </row>
    <row r="23" spans="1:29" ht="67.5">
      <c r="A23" s="151"/>
      <c r="B23" s="1031" t="s">
        <v>143</v>
      </c>
      <c r="C23" s="210" t="str">
        <f>估价对象房地状况!C9</f>
        <v>临近潭柘寺景区、戒台寺景区，绿化率高，综合评价环境状况较好</v>
      </c>
      <c r="D23" s="792">
        <v>100</v>
      </c>
      <c r="E23" s="101"/>
      <c r="F23" s="792">
        <f>SUMIF(85:85,E24,86:86)-SUMIF(85:85,C24,86:86)+100</f>
        <v>100</v>
      </c>
      <c r="G23" s="100"/>
      <c r="H23" s="792">
        <f>SUMIF(85:85,G24,86:86)-SUMIF(85:85,C24,86:86)+100</f>
        <v>100</v>
      </c>
      <c r="I23" s="100"/>
      <c r="J23" s="792">
        <f>SUMIF(85:85,I24,86:86)-SUMIF(85:85,C24,86:86)+100</f>
        <v>100</v>
      </c>
      <c r="K23" s="954"/>
      <c r="L23" s="2297"/>
      <c r="M23" s="2292"/>
      <c r="N23" s="2292"/>
      <c r="O23" s="2292"/>
      <c r="P23" s="3769"/>
      <c r="Q23" s="2215" t="str">
        <f>B23</f>
        <v>环境质量</v>
      </c>
      <c r="R23" s="1348" t="s">
        <v>65</v>
      </c>
      <c r="S23" s="1349">
        <f>F23</f>
        <v>100</v>
      </c>
      <c r="T23" s="1348" t="s">
        <v>65</v>
      </c>
      <c r="U23" s="1349">
        <f>H23</f>
        <v>100</v>
      </c>
      <c r="V23" s="1348" t="s">
        <v>65</v>
      </c>
      <c r="W23" s="1349">
        <f>J23</f>
        <v>100</v>
      </c>
      <c r="X23" s="2217"/>
      <c r="Y23" s="3762"/>
      <c r="Z23" s="2216" t="str">
        <f>Q23</f>
        <v>环境质量</v>
      </c>
      <c r="AA23" s="1351">
        <f t="shared" si="3"/>
        <v>1</v>
      </c>
      <c r="AB23" s="1351">
        <f t="shared" si="4"/>
        <v>1</v>
      </c>
      <c r="AC23" s="2333">
        <f t="shared" si="5"/>
        <v>1</v>
      </c>
    </row>
    <row r="24" spans="1:29" ht="14.25">
      <c r="A24" s="151"/>
      <c r="B24" s="1033"/>
      <c r="C24" s="192"/>
      <c r="D24" s="790"/>
      <c r="E24" s="99"/>
      <c r="F24" s="790"/>
      <c r="G24" s="98"/>
      <c r="H24" s="790"/>
      <c r="I24" s="98"/>
      <c r="J24" s="790"/>
      <c r="K24" s="189"/>
      <c r="L24" s="2297"/>
      <c r="M24" s="2292"/>
      <c r="N24" s="2292"/>
      <c r="O24" s="2292"/>
      <c r="P24" s="3769"/>
      <c r="Q24" s="2215"/>
      <c r="R24" s="1348"/>
      <c r="S24" s="1349"/>
      <c r="T24" s="1348"/>
      <c r="U24" s="1349"/>
      <c r="V24" s="1348"/>
      <c r="W24" s="1349"/>
      <c r="X24" s="2217"/>
      <c r="Y24" s="3762"/>
      <c r="Z24" s="2216"/>
      <c r="AA24" s="1351">
        <v>1</v>
      </c>
      <c r="AB24" s="1351">
        <v>1</v>
      </c>
      <c r="AC24" s="2333">
        <v>1</v>
      </c>
    </row>
    <row r="25" spans="1:29" ht="27">
      <c r="A25" s="146"/>
      <c r="B25" s="1031" t="s">
        <v>144</v>
      </c>
      <c r="C25" s="194"/>
      <c r="D25" s="777">
        <v>100</v>
      </c>
      <c r="E25" s="93"/>
      <c r="F25" s="777">
        <f>SUMIF(87:87,E26,88:88)-SUMIF(87:87,C26,88:88)+100</f>
        <v>100</v>
      </c>
      <c r="G25" s="194"/>
      <c r="H25" s="777">
        <f>SUMIF(87:87,G26,88:88)-SUMIF(87:87,C26,88:88)+100</f>
        <v>100</v>
      </c>
      <c r="I25" s="93"/>
      <c r="J25" s="777">
        <f>SUMIF(87:87,I26,88:88)-SUMIF(87:87,C26,88:88)+100</f>
        <v>100</v>
      </c>
      <c r="K25" s="954"/>
      <c r="L25" s="2297"/>
      <c r="M25" s="2292"/>
      <c r="N25" s="2292"/>
      <c r="O25" s="2292"/>
      <c r="P25" s="3769"/>
      <c r="Q25" s="2215" t="str">
        <f>B25</f>
        <v>毗邻道路的类型与等级</v>
      </c>
      <c r="R25" s="1348" t="s">
        <v>65</v>
      </c>
      <c r="S25" s="1349">
        <f>F25</f>
        <v>100</v>
      </c>
      <c r="T25" s="1348" t="s">
        <v>65</v>
      </c>
      <c r="U25" s="1349">
        <f>H25</f>
        <v>100</v>
      </c>
      <c r="V25" s="1348" t="s">
        <v>65</v>
      </c>
      <c r="W25" s="1349">
        <f>J25</f>
        <v>100</v>
      </c>
      <c r="X25" s="2217"/>
      <c r="Y25" s="3762"/>
      <c r="Z25" s="2216" t="str">
        <f>Q25</f>
        <v>毗邻道路的类型与等级</v>
      </c>
      <c r="AA25" s="1351">
        <f t="shared" si="3"/>
        <v>1</v>
      </c>
      <c r="AB25" s="1351">
        <f t="shared" si="4"/>
        <v>1</v>
      </c>
      <c r="AC25" s="2333">
        <f t="shared" si="5"/>
        <v>1</v>
      </c>
    </row>
    <row r="26" spans="1:29" ht="14.25">
      <c r="A26" s="146"/>
      <c r="B26" s="1032"/>
      <c r="C26" s="195"/>
      <c r="D26" s="777"/>
      <c r="E26" s="182"/>
      <c r="F26" s="777"/>
      <c r="G26" s="195"/>
      <c r="H26" s="777"/>
      <c r="I26" s="182"/>
      <c r="J26" s="777"/>
      <c r="K26" s="189"/>
      <c r="L26" s="2297"/>
      <c r="M26" s="2292"/>
      <c r="N26" s="2292"/>
      <c r="O26" s="2292"/>
      <c r="P26" s="3769"/>
      <c r="Q26" s="2215"/>
      <c r="R26" s="1348"/>
      <c r="S26" s="1349"/>
      <c r="T26" s="1348"/>
      <c r="U26" s="1349"/>
      <c r="V26" s="1348"/>
      <c r="W26" s="1349"/>
      <c r="X26" s="2217"/>
      <c r="Y26" s="3762"/>
      <c r="Z26" s="2216"/>
      <c r="AA26" s="1351">
        <v>1</v>
      </c>
      <c r="AB26" s="1351">
        <v>1</v>
      </c>
      <c r="AC26" s="2333">
        <v>1</v>
      </c>
    </row>
    <row r="27" spans="1:29" ht="15">
      <c r="A27" s="151"/>
      <c r="B27" s="1032" t="s">
        <v>1081</v>
      </c>
      <c r="C27" s="195"/>
      <c r="D27" s="777">
        <v>100</v>
      </c>
      <c r="E27" s="182"/>
      <c r="F27" s="777">
        <f>SUMIF(89:89,E27,90:90)-SUMIF(89:89,C27,90:90)+100</f>
        <v>100</v>
      </c>
      <c r="G27" s="195"/>
      <c r="H27" s="777">
        <f>SUMIF(89:89,G27,90:90)-SUMIF(89:89,C27,90:90)+100</f>
        <v>100</v>
      </c>
      <c r="I27" s="182"/>
      <c r="J27" s="777">
        <f>SUMIF(89:89,I27,90:90)-SUMIF(89:89,C27,90:90)+100</f>
        <v>100</v>
      </c>
      <c r="K27" s="952"/>
      <c r="L27" s="2297"/>
      <c r="M27" s="2292"/>
      <c r="N27" s="2292"/>
      <c r="O27" s="2292"/>
      <c r="P27" s="3769"/>
      <c r="Q27" s="2215" t="str">
        <f t="shared" ref="Q27:Q47" si="11">B27</f>
        <v>楼层</v>
      </c>
      <c r="R27" s="1348" t="s">
        <v>65</v>
      </c>
      <c r="S27" s="1349">
        <f>F27</f>
        <v>100</v>
      </c>
      <c r="T27" s="1348" t="s">
        <v>65</v>
      </c>
      <c r="U27" s="1349">
        <f>H27</f>
        <v>100</v>
      </c>
      <c r="V27" s="1348" t="s">
        <v>65</v>
      </c>
      <c r="W27" s="1349">
        <f>J27</f>
        <v>100</v>
      </c>
      <c r="X27" s="2217"/>
      <c r="Y27" s="3762"/>
      <c r="Z27" s="2216" t="str">
        <f>Q27</f>
        <v>楼层</v>
      </c>
      <c r="AA27" s="1351">
        <f t="shared" si="3"/>
        <v>1</v>
      </c>
      <c r="AB27" s="1351">
        <f t="shared" si="4"/>
        <v>1</v>
      </c>
      <c r="AC27" s="2333">
        <f t="shared" si="5"/>
        <v>1</v>
      </c>
    </row>
    <row r="28" spans="1:29" s="40" customFormat="1" ht="15">
      <c r="A28" s="1027"/>
      <c r="B28" s="1031" t="s">
        <v>145</v>
      </c>
      <c r="C28" s="1401"/>
      <c r="D28" s="804">
        <v>100</v>
      </c>
      <c r="E28" s="1383"/>
      <c r="F28" s="804">
        <f>SUMIF(91:91,E28,92:92)-SUMIF(91:91,C28,92:92)+100</f>
        <v>100</v>
      </c>
      <c r="G28" s="1401"/>
      <c r="H28" s="804">
        <f>SUMIF(91:91,G28,92:92)-SUMIF(91:91,C28,92:92)+100</f>
        <v>100</v>
      </c>
      <c r="I28" s="1383"/>
      <c r="J28" s="804">
        <f>SUMIF(91:91,I28,92:92)-SUMIF(91:91,C28,92:92)+100</f>
        <v>100</v>
      </c>
      <c r="K28" s="952"/>
      <c r="L28" s="2293"/>
      <c r="M28" s="2255"/>
      <c r="N28" s="2255"/>
      <c r="O28" s="2255"/>
      <c r="P28" s="3769"/>
      <c r="Q28" s="2208" t="str">
        <f t="shared" si="11"/>
        <v>朝向</v>
      </c>
      <c r="R28" s="1339" t="s">
        <v>65</v>
      </c>
      <c r="S28" s="1340">
        <f>F28</f>
        <v>100</v>
      </c>
      <c r="T28" s="1339" t="s">
        <v>65</v>
      </c>
      <c r="U28" s="1340">
        <f>H28</f>
        <v>100</v>
      </c>
      <c r="V28" s="1339" t="s">
        <v>65</v>
      </c>
      <c r="W28" s="1340">
        <f>J28</f>
        <v>100</v>
      </c>
      <c r="X28" s="287"/>
      <c r="Y28" s="3762"/>
      <c r="Z28" s="2207" t="str">
        <f>Q28</f>
        <v>朝向</v>
      </c>
      <c r="AA28" s="1351">
        <f>D28/F28</f>
        <v>1</v>
      </c>
      <c r="AB28" s="1351">
        <f>D28/H28</f>
        <v>1</v>
      </c>
      <c r="AC28" s="2333">
        <f>D28/J28</f>
        <v>1</v>
      </c>
    </row>
    <row r="29" spans="1:29" ht="14.25">
      <c r="A29" s="151"/>
      <c r="B29" s="1035">
        <v>111</v>
      </c>
      <c r="C29" s="194"/>
      <c r="D29" s="777">
        <v>100</v>
      </c>
      <c r="E29" s="1021"/>
      <c r="F29" s="777">
        <f>SUMIF(93:93,E29,94:94)-SUMIF(93:93,C29,94:94)+100</f>
        <v>100</v>
      </c>
      <c r="G29" s="1399"/>
      <c r="H29" s="777">
        <f>SUMIF(93:93,G29,94:94)-SUMIF(93:93,C29,94:94)+100</f>
        <v>100</v>
      </c>
      <c r="I29" s="1021"/>
      <c r="J29" s="777">
        <f>SUMIF(93:93,I29,94:94)-SUMIF(93:93,C29,94:94)+100</f>
        <v>100</v>
      </c>
      <c r="K29" s="188"/>
      <c r="L29" s="2297"/>
      <c r="M29" s="2292"/>
      <c r="N29" s="2292"/>
      <c r="O29" s="2292"/>
      <c r="P29" s="3769"/>
      <c r="Q29" s="2215">
        <f t="shared" si="11"/>
        <v>111</v>
      </c>
      <c r="R29" s="1348" t="s">
        <v>65</v>
      </c>
      <c r="S29" s="1349">
        <f t="shared" ref="S29:S47" si="12">F29</f>
        <v>100</v>
      </c>
      <c r="T29" s="1348" t="s">
        <v>65</v>
      </c>
      <c r="U29" s="1349">
        <f t="shared" ref="U29:U47" si="13">H29</f>
        <v>100</v>
      </c>
      <c r="V29" s="1348" t="s">
        <v>65</v>
      </c>
      <c r="W29" s="1349">
        <f t="shared" ref="W29:W47" si="14">J29</f>
        <v>100</v>
      </c>
      <c r="X29" s="2217"/>
      <c r="Y29" s="3762"/>
      <c r="Z29" s="2216">
        <f t="shared" ref="Z29:Z47" si="15">Q29</f>
        <v>111</v>
      </c>
      <c r="AA29" s="1351">
        <f t="shared" si="3"/>
        <v>1</v>
      </c>
      <c r="AB29" s="1351">
        <f t="shared" si="4"/>
        <v>1</v>
      </c>
      <c r="AC29" s="2333">
        <f t="shared" si="5"/>
        <v>1</v>
      </c>
    </row>
    <row r="30" spans="1:29" ht="14.25">
      <c r="A30" s="151"/>
      <c r="B30" s="1035">
        <v>111</v>
      </c>
      <c r="C30" s="194"/>
      <c r="D30" s="777">
        <v>100</v>
      </c>
      <c r="E30" s="1021"/>
      <c r="F30" s="777">
        <f>SUMIF(95:95,E30,96:96)-SUMIF(95:95,C30,96:96)+100</f>
        <v>100</v>
      </c>
      <c r="G30" s="1399"/>
      <c r="H30" s="777">
        <f>SUMIF(95:95,G30,96:96)-SUMIF(95:95,C30,96:96)+100</f>
        <v>100</v>
      </c>
      <c r="I30" s="1021"/>
      <c r="J30" s="777">
        <f>SUMIF(95:95,I30,96:96)-SUMIF(95:95,C30,96:96)+100</f>
        <v>100</v>
      </c>
      <c r="K30" s="188"/>
      <c r="L30" s="2297"/>
      <c r="M30" s="2292"/>
      <c r="N30" s="2292"/>
      <c r="O30" s="2292"/>
      <c r="P30" s="3769"/>
      <c r="Q30" s="2215">
        <f t="shared" si="11"/>
        <v>111</v>
      </c>
      <c r="R30" s="1348" t="s">
        <v>65</v>
      </c>
      <c r="S30" s="1349">
        <f t="shared" si="12"/>
        <v>100</v>
      </c>
      <c r="T30" s="1348" t="s">
        <v>65</v>
      </c>
      <c r="U30" s="1349">
        <f t="shared" si="13"/>
        <v>100</v>
      </c>
      <c r="V30" s="1348" t="s">
        <v>65</v>
      </c>
      <c r="W30" s="1349">
        <f t="shared" si="14"/>
        <v>100</v>
      </c>
      <c r="X30" s="2217"/>
      <c r="Y30" s="3762"/>
      <c r="Z30" s="2216">
        <f t="shared" si="15"/>
        <v>111</v>
      </c>
      <c r="AA30" s="1351">
        <f t="shared" si="3"/>
        <v>1</v>
      </c>
      <c r="AB30" s="1351">
        <f t="shared" si="4"/>
        <v>1</v>
      </c>
      <c r="AC30" s="2333">
        <f t="shared" si="5"/>
        <v>1</v>
      </c>
    </row>
    <row r="31" spans="1:29" ht="14.25">
      <c r="A31" s="151"/>
      <c r="B31" s="1035">
        <v>111</v>
      </c>
      <c r="C31" s="194"/>
      <c r="D31" s="777">
        <v>100</v>
      </c>
      <c r="E31" s="1021"/>
      <c r="F31" s="777">
        <f>SUMIF(97:97,E31,98:98)-SUMIF(97:97,C31,98:98)+100</f>
        <v>100</v>
      </c>
      <c r="G31" s="1399"/>
      <c r="H31" s="777">
        <f>SUMIF(97:97,G31,98:98)-SUMIF(97:97,C31,98:98)+100</f>
        <v>100</v>
      </c>
      <c r="I31" s="1021"/>
      <c r="J31" s="777">
        <f>SUMIF(97:97,I31,98:98)-SUMIF(97:97,C31,98:98)+100</f>
        <v>100</v>
      </c>
      <c r="K31" s="188"/>
      <c r="L31" s="2297"/>
      <c r="M31" s="2292"/>
      <c r="N31" s="2292"/>
      <c r="O31" s="2292"/>
      <c r="P31" s="3769"/>
      <c r="Q31" s="2215">
        <f t="shared" si="11"/>
        <v>111</v>
      </c>
      <c r="R31" s="1348" t="s">
        <v>65</v>
      </c>
      <c r="S31" s="1349">
        <f t="shared" si="12"/>
        <v>100</v>
      </c>
      <c r="T31" s="1348" t="s">
        <v>65</v>
      </c>
      <c r="U31" s="1349">
        <f t="shared" si="13"/>
        <v>100</v>
      </c>
      <c r="V31" s="1348" t="s">
        <v>65</v>
      </c>
      <c r="W31" s="1349">
        <f t="shared" si="14"/>
        <v>100</v>
      </c>
      <c r="X31" s="2217"/>
      <c r="Y31" s="3762"/>
      <c r="Z31" s="2216">
        <f t="shared" si="15"/>
        <v>111</v>
      </c>
      <c r="AA31" s="1351">
        <f t="shared" si="3"/>
        <v>1</v>
      </c>
      <c r="AB31" s="1351">
        <f t="shared" si="4"/>
        <v>1</v>
      </c>
      <c r="AC31" s="2333">
        <f t="shared" si="5"/>
        <v>1</v>
      </c>
    </row>
    <row r="32" spans="1:29" ht="15" thickBot="1">
      <c r="A32" s="154"/>
      <c r="B32" s="1402">
        <v>111</v>
      </c>
      <c r="C32" s="196"/>
      <c r="D32" s="780">
        <v>100</v>
      </c>
      <c r="E32" s="1400"/>
      <c r="F32" s="780">
        <f>SUMIF(99:99,E32,100:100)-SUMIF(99:99,C32,100:100)+100</f>
        <v>100</v>
      </c>
      <c r="G32" s="1399"/>
      <c r="H32" s="780">
        <f>SUMIF(99:99,G32,100:100)-SUMIF(99:99,C32,100:100)+100</f>
        <v>100</v>
      </c>
      <c r="I32" s="1021"/>
      <c r="J32" s="780">
        <f>SUMIF(99:99,I32,100:100)-SUMIF(99:99,C32,100:100)+100</f>
        <v>100</v>
      </c>
      <c r="K32" s="188"/>
      <c r="L32" s="2297"/>
      <c r="M32" s="2292"/>
      <c r="N32" s="2292"/>
      <c r="O32" s="2292"/>
      <c r="P32" s="3769"/>
      <c r="Q32" s="2215">
        <f t="shared" si="11"/>
        <v>111</v>
      </c>
      <c r="R32" s="1348" t="s">
        <v>65</v>
      </c>
      <c r="S32" s="1349">
        <f t="shared" si="12"/>
        <v>100</v>
      </c>
      <c r="T32" s="1348" t="s">
        <v>65</v>
      </c>
      <c r="U32" s="1349">
        <f t="shared" si="13"/>
        <v>100</v>
      </c>
      <c r="V32" s="1348" t="s">
        <v>65</v>
      </c>
      <c r="W32" s="1349">
        <f t="shared" si="14"/>
        <v>100</v>
      </c>
      <c r="X32" s="2217"/>
      <c r="Y32" s="3762"/>
      <c r="Z32" s="2216">
        <f t="shared" si="15"/>
        <v>111</v>
      </c>
      <c r="AA32" s="1351">
        <f t="shared" si="3"/>
        <v>1</v>
      </c>
      <c r="AB32" s="1351">
        <f t="shared" si="4"/>
        <v>1</v>
      </c>
      <c r="AC32" s="2333">
        <f t="shared" si="5"/>
        <v>1</v>
      </c>
    </row>
    <row r="33" spans="1:29" ht="15">
      <c r="A33" s="155" t="s">
        <v>1082</v>
      </c>
      <c r="B33" s="62" t="s">
        <v>1083</v>
      </c>
      <c r="C33" s="197"/>
      <c r="D33" s="807">
        <v>100</v>
      </c>
      <c r="E33" s="197"/>
      <c r="F33" s="803">
        <f>SUMIF(101:101,E33,102:102)-SUMIF(101:101,C33,102:102)+100</f>
        <v>100</v>
      </c>
      <c r="G33" s="197"/>
      <c r="H33" s="777">
        <f>SUMIF(101:101,G33,102:102)-SUMIF(101:101,C33,102:102)+100</f>
        <v>100</v>
      </c>
      <c r="I33" s="197"/>
      <c r="J33" s="807">
        <f>SUMIF(101:101,I33,102:102)-SUMIF(101:101,C33,102:102)+100</f>
        <v>100</v>
      </c>
      <c r="K33" s="952"/>
      <c r="L33" s="2297"/>
      <c r="M33" s="2292"/>
      <c r="N33" s="2292"/>
      <c r="O33" s="2292"/>
      <c r="P33" s="3763" t="s">
        <v>1084</v>
      </c>
      <c r="Q33" s="2215" t="str">
        <f t="shared" si="11"/>
        <v>建筑类型</v>
      </c>
      <c r="R33" s="1348" t="s">
        <v>65</v>
      </c>
      <c r="S33" s="1349">
        <f t="shared" si="12"/>
        <v>100</v>
      </c>
      <c r="T33" s="1348" t="s">
        <v>65</v>
      </c>
      <c r="U33" s="1349">
        <f t="shared" si="13"/>
        <v>100</v>
      </c>
      <c r="V33" s="1348" t="s">
        <v>65</v>
      </c>
      <c r="W33" s="1349">
        <f t="shared" si="14"/>
        <v>100</v>
      </c>
      <c r="X33" s="2217"/>
      <c r="Y33" s="3766" t="s">
        <v>1084</v>
      </c>
      <c r="Z33" s="2216" t="str">
        <f t="shared" si="15"/>
        <v>建筑类型</v>
      </c>
      <c r="AA33" s="1351">
        <f t="shared" si="3"/>
        <v>1</v>
      </c>
      <c r="AB33" s="1351">
        <f t="shared" si="4"/>
        <v>1</v>
      </c>
      <c r="AC33" s="2333">
        <f t="shared" si="5"/>
        <v>1</v>
      </c>
    </row>
    <row r="34" spans="1:29" s="1036" customFormat="1" ht="14.25">
      <c r="A34" s="1040"/>
      <c r="B34" s="12" t="s">
        <v>76</v>
      </c>
      <c r="C34" s="809"/>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6"/>
      <c r="M34" s="2298"/>
      <c r="N34" s="2298"/>
      <c r="O34" s="2298"/>
      <c r="P34" s="3764"/>
      <c r="Q34" s="1355" t="str">
        <f t="shared" si="11"/>
        <v>项目建筑规模</v>
      </c>
      <c r="R34" s="1356" t="s">
        <v>65</v>
      </c>
      <c r="S34" s="1357" t="e">
        <f t="shared" si="12"/>
        <v>#N/A</v>
      </c>
      <c r="T34" s="1356" t="s">
        <v>65</v>
      </c>
      <c r="U34" s="1357" t="e">
        <f t="shared" si="13"/>
        <v>#N/A</v>
      </c>
      <c r="V34" s="1356" t="s">
        <v>65</v>
      </c>
      <c r="W34" s="1357" t="e">
        <f t="shared" si="14"/>
        <v>#N/A</v>
      </c>
      <c r="X34" s="1358"/>
      <c r="Y34" s="3766"/>
      <c r="Z34" s="1359" t="str">
        <f t="shared" si="15"/>
        <v>项目建筑规模</v>
      </c>
      <c r="AA34" s="1351" t="e">
        <f t="shared" si="3"/>
        <v>#N/A</v>
      </c>
      <c r="AB34" s="1351" t="e">
        <f t="shared" si="4"/>
        <v>#N/A</v>
      </c>
      <c r="AC34" s="2333"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2"/>
      <c r="L35" s="2297"/>
      <c r="M35" s="2292"/>
      <c r="N35" s="2292"/>
      <c r="O35" s="2292"/>
      <c r="P35" s="3764"/>
      <c r="Q35" s="2215" t="str">
        <f t="shared" si="11"/>
        <v>建筑结构</v>
      </c>
      <c r="R35" s="1348" t="s">
        <v>65</v>
      </c>
      <c r="S35" s="1349">
        <f t="shared" si="12"/>
        <v>100</v>
      </c>
      <c r="T35" s="1348" t="s">
        <v>65</v>
      </c>
      <c r="U35" s="1349">
        <f t="shared" si="13"/>
        <v>100</v>
      </c>
      <c r="V35" s="1348" t="s">
        <v>65</v>
      </c>
      <c r="W35" s="1349">
        <f t="shared" si="14"/>
        <v>100</v>
      </c>
      <c r="X35" s="2217"/>
      <c r="Y35" s="3766"/>
      <c r="Z35" s="2216" t="str">
        <f t="shared" si="15"/>
        <v>建筑结构</v>
      </c>
      <c r="AA35" s="1351">
        <f t="shared" si="3"/>
        <v>1</v>
      </c>
      <c r="AB35" s="1351">
        <f t="shared" si="4"/>
        <v>1</v>
      </c>
      <c r="AC35" s="2333">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2"/>
      <c r="L36" s="2297"/>
      <c r="M36" s="2292"/>
      <c r="N36" s="2292"/>
      <c r="O36" s="2292"/>
      <c r="P36" s="3764"/>
      <c r="Q36" s="2215" t="str">
        <f t="shared" si="11"/>
        <v>公共部分装修</v>
      </c>
      <c r="R36" s="1348" t="s">
        <v>65</v>
      </c>
      <c r="S36" s="1349">
        <f t="shared" si="12"/>
        <v>100</v>
      </c>
      <c r="T36" s="1348" t="s">
        <v>65</v>
      </c>
      <c r="U36" s="1349">
        <f t="shared" si="13"/>
        <v>100</v>
      </c>
      <c r="V36" s="1348" t="s">
        <v>65</v>
      </c>
      <c r="W36" s="1349">
        <f t="shared" si="14"/>
        <v>100</v>
      </c>
      <c r="X36" s="2217"/>
      <c r="Y36" s="3766"/>
      <c r="Z36" s="2216" t="str">
        <f t="shared" si="15"/>
        <v>公共部分装修</v>
      </c>
      <c r="AA36" s="1351">
        <f t="shared" si="3"/>
        <v>1</v>
      </c>
      <c r="AB36" s="1351">
        <f t="shared" si="4"/>
        <v>1</v>
      </c>
      <c r="AC36" s="2333">
        <f t="shared" si="5"/>
        <v>1</v>
      </c>
    </row>
    <row r="37" spans="1:29" ht="15">
      <c r="A37" s="161"/>
      <c r="B37" s="12" t="s">
        <v>134</v>
      </c>
      <c r="C37" s="814"/>
      <c r="D37" s="777">
        <v>100</v>
      </c>
      <c r="E37" s="814"/>
      <c r="F37" s="803" t="e">
        <f>LOOKUP(E37,111:111,112:112)-LOOKUP(C37,111:111,112:112)+100</f>
        <v>#N/A</v>
      </c>
      <c r="G37" s="814"/>
      <c r="H37" s="803" t="e">
        <f>LOOKUP(G37,111:111,112:112)-LOOKUP(C37,111:111,112:112)+100</f>
        <v>#N/A</v>
      </c>
      <c r="I37" s="814"/>
      <c r="J37" s="777" t="e">
        <f>LOOKUP(I37,111:111,112:112)-LOOKUP(C37,111:111,112:112)+100</f>
        <v>#N/A</v>
      </c>
      <c r="K37" s="952"/>
      <c r="L37" s="2297"/>
      <c r="M37" s="2292"/>
      <c r="N37" s="2292"/>
      <c r="O37" s="2292"/>
      <c r="P37" s="3764"/>
      <c r="Q37" s="2215" t="str">
        <f t="shared" si="11"/>
        <v>成新度</v>
      </c>
      <c r="R37" s="1348" t="s">
        <v>65</v>
      </c>
      <c r="S37" s="1349" t="e">
        <f t="shared" si="12"/>
        <v>#N/A</v>
      </c>
      <c r="T37" s="1348" t="s">
        <v>65</v>
      </c>
      <c r="U37" s="1349" t="e">
        <f t="shared" si="13"/>
        <v>#N/A</v>
      </c>
      <c r="V37" s="1348" t="s">
        <v>65</v>
      </c>
      <c r="W37" s="1349" t="e">
        <f t="shared" si="14"/>
        <v>#N/A</v>
      </c>
      <c r="X37" s="2217"/>
      <c r="Y37" s="3766"/>
      <c r="Z37" s="2216" t="str">
        <f t="shared" si="15"/>
        <v>成新度</v>
      </c>
      <c r="AA37" s="1351" t="e">
        <f t="shared" si="3"/>
        <v>#N/A</v>
      </c>
      <c r="AB37" s="1351" t="e">
        <f t="shared" si="4"/>
        <v>#N/A</v>
      </c>
      <c r="AC37" s="2333" t="e">
        <f t="shared" si="5"/>
        <v>#N/A</v>
      </c>
    </row>
    <row r="38" spans="1:29" s="40" customFormat="1" ht="15">
      <c r="A38" s="1038"/>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2"/>
      <c r="L38" s="2293"/>
      <c r="M38" s="2255"/>
      <c r="N38" s="2255"/>
      <c r="O38" s="2255"/>
      <c r="P38" s="3764"/>
      <c r="Q38" s="2208" t="str">
        <f t="shared" si="11"/>
        <v>写字楼等级</v>
      </c>
      <c r="R38" s="1339" t="s">
        <v>65</v>
      </c>
      <c r="S38" s="1340">
        <f t="shared" si="12"/>
        <v>100</v>
      </c>
      <c r="T38" s="1339" t="s">
        <v>65</v>
      </c>
      <c r="U38" s="1340">
        <f t="shared" si="13"/>
        <v>100</v>
      </c>
      <c r="V38" s="1339" t="s">
        <v>65</v>
      </c>
      <c r="W38" s="1340">
        <f t="shared" si="14"/>
        <v>100</v>
      </c>
      <c r="X38" s="287"/>
      <c r="Y38" s="3766"/>
      <c r="Z38" s="2207" t="str">
        <f t="shared" si="15"/>
        <v>写字楼等级</v>
      </c>
      <c r="AA38" s="1341">
        <f t="shared" si="3"/>
        <v>1</v>
      </c>
      <c r="AB38" s="1341">
        <f t="shared" si="4"/>
        <v>1</v>
      </c>
      <c r="AC38" s="2332">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2"/>
      <c r="L39" s="2297"/>
      <c r="M39" s="2292"/>
      <c r="N39" s="2292"/>
      <c r="O39" s="2292"/>
      <c r="P39" s="3764" t="s">
        <v>70</v>
      </c>
      <c r="Q39" s="2215" t="str">
        <f t="shared" si="11"/>
        <v>物业管理</v>
      </c>
      <c r="R39" s="1348" t="s">
        <v>65</v>
      </c>
      <c r="S39" s="1349">
        <f t="shared" si="12"/>
        <v>100</v>
      </c>
      <c r="T39" s="1348" t="s">
        <v>65</v>
      </c>
      <c r="U39" s="1349">
        <f t="shared" si="13"/>
        <v>100</v>
      </c>
      <c r="V39" s="1348" t="s">
        <v>65</v>
      </c>
      <c r="W39" s="1349">
        <f t="shared" si="14"/>
        <v>100</v>
      </c>
      <c r="X39" s="2217"/>
      <c r="Y39" s="3766" t="s">
        <v>70</v>
      </c>
      <c r="Z39" s="2216" t="str">
        <f t="shared" si="15"/>
        <v>物业管理</v>
      </c>
      <c r="AA39" s="1351">
        <f t="shared" si="3"/>
        <v>1</v>
      </c>
      <c r="AB39" s="1351">
        <f t="shared" si="4"/>
        <v>1</v>
      </c>
      <c r="AC39" s="2333">
        <f t="shared" si="5"/>
        <v>1</v>
      </c>
    </row>
    <row r="40" spans="1:29" ht="15">
      <c r="A40" s="161"/>
      <c r="B40" s="12" t="s">
        <v>2650</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2"/>
      <c r="L40" s="2297"/>
      <c r="M40" s="2292"/>
      <c r="N40" s="2292"/>
      <c r="O40" s="2292"/>
      <c r="P40" s="3764"/>
      <c r="Q40" s="2215" t="str">
        <f t="shared" si="11"/>
        <v>市政基础设施</v>
      </c>
      <c r="R40" s="1348" t="s">
        <v>65</v>
      </c>
      <c r="S40" s="1349">
        <f t="shared" si="12"/>
        <v>100</v>
      </c>
      <c r="T40" s="1348" t="s">
        <v>65</v>
      </c>
      <c r="U40" s="1349">
        <f t="shared" si="13"/>
        <v>100</v>
      </c>
      <c r="V40" s="1348" t="s">
        <v>65</v>
      </c>
      <c r="W40" s="1349">
        <f t="shared" si="14"/>
        <v>100</v>
      </c>
      <c r="X40" s="2217"/>
      <c r="Y40" s="3766"/>
      <c r="Z40" s="2216" t="str">
        <f t="shared" si="15"/>
        <v>市政基础设施</v>
      </c>
      <c r="AA40" s="1351">
        <f t="shared" si="3"/>
        <v>1</v>
      </c>
      <c r="AB40" s="1351">
        <f t="shared" si="4"/>
        <v>1</v>
      </c>
      <c r="AC40" s="2333">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2"/>
      <c r="L41" s="2297"/>
      <c r="M41" s="2292"/>
      <c r="N41" s="2292"/>
      <c r="O41" s="2292"/>
      <c r="P41" s="3764"/>
      <c r="Q41" s="2215" t="str">
        <f t="shared" si="11"/>
        <v>层高</v>
      </c>
      <c r="R41" s="1348" t="s">
        <v>65</v>
      </c>
      <c r="S41" s="1349">
        <f t="shared" si="12"/>
        <v>100</v>
      </c>
      <c r="T41" s="1348" t="s">
        <v>65</v>
      </c>
      <c r="U41" s="1349">
        <f t="shared" si="13"/>
        <v>100</v>
      </c>
      <c r="V41" s="1348" t="s">
        <v>65</v>
      </c>
      <c r="W41" s="1349">
        <f t="shared" si="14"/>
        <v>100</v>
      </c>
      <c r="X41" s="2217"/>
      <c r="Y41" s="3766"/>
      <c r="Z41" s="2216" t="str">
        <f t="shared" si="15"/>
        <v>层高</v>
      </c>
      <c r="AA41" s="1351">
        <f t="shared" si="3"/>
        <v>1</v>
      </c>
      <c r="AB41" s="1351">
        <f t="shared" si="4"/>
        <v>1</v>
      </c>
      <c r="AC41" s="2333">
        <f t="shared" si="5"/>
        <v>1</v>
      </c>
    </row>
    <row r="42" spans="1:29" s="1036" customFormat="1" ht="14.25">
      <c r="A42" s="1040"/>
      <c r="B42" s="191" t="s">
        <v>1085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6"/>
      <c r="M42" s="2298"/>
      <c r="N42" s="2298"/>
      <c r="O42" s="2298"/>
      <c r="P42" s="3764"/>
      <c r="Q42" s="1355" t="str">
        <f t="shared" si="11"/>
        <v>单套建筑面积</v>
      </c>
      <c r="R42" s="1356" t="s">
        <v>65</v>
      </c>
      <c r="S42" s="1357">
        <f t="shared" si="12"/>
        <v>100</v>
      </c>
      <c r="T42" s="1356" t="s">
        <v>65</v>
      </c>
      <c r="U42" s="1357">
        <f t="shared" si="13"/>
        <v>100</v>
      </c>
      <c r="V42" s="1356" t="s">
        <v>65</v>
      </c>
      <c r="W42" s="1357">
        <f t="shared" si="14"/>
        <v>100</v>
      </c>
      <c r="X42" s="1358"/>
      <c r="Y42" s="3766"/>
      <c r="Z42" s="1359" t="str">
        <f t="shared" si="15"/>
        <v>单套建筑面积</v>
      </c>
      <c r="AA42" s="1351">
        <f t="shared" si="3"/>
        <v>1</v>
      </c>
      <c r="AB42" s="1351">
        <f t="shared" si="4"/>
        <v>1</v>
      </c>
      <c r="AC42" s="2333">
        <f t="shared" si="5"/>
        <v>1</v>
      </c>
    </row>
    <row r="43" spans="1:29" ht="15">
      <c r="A43" s="161"/>
      <c r="B43" s="12" t="s">
        <v>1086</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2"/>
      <c r="L43" s="2297"/>
      <c r="M43" s="2292"/>
      <c r="N43" s="2292"/>
      <c r="O43" s="2292"/>
      <c r="P43" s="3764"/>
      <c r="Q43" s="2215" t="str">
        <f t="shared" si="11"/>
        <v>内部装修</v>
      </c>
      <c r="R43" s="1348" t="s">
        <v>65</v>
      </c>
      <c r="S43" s="1349">
        <f t="shared" si="12"/>
        <v>100</v>
      </c>
      <c r="T43" s="1348" t="s">
        <v>65</v>
      </c>
      <c r="U43" s="1349">
        <f t="shared" si="13"/>
        <v>100</v>
      </c>
      <c r="V43" s="1348" t="s">
        <v>65</v>
      </c>
      <c r="W43" s="1349">
        <f t="shared" si="14"/>
        <v>100</v>
      </c>
      <c r="X43" s="2217"/>
      <c r="Y43" s="3766"/>
      <c r="Z43" s="2216" t="str">
        <f t="shared" si="15"/>
        <v>内部装修</v>
      </c>
      <c r="AA43" s="1351">
        <f t="shared" si="3"/>
        <v>1</v>
      </c>
      <c r="AB43" s="1351">
        <f t="shared" si="4"/>
        <v>1</v>
      </c>
      <c r="AC43" s="2333">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2"/>
      <c r="L44" s="2297"/>
      <c r="M44" s="2292"/>
      <c r="N44" s="2292"/>
      <c r="O44" s="2292"/>
      <c r="P44" s="3764"/>
      <c r="Q44" s="2215" t="str">
        <f t="shared" si="11"/>
        <v>内部装修维护情况</v>
      </c>
      <c r="R44" s="1348" t="s">
        <v>65</v>
      </c>
      <c r="S44" s="1349">
        <f t="shared" si="12"/>
        <v>100</v>
      </c>
      <c r="T44" s="1348" t="s">
        <v>65</v>
      </c>
      <c r="U44" s="1349">
        <f t="shared" si="13"/>
        <v>100</v>
      </c>
      <c r="V44" s="1348" t="s">
        <v>65</v>
      </c>
      <c r="W44" s="1349">
        <f t="shared" si="14"/>
        <v>100</v>
      </c>
      <c r="X44" s="2217"/>
      <c r="Y44" s="3766"/>
      <c r="Z44" s="2216" t="str">
        <f t="shared" si="15"/>
        <v>内部装修维护情况</v>
      </c>
      <c r="AA44" s="1351">
        <f t="shared" si="3"/>
        <v>1</v>
      </c>
      <c r="AB44" s="1351">
        <f t="shared" si="4"/>
        <v>1</v>
      </c>
      <c r="AC44" s="2333">
        <f t="shared" si="5"/>
        <v>1</v>
      </c>
    </row>
    <row r="45" spans="1:29" s="40" customFormat="1" ht="14.25">
      <c r="A45" s="1038"/>
      <c r="B45" s="1353">
        <v>111</v>
      </c>
      <c r="C45" s="1354"/>
      <c r="D45" s="426">
        <v>100</v>
      </c>
      <c r="E45" s="1021"/>
      <c r="F45" s="767">
        <f>SUMIF(127:127,E45,128:128)-SUMIF(127:127,C45,128:128)+100</f>
        <v>100</v>
      </c>
      <c r="G45" s="1021"/>
      <c r="H45" s="426">
        <f>SUMIF(127:127,G45,128:128)-SUMIF(127:127,C45,128:128)+100</f>
        <v>100</v>
      </c>
      <c r="I45" s="1021"/>
      <c r="J45" s="426">
        <f>SUMIF(127:127,I45,128:128)-SUMIF(127:127,C45,128:128)+100</f>
        <v>100</v>
      </c>
      <c r="K45" s="188"/>
      <c r="L45" s="2293"/>
      <c r="M45" s="2255"/>
      <c r="N45" s="2255"/>
      <c r="O45" s="2255"/>
      <c r="P45" s="3764"/>
      <c r="Q45" s="2208">
        <f t="shared" si="11"/>
        <v>111</v>
      </c>
      <c r="R45" s="1339" t="s">
        <v>65</v>
      </c>
      <c r="S45" s="1340">
        <f t="shared" si="12"/>
        <v>100</v>
      </c>
      <c r="T45" s="1339" t="s">
        <v>65</v>
      </c>
      <c r="U45" s="1340">
        <f t="shared" si="13"/>
        <v>100</v>
      </c>
      <c r="V45" s="1339" t="s">
        <v>65</v>
      </c>
      <c r="W45" s="1340">
        <f t="shared" si="14"/>
        <v>100</v>
      </c>
      <c r="X45" s="287"/>
      <c r="Y45" s="3766"/>
      <c r="Z45" s="2207">
        <f t="shared" si="15"/>
        <v>111</v>
      </c>
      <c r="AA45" s="1341">
        <f t="shared" si="3"/>
        <v>1</v>
      </c>
      <c r="AB45" s="1341">
        <f t="shared" si="4"/>
        <v>1</v>
      </c>
      <c r="AC45" s="2332">
        <f t="shared" si="5"/>
        <v>1</v>
      </c>
    </row>
    <row r="46" spans="1:29" ht="14.25">
      <c r="A46" s="161"/>
      <c r="B46" s="1353">
        <v>111</v>
      </c>
      <c r="C46" s="93"/>
      <c r="D46" s="777">
        <v>100</v>
      </c>
      <c r="E46" s="1021"/>
      <c r="F46" s="803">
        <f>SUMIF(129:129,E46,130:130)-SUMIF(129:129,C46,130:130)+100</f>
        <v>100</v>
      </c>
      <c r="G46" s="1021"/>
      <c r="H46" s="777">
        <f>SUMIF(129:129,G46,130:130)-SUMIF(129:129,C46,130:130)+100</f>
        <v>100</v>
      </c>
      <c r="I46" s="1021"/>
      <c r="J46" s="777">
        <f>SUMIF(129:129,I46,130:130)-SUMIF(129:129,C46,130:130)+100</f>
        <v>100</v>
      </c>
      <c r="K46" s="188"/>
      <c r="L46" s="2297"/>
      <c r="M46" s="2292"/>
      <c r="N46" s="2292"/>
      <c r="O46" s="2292"/>
      <c r="P46" s="3764"/>
      <c r="Q46" s="2215">
        <f t="shared" si="11"/>
        <v>111</v>
      </c>
      <c r="R46" s="1348" t="s">
        <v>65</v>
      </c>
      <c r="S46" s="1349">
        <f t="shared" si="12"/>
        <v>100</v>
      </c>
      <c r="T46" s="1348" t="s">
        <v>65</v>
      </c>
      <c r="U46" s="1349">
        <f t="shared" si="13"/>
        <v>100</v>
      </c>
      <c r="V46" s="1348" t="s">
        <v>65</v>
      </c>
      <c r="W46" s="1349">
        <f t="shared" si="14"/>
        <v>100</v>
      </c>
      <c r="X46" s="2217"/>
      <c r="Y46" s="3766"/>
      <c r="Z46" s="2216">
        <f t="shared" si="15"/>
        <v>111</v>
      </c>
      <c r="AA46" s="1351">
        <f t="shared" si="3"/>
        <v>1</v>
      </c>
      <c r="AB46" s="1351">
        <f t="shared" si="4"/>
        <v>1</v>
      </c>
      <c r="AC46" s="2333">
        <f t="shared" si="5"/>
        <v>1</v>
      </c>
    </row>
    <row r="47" spans="1:29" ht="15" thickBot="1">
      <c r="A47" s="162"/>
      <c r="B47" s="1029">
        <v>111</v>
      </c>
      <c r="C47" s="94"/>
      <c r="D47" s="780">
        <v>100</v>
      </c>
      <c r="E47" s="1021"/>
      <c r="F47" s="781">
        <f>SUMIF(131:131,E47,132:132)-SUMIF(131:131,C47,132:132)+100</f>
        <v>100</v>
      </c>
      <c r="G47" s="1021"/>
      <c r="H47" s="780">
        <f>SUMIF(131:131,G47,132:132)-SUMIF(131:131,C47,132:132)+100</f>
        <v>100</v>
      </c>
      <c r="I47" s="1021"/>
      <c r="J47" s="780">
        <f>SUMIF(131:131,I47,132:132)-SUMIF(131:131,C47,132:132)+100</f>
        <v>100</v>
      </c>
      <c r="K47" s="188"/>
      <c r="L47" s="2297"/>
      <c r="M47" s="2292"/>
      <c r="N47" s="2292"/>
      <c r="O47" s="2292"/>
      <c r="P47" s="3765"/>
      <c r="Q47" s="2215">
        <f t="shared" si="11"/>
        <v>111</v>
      </c>
      <c r="R47" s="1348" t="s">
        <v>65</v>
      </c>
      <c r="S47" s="1349">
        <f t="shared" si="12"/>
        <v>100</v>
      </c>
      <c r="T47" s="1348" t="s">
        <v>65</v>
      </c>
      <c r="U47" s="1349">
        <f t="shared" si="13"/>
        <v>100</v>
      </c>
      <c r="V47" s="1348" t="s">
        <v>65</v>
      </c>
      <c r="W47" s="1349">
        <f t="shared" si="14"/>
        <v>100</v>
      </c>
      <c r="X47" s="2217"/>
      <c r="Y47" s="3767"/>
      <c r="Z47" s="2216">
        <f t="shared" si="15"/>
        <v>111</v>
      </c>
      <c r="AA47" s="1351">
        <f t="shared" si="3"/>
        <v>1</v>
      </c>
      <c r="AB47" s="1351">
        <f t="shared" si="4"/>
        <v>1</v>
      </c>
      <c r="AC47" s="2333">
        <f t="shared" si="5"/>
        <v>1</v>
      </c>
    </row>
    <row r="48" spans="1:29" ht="15">
      <c r="A48" s="163" t="s">
        <v>1027</v>
      </c>
      <c r="B48" s="164"/>
      <c r="C48" s="2829" t="s">
        <v>23</v>
      </c>
      <c r="D48" s="2830"/>
      <c r="E48" s="2831"/>
      <c r="F48" s="2832"/>
      <c r="G48" s="2833"/>
      <c r="H48" s="2834"/>
      <c r="I48" s="2831"/>
      <c r="J48" s="825"/>
      <c r="K48" s="1389"/>
      <c r="L48" s="2299"/>
      <c r="M48" s="2292"/>
      <c r="N48" s="2292"/>
      <c r="O48" s="2292"/>
      <c r="P48" s="3741" t="str">
        <f>A48</f>
        <v>成交单价（元/平方米）</v>
      </c>
      <c r="Q48" s="3759"/>
      <c r="R48" s="3760">
        <f>E48</f>
        <v>0</v>
      </c>
      <c r="S48" s="3760"/>
      <c r="T48" s="3760">
        <f>G48</f>
        <v>0</v>
      </c>
      <c r="U48" s="3760"/>
      <c r="V48" s="3760">
        <f>I48</f>
        <v>0</v>
      </c>
      <c r="W48" s="3760"/>
      <c r="X48" s="156"/>
      <c r="Y48" s="1362"/>
      <c r="Z48" s="156"/>
      <c r="AA48" s="156"/>
      <c r="AB48" s="156"/>
      <c r="AC48" s="209"/>
    </row>
    <row r="49" spans="1:29" ht="15.75" thickBot="1">
      <c r="A49" s="165" t="s">
        <v>1028</v>
      </c>
      <c r="B49" s="166"/>
      <c r="C49" s="2835" t="e">
        <f>R50</f>
        <v>#DIV/0!</v>
      </c>
      <c r="D49" s="2836"/>
      <c r="E49" s="2837" t="e">
        <f>R49</f>
        <v>#DIV/0!</v>
      </c>
      <c r="F49" s="2837"/>
      <c r="G49" s="2835" t="e">
        <f>T49</f>
        <v>#DIV/0!</v>
      </c>
      <c r="H49" s="2836"/>
      <c r="I49" s="2837" t="e">
        <f>V49</f>
        <v>#DIV/0!</v>
      </c>
      <c r="J49" s="829"/>
      <c r="K49" s="1390"/>
      <c r="L49" s="2299"/>
      <c r="M49" s="2292"/>
      <c r="N49" s="2292"/>
      <c r="O49" s="2292"/>
      <c r="P49" s="3741" t="str">
        <f>A49</f>
        <v>比较价值（元/平方米）</v>
      </c>
      <c r="Q49" s="3759"/>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156"/>
      <c r="Y49" s="156"/>
      <c r="Z49" s="156"/>
      <c r="AA49" s="156"/>
      <c r="AB49" s="156"/>
      <c r="AC49" s="209"/>
    </row>
    <row r="50" spans="1:29" ht="15.75" thickBot="1">
      <c r="A50" s="115" t="s">
        <v>3012</v>
      </c>
      <c r="B50" s="116"/>
      <c r="C50" s="2839" t="e">
        <f>R50</f>
        <v>#DIV/0!</v>
      </c>
      <c r="D50" s="2839"/>
      <c r="E50" s="2839"/>
      <c r="F50" s="2839"/>
      <c r="G50" s="2839"/>
      <c r="H50" s="2839"/>
      <c r="I50" s="2839"/>
      <c r="J50" s="834"/>
      <c r="K50" s="1391"/>
      <c r="L50" s="2299"/>
      <c r="M50" s="2292"/>
      <c r="N50" s="2292"/>
      <c r="O50" s="2292"/>
      <c r="P50" s="3782" t="str">
        <f>A50</f>
        <v>估价对象XX用房的比较价值（楼面单价，元/平方米）</v>
      </c>
      <c r="Q50" s="3783"/>
      <c r="R50" s="3784" t="e">
        <f>IF(F1="售价",ROUND(AVERAGE(R49:V49),0),ROUND(AVERAGE(R49:V49),1))</f>
        <v>#DIV/0!</v>
      </c>
      <c r="S50" s="3784"/>
      <c r="T50" s="3784"/>
      <c r="U50" s="3784"/>
      <c r="V50" s="3784"/>
      <c r="W50" s="3784"/>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997</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301"/>
      <c r="L53" s="2302"/>
      <c r="M53" s="2300"/>
      <c r="N53" s="2300"/>
      <c r="O53" s="2300"/>
    </row>
    <row r="54" spans="1:29" ht="13.5" customHeight="1">
      <c r="A54" s="2300"/>
      <c r="B54" s="2300"/>
      <c r="C54" s="837" t="s">
        <v>998</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301"/>
      <c r="L54" s="2302"/>
      <c r="M54" s="2300"/>
      <c r="N54" s="2300"/>
      <c r="O54" s="2300"/>
    </row>
    <row r="55" spans="1:29" s="119" customFormat="1" ht="13.5" customHeight="1">
      <c r="A55" s="2305"/>
      <c r="B55" s="2305"/>
      <c r="C55" s="837" t="s">
        <v>999</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1029</v>
      </c>
      <c r="B58" s="1361"/>
      <c r="C58" s="1369"/>
      <c r="D58" s="1369"/>
      <c r="E58" s="1369"/>
      <c r="F58" s="1370"/>
      <c r="G58" s="1370"/>
      <c r="H58" s="1369"/>
      <c r="I58" s="1369"/>
      <c r="J58" s="1369"/>
      <c r="K58" s="1371"/>
      <c r="L58" s="2307"/>
      <c r="M58" s="2308"/>
      <c r="N58" s="2308"/>
      <c r="O58" s="2308"/>
      <c r="P58" s="2322"/>
      <c r="Q58" s="121"/>
    </row>
    <row r="59" spans="1:29" s="848" customFormat="1" ht="15">
      <c r="A59" s="845" t="s">
        <v>2788</v>
      </c>
      <c r="B59" s="846"/>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2"/>
      <c r="B60" s="1043"/>
      <c r="C60" s="3035">
        <v>100</v>
      </c>
      <c r="D60" s="852"/>
      <c r="E60" s="852"/>
      <c r="F60" s="852"/>
      <c r="G60" s="852"/>
      <c r="H60" s="852"/>
      <c r="I60" s="852"/>
      <c r="J60" s="852"/>
      <c r="K60" s="852"/>
      <c r="L60" s="852"/>
      <c r="M60" s="853"/>
      <c r="N60" s="852"/>
      <c r="O60" s="853"/>
      <c r="P60" s="2323"/>
    </row>
    <row r="61" spans="1:29" s="40" customFormat="1" ht="15" thickBot="1">
      <c r="A61" s="1044" t="s">
        <v>1030</v>
      </c>
      <c r="B61" s="1045"/>
      <c r="C61" s="857"/>
      <c r="D61" s="858"/>
      <c r="E61" s="858"/>
      <c r="F61" s="858"/>
      <c r="G61" s="858"/>
      <c r="H61" s="858"/>
      <c r="I61" s="858"/>
      <c r="J61" s="858"/>
      <c r="K61" s="858"/>
      <c r="L61" s="858"/>
      <c r="M61" s="859"/>
      <c r="N61" s="858"/>
      <c r="O61" s="859"/>
      <c r="P61" s="2323"/>
      <c r="Q61" s="121"/>
    </row>
    <row r="62" spans="1:29" s="40" customFormat="1">
      <c r="A62" s="1046" t="s">
        <v>1031</v>
      </c>
      <c r="B62" s="1043"/>
      <c r="C62" s="1047" t="s">
        <v>1032</v>
      </c>
      <c r="D62" s="140"/>
      <c r="E62" s="140"/>
      <c r="F62" s="140"/>
      <c r="G62" s="140"/>
      <c r="H62" s="140"/>
      <c r="I62" s="140"/>
      <c r="J62" s="140"/>
      <c r="K62" s="140"/>
      <c r="L62" s="141"/>
      <c r="M62" s="1048"/>
      <c r="N62" s="1384"/>
      <c r="O62" s="1384"/>
      <c r="P62" s="2324"/>
      <c r="Q62" s="121"/>
    </row>
    <row r="63" spans="1:29" s="40" customFormat="1" ht="15" thickBot="1">
      <c r="A63" s="1046"/>
      <c r="B63" s="1043"/>
      <c r="C63" s="851">
        <v>100</v>
      </c>
      <c r="D63" s="852"/>
      <c r="E63" s="852"/>
      <c r="F63" s="852"/>
      <c r="G63" s="852"/>
      <c r="H63" s="852"/>
      <c r="I63" s="852"/>
      <c r="J63" s="852"/>
      <c r="K63" s="852"/>
      <c r="L63" s="852"/>
      <c r="M63" s="854"/>
      <c r="N63" s="1384"/>
      <c r="O63" s="1384"/>
      <c r="P63" s="2323"/>
      <c r="Q63" s="121"/>
    </row>
    <row r="64" spans="1:29">
      <c r="A64" s="172" t="s">
        <v>1033</v>
      </c>
      <c r="B64" s="286" t="s">
        <v>1034</v>
      </c>
      <c r="C64" s="176">
        <f>C9</f>
        <v>0</v>
      </c>
      <c r="D64" s="122"/>
      <c r="E64" s="122"/>
      <c r="F64" s="122"/>
      <c r="G64" s="122"/>
      <c r="H64" s="122"/>
      <c r="I64" s="122"/>
      <c r="J64" s="122"/>
      <c r="K64" s="123"/>
      <c r="L64" s="124"/>
      <c r="M64" s="125"/>
      <c r="N64" s="1385"/>
      <c r="O64" s="1385"/>
      <c r="P64" s="2325"/>
      <c r="Q64" s="121"/>
    </row>
    <row r="65" spans="1:17" ht="15" thickBot="1">
      <c r="A65" s="173"/>
      <c r="B65" s="1050"/>
      <c r="C65" s="876">
        <v>100</v>
      </c>
      <c r="D65" s="876"/>
      <c r="E65" s="876"/>
      <c r="F65" s="876"/>
      <c r="G65" s="876"/>
      <c r="H65" s="876"/>
      <c r="I65" s="876"/>
      <c r="J65" s="876"/>
      <c r="K65" s="876"/>
      <c r="L65" s="876"/>
      <c r="M65" s="877"/>
      <c r="N65" s="1386"/>
      <c r="O65" s="1386"/>
      <c r="P65" s="2325"/>
      <c r="Q65" s="121"/>
    </row>
    <row r="66" spans="1:17" ht="27.75" thickTop="1">
      <c r="A66" s="173"/>
      <c r="B66" s="1051" t="s">
        <v>1035</v>
      </c>
      <c r="C66" s="879" t="s">
        <v>1000</v>
      </c>
      <c r="D66" s="879" t="s">
        <v>1001</v>
      </c>
      <c r="E66" s="879" t="s">
        <v>1002</v>
      </c>
      <c r="F66" s="879" t="s">
        <v>1003</v>
      </c>
      <c r="G66" s="879" t="s">
        <v>1004</v>
      </c>
      <c r="H66" s="879" t="s">
        <v>1005</v>
      </c>
      <c r="I66" s="879" t="s">
        <v>1006</v>
      </c>
      <c r="J66" s="879"/>
      <c r="K66" s="880"/>
      <c r="L66" s="881"/>
      <c r="M66" s="882"/>
      <c r="N66" s="1385"/>
      <c r="O66" s="1385"/>
      <c r="P66" s="2325"/>
      <c r="Q66" s="121"/>
    </row>
    <row r="67" spans="1:17" ht="15" thickBot="1">
      <c r="A67" s="173"/>
      <c r="B67" s="1052"/>
      <c r="C67" s="884" t="s">
        <v>138</v>
      </c>
      <c r="D67" s="884" t="s">
        <v>139</v>
      </c>
      <c r="E67" s="884">
        <v>100</v>
      </c>
      <c r="F67" s="884">
        <f>E67-$K10</f>
        <v>100</v>
      </c>
      <c r="G67" s="884">
        <f>F67-$K10</f>
        <v>100</v>
      </c>
      <c r="H67" s="884">
        <f>G67-$K10</f>
        <v>100</v>
      </c>
      <c r="I67" s="884">
        <f>H67-$K10</f>
        <v>100</v>
      </c>
      <c r="J67" s="884"/>
      <c r="K67" s="884"/>
      <c r="L67" s="884"/>
      <c r="M67" s="885"/>
      <c r="N67" s="1386"/>
      <c r="O67" s="1386"/>
      <c r="P67" s="2325"/>
      <c r="Q67" s="121"/>
    </row>
    <row r="68" spans="1:17" ht="15" thickTop="1">
      <c r="A68" s="173"/>
      <c r="B68" s="1053" t="s">
        <v>1036</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90" t="str">
        <f>M69&amp;"（含）"&amp;"-"&amp;P69</f>
        <v>（含）-</v>
      </c>
      <c r="N68" s="1386"/>
      <c r="O68" s="1386"/>
      <c r="P68" s="2325"/>
      <c r="Q68" s="121"/>
    </row>
    <row r="69" spans="1:17" ht="14.25">
      <c r="A69" s="173"/>
      <c r="B69" s="1054"/>
      <c r="C69" s="889"/>
      <c r="D69" s="889"/>
      <c r="E69" s="889"/>
      <c r="F69" s="889"/>
      <c r="G69" s="889"/>
      <c r="H69" s="889"/>
      <c r="I69" s="889"/>
      <c r="J69" s="889"/>
      <c r="K69" s="890"/>
      <c r="L69" s="891"/>
      <c r="M69" s="892"/>
      <c r="N69" s="1385"/>
      <c r="O69" s="1385"/>
      <c r="P69" s="2325"/>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6"/>
      <c r="O70" s="1386"/>
      <c r="P70" s="2325"/>
      <c r="Q70" s="121"/>
    </row>
    <row r="71" spans="1:17" s="1036" customFormat="1" ht="14.25" thickTop="1">
      <c r="A71" s="1055"/>
      <c r="B71" s="1051">
        <f>B12</f>
        <v>111</v>
      </c>
      <c r="C71" s="139"/>
      <c r="D71" s="139"/>
      <c r="E71" s="139"/>
      <c r="F71" s="139"/>
      <c r="G71" s="139"/>
      <c r="H71" s="1056"/>
      <c r="I71" s="1056"/>
      <c r="J71" s="1056"/>
      <c r="K71" s="1056"/>
      <c r="L71" s="1057"/>
      <c r="M71" s="1058"/>
      <c r="N71" s="1387"/>
      <c r="O71" s="1387"/>
      <c r="P71" s="2326"/>
      <c r="Q71" s="1060"/>
    </row>
    <row r="72" spans="1:17" s="1036" customFormat="1" ht="15" thickBot="1">
      <c r="A72" s="1055"/>
      <c r="B72" s="1052"/>
      <c r="C72" s="900"/>
      <c r="D72" s="876"/>
      <c r="E72" s="876"/>
      <c r="F72" s="876"/>
      <c r="G72" s="876"/>
      <c r="H72" s="876"/>
      <c r="I72" s="876"/>
      <c r="J72" s="876"/>
      <c r="K72" s="876"/>
      <c r="L72" s="876"/>
      <c r="M72" s="877"/>
      <c r="N72" s="1386"/>
      <c r="O72" s="1386"/>
      <c r="P72" s="2326"/>
      <c r="Q72" s="1060"/>
    </row>
    <row r="73" spans="1:17" s="1036" customFormat="1" ht="14.25" thickTop="1">
      <c r="A73" s="1055"/>
      <c r="B73" s="1051">
        <f>B13</f>
        <v>111</v>
      </c>
      <c r="C73" s="139"/>
      <c r="D73" s="139"/>
      <c r="E73" s="139"/>
      <c r="F73" s="139"/>
      <c r="G73" s="139"/>
      <c r="H73" s="1056"/>
      <c r="I73" s="1056"/>
      <c r="J73" s="1056"/>
      <c r="K73" s="1056"/>
      <c r="L73" s="1057"/>
      <c r="M73" s="1058"/>
      <c r="N73" s="1387"/>
      <c r="O73" s="1387"/>
      <c r="P73" s="2327"/>
      <c r="Q73" s="1062"/>
    </row>
    <row r="74" spans="1:17" s="1036" customFormat="1" ht="15" thickBot="1">
      <c r="A74" s="1055"/>
      <c r="B74" s="1052"/>
      <c r="C74" s="900"/>
      <c r="D74" s="900"/>
      <c r="E74" s="900"/>
      <c r="F74" s="900"/>
      <c r="G74" s="900"/>
      <c r="H74" s="902"/>
      <c r="I74" s="902"/>
      <c r="J74" s="902"/>
      <c r="K74" s="902"/>
      <c r="L74" s="902"/>
      <c r="M74" s="903"/>
      <c r="N74" s="1387"/>
      <c r="O74" s="1387"/>
      <c r="P74" s="2326"/>
      <c r="Q74" s="1060"/>
    </row>
    <row r="75" spans="1:17" s="1036" customFormat="1" ht="14.25" thickTop="1">
      <c r="A75" s="1055"/>
      <c r="B75" s="1053">
        <f>B14</f>
        <v>111</v>
      </c>
      <c r="C75" s="140"/>
      <c r="D75" s="140"/>
      <c r="E75" s="140"/>
      <c r="F75" s="140"/>
      <c r="G75" s="140"/>
      <c r="H75" s="1063"/>
      <c r="I75" s="1063"/>
      <c r="J75" s="1063"/>
      <c r="K75" s="1063"/>
      <c r="L75" s="1064"/>
      <c r="M75" s="1065"/>
      <c r="N75" s="1387"/>
      <c r="O75" s="1387"/>
      <c r="P75" s="2328"/>
      <c r="Q75" s="1060"/>
    </row>
    <row r="76" spans="1:17" s="1036" customFormat="1" ht="15" thickBot="1">
      <c r="A76" s="1067"/>
      <c r="B76" s="1068"/>
      <c r="C76" s="910"/>
      <c r="D76" s="910"/>
      <c r="E76" s="910"/>
      <c r="F76" s="910"/>
      <c r="G76" s="910"/>
      <c r="H76" s="911"/>
      <c r="I76" s="911"/>
      <c r="J76" s="911"/>
      <c r="K76" s="911"/>
      <c r="L76" s="911"/>
      <c r="M76" s="912"/>
      <c r="N76" s="1387"/>
      <c r="O76" s="1387"/>
      <c r="P76" s="2326"/>
      <c r="Q76" s="1060"/>
    </row>
    <row r="77" spans="1:17" ht="14.25">
      <c r="A77" s="172" t="s">
        <v>1037</v>
      </c>
      <c r="B77" s="286" t="s">
        <v>1087</v>
      </c>
      <c r="C77" s="913" t="s">
        <v>1007</v>
      </c>
      <c r="D77" s="913" t="s">
        <v>1008</v>
      </c>
      <c r="E77" s="913" t="s">
        <v>1009</v>
      </c>
      <c r="F77" s="913" t="s">
        <v>1010</v>
      </c>
      <c r="G77" s="913" t="s">
        <v>1011</v>
      </c>
      <c r="H77" s="869"/>
      <c r="I77" s="869"/>
      <c r="J77" s="869"/>
      <c r="K77" s="914"/>
      <c r="L77" s="915"/>
      <c r="M77" s="916"/>
      <c r="N77" s="1385"/>
      <c r="O77" s="1385"/>
      <c r="P77" s="2329"/>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6"/>
      <c r="O78" s="1386"/>
      <c r="P78" s="2325"/>
      <c r="Q78" s="121"/>
    </row>
    <row r="79" spans="1:17" ht="15" thickTop="1">
      <c r="A79" s="173"/>
      <c r="B79" s="1051" t="s">
        <v>1044</v>
      </c>
      <c r="C79" s="918" t="s">
        <v>1007</v>
      </c>
      <c r="D79" s="918" t="s">
        <v>1008</v>
      </c>
      <c r="E79" s="918" t="s">
        <v>1009</v>
      </c>
      <c r="F79" s="918" t="s">
        <v>1096</v>
      </c>
      <c r="G79" s="918" t="s">
        <v>1011</v>
      </c>
      <c r="H79" s="879"/>
      <c r="I79" s="879"/>
      <c r="J79" s="879"/>
      <c r="K79" s="880"/>
      <c r="L79" s="881"/>
      <c r="M79" s="882"/>
      <c r="N79" s="1385"/>
      <c r="O79" s="1385"/>
      <c r="P79" s="2325"/>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6"/>
      <c r="O80" s="1386"/>
      <c r="P80" s="2325"/>
      <c r="Q80" s="121"/>
    </row>
    <row r="81" spans="1:17" ht="15" thickTop="1">
      <c r="A81" s="173"/>
      <c r="B81" s="1051" t="s">
        <v>31</v>
      </c>
      <c r="C81" s="918" t="s">
        <v>1007</v>
      </c>
      <c r="D81" s="918" t="s">
        <v>1008</v>
      </c>
      <c r="E81" s="918" t="s">
        <v>1009</v>
      </c>
      <c r="F81" s="918" t="s">
        <v>1010</v>
      </c>
      <c r="G81" s="918" t="s">
        <v>1011</v>
      </c>
      <c r="H81" s="879"/>
      <c r="I81" s="879"/>
      <c r="J81" s="879"/>
      <c r="K81" s="880"/>
      <c r="L81" s="881"/>
      <c r="M81" s="882"/>
      <c r="N81" s="1385"/>
      <c r="O81" s="1385"/>
      <c r="P81" s="2325"/>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6"/>
      <c r="O82" s="1386"/>
      <c r="P82" s="2325"/>
      <c r="Q82" s="121"/>
    </row>
    <row r="83" spans="1:17" ht="15" thickTop="1">
      <c r="A83" s="173"/>
      <c r="B83" s="1053" t="s">
        <v>2659</v>
      </c>
      <c r="C83" s="213" t="s">
        <v>2652</v>
      </c>
      <c r="D83" s="213" t="s">
        <v>2653</v>
      </c>
      <c r="E83" s="213" t="s">
        <v>2654</v>
      </c>
      <c r="F83" s="213" t="s">
        <v>2655</v>
      </c>
      <c r="G83" s="213" t="s">
        <v>2656</v>
      </c>
      <c r="H83" s="879"/>
      <c r="I83" s="879"/>
      <c r="J83" s="879"/>
      <c r="K83" s="879"/>
      <c r="L83" s="879"/>
      <c r="M83" s="2761"/>
      <c r="N83" s="1386"/>
      <c r="O83" s="1386"/>
      <c r="P83" s="2325"/>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2"/>
      <c r="N84" s="1386"/>
      <c r="O84" s="1386"/>
      <c r="P84" s="2325"/>
      <c r="Q84" s="121"/>
    </row>
    <row r="85" spans="1:17" ht="15" thickTop="1">
      <c r="A85" s="173"/>
      <c r="B85" s="1051" t="s">
        <v>1088</v>
      </c>
      <c r="C85" s="918" t="s">
        <v>1007</v>
      </c>
      <c r="D85" s="918" t="s">
        <v>1008</v>
      </c>
      <c r="E85" s="918" t="s">
        <v>1009</v>
      </c>
      <c r="F85" s="918" t="s">
        <v>1010</v>
      </c>
      <c r="G85" s="918" t="s">
        <v>1011</v>
      </c>
      <c r="H85" s="879"/>
      <c r="I85" s="879"/>
      <c r="J85" s="879"/>
      <c r="K85" s="880"/>
      <c r="L85" s="881"/>
      <c r="M85" s="882"/>
      <c r="N85" s="1385"/>
      <c r="O85" s="1385"/>
      <c r="P85" s="2325"/>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6"/>
      <c r="O86" s="1386"/>
      <c r="P86" s="2325"/>
      <c r="Q86" s="121"/>
    </row>
    <row r="87" spans="1:17" s="40" customFormat="1" ht="27.75" thickTop="1">
      <c r="A87" s="1069"/>
      <c r="B87" s="1051" t="s">
        <v>1089</v>
      </c>
      <c r="C87" s="139"/>
      <c r="D87" s="139"/>
      <c r="E87" s="139"/>
      <c r="F87" s="139"/>
      <c r="G87" s="139"/>
      <c r="H87" s="139"/>
      <c r="I87" s="139"/>
      <c r="J87" s="139"/>
      <c r="K87" s="139"/>
      <c r="L87" s="1380"/>
      <c r="M87" s="1381"/>
      <c r="N87" s="1384"/>
      <c r="O87" s="1384"/>
      <c r="P87" s="2325"/>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6"/>
      <c r="O88" s="1386"/>
      <c r="P88" s="2325"/>
      <c r="Q88" s="121"/>
    </row>
    <row r="89" spans="1:17" s="40" customFormat="1" ht="14.25" thickTop="1">
      <c r="A89" s="1069"/>
      <c r="B89" s="1051" t="str">
        <f>B27</f>
        <v>楼层</v>
      </c>
      <c r="C89" s="139"/>
      <c r="D89" s="139"/>
      <c r="E89" s="139"/>
      <c r="F89" s="1382"/>
      <c r="G89" s="139"/>
      <c r="H89" s="139"/>
      <c r="I89" s="139"/>
      <c r="J89" s="139"/>
      <c r="K89" s="139"/>
      <c r="L89" s="139"/>
      <c r="M89" s="1381"/>
      <c r="N89" s="1384"/>
      <c r="O89" s="1384"/>
      <c r="P89" s="2325"/>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6"/>
      <c r="O90" s="1386"/>
      <c r="P90" s="2325"/>
      <c r="Q90" s="121"/>
    </row>
    <row r="91" spans="1:17" s="1036" customFormat="1" ht="14.25" thickTop="1">
      <c r="A91" s="1055"/>
      <c r="B91" s="1051" t="str">
        <f>B28</f>
        <v>朝向</v>
      </c>
      <c r="C91" s="139"/>
      <c r="D91" s="139"/>
      <c r="E91" s="139"/>
      <c r="F91" s="139"/>
      <c r="G91" s="139"/>
      <c r="H91" s="1056"/>
      <c r="I91" s="1056"/>
      <c r="J91" s="1056"/>
      <c r="K91" s="1056"/>
      <c r="L91" s="1057"/>
      <c r="M91" s="1058"/>
      <c r="N91" s="1387"/>
      <c r="O91" s="1387"/>
      <c r="P91" s="2326"/>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7"/>
      <c r="O92" s="1387"/>
      <c r="P92" s="2326"/>
      <c r="Q92" s="1060"/>
    </row>
    <row r="93" spans="1:17" ht="14.25" thickTop="1">
      <c r="A93" s="173"/>
      <c r="B93" s="1051">
        <f>B29</f>
        <v>111</v>
      </c>
      <c r="C93" s="139"/>
      <c r="D93" s="139"/>
      <c r="E93" s="139"/>
      <c r="F93" s="139"/>
      <c r="G93" s="139"/>
      <c r="H93" s="139"/>
      <c r="I93" s="139"/>
      <c r="J93" s="139"/>
      <c r="K93" s="139"/>
      <c r="L93" s="1380"/>
      <c r="M93" s="1381"/>
      <c r="N93" s="1385"/>
      <c r="O93" s="1385"/>
      <c r="P93" s="2325"/>
      <c r="Q93" s="121"/>
    </row>
    <row r="94" spans="1:17" ht="15" thickBot="1">
      <c r="A94" s="173"/>
      <c r="B94" s="1052"/>
      <c r="C94" s="900"/>
      <c r="D94" s="876"/>
      <c r="E94" s="876"/>
      <c r="F94" s="876"/>
      <c r="G94" s="876"/>
      <c r="H94" s="876"/>
      <c r="I94" s="876"/>
      <c r="J94" s="876"/>
      <c r="K94" s="876"/>
      <c r="L94" s="876"/>
      <c r="M94" s="877"/>
      <c r="N94" s="1386"/>
      <c r="O94" s="1386"/>
      <c r="P94" s="2325"/>
      <c r="Q94" s="121"/>
    </row>
    <row r="95" spans="1:17" ht="14.25" thickTop="1">
      <c r="A95" s="173"/>
      <c r="B95" s="1051">
        <f>B30</f>
        <v>111</v>
      </c>
      <c r="C95" s="139"/>
      <c r="D95" s="139"/>
      <c r="E95" s="139"/>
      <c r="F95" s="139"/>
      <c r="G95" s="131"/>
      <c r="H95" s="131"/>
      <c r="I95" s="131"/>
      <c r="J95" s="131"/>
      <c r="K95" s="132"/>
      <c r="L95" s="133"/>
      <c r="M95" s="134"/>
      <c r="N95" s="1385"/>
      <c r="O95" s="1385"/>
      <c r="P95" s="2325"/>
      <c r="Q95" s="121"/>
    </row>
    <row r="96" spans="1:17" ht="15" thickBot="1">
      <c r="A96" s="173"/>
      <c r="B96" s="1052"/>
      <c r="C96" s="900"/>
      <c r="D96" s="900"/>
      <c r="E96" s="900"/>
      <c r="F96" s="900"/>
      <c r="G96" s="876"/>
      <c r="H96" s="876"/>
      <c r="I96" s="876"/>
      <c r="J96" s="876"/>
      <c r="K96" s="876"/>
      <c r="L96" s="876"/>
      <c r="M96" s="877"/>
      <c r="N96" s="1386"/>
      <c r="O96" s="1386"/>
      <c r="P96" s="2325"/>
      <c r="Q96" s="121"/>
    </row>
    <row r="97" spans="1:17" ht="14.25" thickTop="1">
      <c r="A97" s="173"/>
      <c r="B97" s="1051">
        <f>B31</f>
        <v>111</v>
      </c>
      <c r="C97" s="139"/>
      <c r="D97" s="139"/>
      <c r="E97" s="139"/>
      <c r="F97" s="139"/>
      <c r="G97" s="131"/>
      <c r="H97" s="131"/>
      <c r="I97" s="131"/>
      <c r="J97" s="131"/>
      <c r="K97" s="132"/>
      <c r="L97" s="133"/>
      <c r="M97" s="134"/>
      <c r="N97" s="1385"/>
      <c r="O97" s="1385"/>
      <c r="P97" s="2325"/>
      <c r="Q97" s="121"/>
    </row>
    <row r="98" spans="1:17" ht="15" thickBot="1">
      <c r="A98" s="173"/>
      <c r="B98" s="1052"/>
      <c r="C98" s="900"/>
      <c r="D98" s="876"/>
      <c r="E98" s="876"/>
      <c r="F98" s="876"/>
      <c r="G98" s="876"/>
      <c r="H98" s="876"/>
      <c r="I98" s="876"/>
      <c r="J98" s="876"/>
      <c r="K98" s="876"/>
      <c r="L98" s="876"/>
      <c r="M98" s="877"/>
      <c r="N98" s="1386"/>
      <c r="O98" s="1386"/>
      <c r="P98" s="2325"/>
      <c r="Q98" s="121"/>
    </row>
    <row r="99" spans="1:17" ht="14.25" thickTop="1">
      <c r="A99" s="173"/>
      <c r="B99" s="1053">
        <f>B32</f>
        <v>111</v>
      </c>
      <c r="C99" s="140"/>
      <c r="D99" s="140"/>
      <c r="E99" s="140"/>
      <c r="F99" s="140"/>
      <c r="G99" s="135"/>
      <c r="H99" s="135"/>
      <c r="I99" s="135"/>
      <c r="J99" s="135"/>
      <c r="K99" s="136"/>
      <c r="L99" s="137"/>
      <c r="M99" s="138"/>
      <c r="N99" s="1385"/>
      <c r="O99" s="1385"/>
      <c r="P99" s="2325"/>
      <c r="Q99" s="121"/>
    </row>
    <row r="100" spans="1:17" ht="15" thickBot="1">
      <c r="A100" s="174"/>
      <c r="B100" s="1068"/>
      <c r="C100" s="910"/>
      <c r="D100" s="910"/>
      <c r="E100" s="910"/>
      <c r="F100" s="910"/>
      <c r="G100" s="931"/>
      <c r="H100" s="931"/>
      <c r="I100" s="931"/>
      <c r="J100" s="931"/>
      <c r="K100" s="931"/>
      <c r="L100" s="931"/>
      <c r="M100" s="932"/>
      <c r="N100" s="1386"/>
      <c r="O100" s="1386"/>
      <c r="P100" s="2325"/>
      <c r="Q100" s="121"/>
    </row>
    <row r="101" spans="1:17">
      <c r="A101" s="172" t="s">
        <v>1047</v>
      </c>
      <c r="B101" s="286" t="s">
        <v>1090</v>
      </c>
      <c r="C101" s="122"/>
      <c r="D101" s="122"/>
      <c r="E101" s="122"/>
      <c r="F101" s="122"/>
      <c r="G101" s="122"/>
      <c r="H101" s="122"/>
      <c r="I101" s="122"/>
      <c r="J101" s="122"/>
      <c r="K101" s="123"/>
      <c r="L101" s="124"/>
      <c r="M101" s="125"/>
      <c r="N101" s="1385"/>
      <c r="O101" s="1385"/>
      <c r="P101" s="2325"/>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6"/>
      <c r="O102" s="1386"/>
      <c r="P102" s="2325"/>
      <c r="Q102" s="121"/>
    </row>
    <row r="103" spans="1:17" ht="15" thickTop="1">
      <c r="A103" s="173"/>
      <c r="B103" s="1051" t="s">
        <v>1049</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4"/>
      <c r="O103" s="1384"/>
      <c r="P103" s="2325"/>
      <c r="Q103" s="121"/>
    </row>
    <row r="104" spans="1:17" s="1036" customFormat="1" ht="14.25">
      <c r="A104" s="1070"/>
      <c r="B104" s="1071"/>
      <c r="C104" s="935"/>
      <c r="D104" s="935"/>
      <c r="E104" s="935"/>
      <c r="F104" s="935"/>
      <c r="G104" s="935"/>
      <c r="H104" s="935"/>
      <c r="I104" s="935"/>
      <c r="J104" s="936"/>
      <c r="K104" s="936"/>
      <c r="L104" s="937"/>
      <c r="M104" s="938"/>
      <c r="N104" s="1387"/>
      <c r="O104" s="1387"/>
      <c r="P104" s="2326"/>
      <c r="Q104" s="1060"/>
    </row>
    <row r="105" spans="1:17" s="1036" customFormat="1" ht="15" thickBot="1">
      <c r="A105" s="1055"/>
      <c r="B105" s="1052"/>
      <c r="C105" s="900"/>
      <c r="D105" s="876"/>
      <c r="E105" s="876"/>
      <c r="F105" s="876"/>
      <c r="G105" s="876"/>
      <c r="H105" s="876"/>
      <c r="I105" s="876"/>
      <c r="J105" s="876"/>
      <c r="K105" s="876"/>
      <c r="L105" s="876"/>
      <c r="M105" s="877"/>
      <c r="N105" s="1386"/>
      <c r="O105" s="1386"/>
      <c r="P105" s="2326"/>
      <c r="Q105" s="1060"/>
    </row>
    <row r="106" spans="1:17" ht="14.25" thickTop="1">
      <c r="A106" s="175"/>
      <c r="B106" s="1051" t="s">
        <v>1050</v>
      </c>
      <c r="C106" s="139"/>
      <c r="D106" s="139"/>
      <c r="E106" s="131"/>
      <c r="F106" s="131"/>
      <c r="G106" s="131"/>
      <c r="H106" s="131"/>
      <c r="I106" s="131"/>
      <c r="J106" s="131"/>
      <c r="K106" s="132"/>
      <c r="L106" s="133"/>
      <c r="M106" s="134"/>
      <c r="N106" s="1385"/>
      <c r="O106" s="1385"/>
      <c r="P106" s="2325"/>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6"/>
      <c r="O107" s="1386"/>
      <c r="P107" s="2325"/>
      <c r="Q107" s="121"/>
    </row>
    <row r="108" spans="1:17" ht="14.25" thickTop="1">
      <c r="A108" s="175"/>
      <c r="B108" s="1051" t="s">
        <v>1051</v>
      </c>
      <c r="C108" s="139"/>
      <c r="D108" s="139"/>
      <c r="E108" s="139"/>
      <c r="F108" s="131"/>
      <c r="G108" s="131"/>
      <c r="H108" s="131"/>
      <c r="I108" s="131"/>
      <c r="J108" s="131"/>
      <c r="K108" s="132"/>
      <c r="L108" s="133"/>
      <c r="M108" s="134"/>
      <c r="N108" s="1385"/>
      <c r="O108" s="1385"/>
      <c r="P108" s="2325"/>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6"/>
      <c r="O109" s="1386"/>
      <c r="P109" s="2325"/>
      <c r="Q109" s="121"/>
    </row>
    <row r="110" spans="1:17" ht="15" thickTop="1">
      <c r="A110" s="175"/>
      <c r="B110" s="1051" t="s">
        <v>1052</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5"/>
      <c r="Q110" s="121"/>
    </row>
    <row r="111" spans="1:17" ht="14.25">
      <c r="A111" s="175"/>
      <c r="B111" s="1053"/>
      <c r="C111" s="943">
        <v>0.5</v>
      </c>
      <c r="D111" s="943">
        <v>0.6</v>
      </c>
      <c r="E111" s="943">
        <v>0.7</v>
      </c>
      <c r="F111" s="943">
        <v>0.8</v>
      </c>
      <c r="G111" s="943">
        <v>0.9</v>
      </c>
      <c r="H111" s="943">
        <v>1.0001</v>
      </c>
      <c r="I111" s="183"/>
      <c r="J111" s="183"/>
      <c r="K111" s="184"/>
      <c r="L111" s="185"/>
      <c r="M111" s="186"/>
      <c r="N111" s="1385"/>
      <c r="O111" s="1385"/>
      <c r="P111" s="2325"/>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6"/>
      <c r="O112" s="1386"/>
      <c r="P112" s="2325"/>
      <c r="Q112" s="121"/>
    </row>
    <row r="113" spans="1:17" s="1036" customFormat="1" ht="14.25" thickTop="1">
      <c r="A113" s="1070"/>
      <c r="B113" s="1051" t="s">
        <v>1091</v>
      </c>
      <c r="C113" s="139"/>
      <c r="D113" s="139"/>
      <c r="E113" s="139"/>
      <c r="F113" s="139"/>
      <c r="G113" s="139"/>
      <c r="H113" s="131"/>
      <c r="I113" s="131"/>
      <c r="J113" s="131"/>
      <c r="K113" s="132"/>
      <c r="L113" s="133"/>
      <c r="M113" s="134"/>
      <c r="N113" s="1387"/>
      <c r="O113" s="1387"/>
      <c r="P113" s="2326"/>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7"/>
      <c r="O114" s="1387"/>
      <c r="P114" s="2326"/>
      <c r="Q114" s="1060"/>
    </row>
    <row r="115" spans="1:17" ht="14.25" thickTop="1">
      <c r="A115" s="175"/>
      <c r="B115" s="1051" t="s">
        <v>1092</v>
      </c>
      <c r="C115" s="139"/>
      <c r="D115" s="139"/>
      <c r="E115" s="131"/>
      <c r="F115" s="131"/>
      <c r="G115" s="131"/>
      <c r="H115" s="131"/>
      <c r="I115" s="131"/>
      <c r="J115" s="131"/>
      <c r="K115" s="132"/>
      <c r="L115" s="133"/>
      <c r="M115" s="134"/>
      <c r="N115" s="1385"/>
      <c r="O115" s="1385"/>
      <c r="P115" s="2325"/>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6"/>
      <c r="O116" s="1386"/>
      <c r="P116" s="2325"/>
      <c r="Q116" s="121"/>
    </row>
    <row r="117" spans="1:17" ht="14.25" thickTop="1">
      <c r="A117" s="175"/>
      <c r="B117" s="1051" t="s">
        <v>2634</v>
      </c>
      <c r="C117" s="139"/>
      <c r="D117" s="139"/>
      <c r="E117" s="139"/>
      <c r="F117" s="139"/>
      <c r="G117" s="139"/>
      <c r="H117" s="131"/>
      <c r="I117" s="131"/>
      <c r="J117" s="131"/>
      <c r="K117" s="132"/>
      <c r="L117" s="133"/>
      <c r="M117" s="134"/>
      <c r="N117" s="1385"/>
      <c r="O117" s="1385"/>
      <c r="P117" s="2325"/>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6"/>
      <c r="O118" s="1386"/>
      <c r="P118" s="2325"/>
      <c r="Q118" s="121"/>
    </row>
    <row r="119" spans="1:17" ht="14.25" thickTop="1">
      <c r="A119" s="175"/>
      <c r="B119" s="211" t="s">
        <v>1054</v>
      </c>
      <c r="C119" s="131"/>
      <c r="D119" s="131"/>
      <c r="E119" s="131"/>
      <c r="F119" s="131"/>
      <c r="G119" s="131"/>
      <c r="H119" s="131"/>
      <c r="I119" s="131"/>
      <c r="J119" s="131"/>
      <c r="K119" s="131"/>
      <c r="L119" s="198"/>
      <c r="M119" s="199"/>
      <c r="N119" s="1386"/>
      <c r="O119" s="1386"/>
      <c r="P119" s="2330"/>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6"/>
      <c r="O120" s="1386"/>
      <c r="P120" s="2325"/>
      <c r="Q120" s="121"/>
    </row>
    <row r="121" spans="1:17" s="1036" customFormat="1" ht="15" thickTop="1">
      <c r="A121" s="1070"/>
      <c r="B121" s="1051" t="s">
        <v>1055</v>
      </c>
      <c r="C121" s="894"/>
      <c r="D121" s="894"/>
      <c r="E121" s="894"/>
      <c r="F121" s="923"/>
      <c r="G121" s="895"/>
      <c r="H121" s="895"/>
      <c r="I121" s="895"/>
      <c r="J121" s="895"/>
      <c r="K121" s="895"/>
      <c r="L121" s="896"/>
      <c r="M121" s="897"/>
      <c r="N121" s="1387"/>
      <c r="O121" s="1387"/>
      <c r="P121" s="2326"/>
      <c r="Q121" s="1060"/>
    </row>
    <row r="122" spans="1:17" s="1036" customFormat="1" ht="15" thickBot="1">
      <c r="A122" s="1055"/>
      <c r="B122" s="1050"/>
      <c r="C122" s="900"/>
      <c r="D122" s="900"/>
      <c r="E122" s="900"/>
      <c r="F122" s="900"/>
      <c r="G122" s="900"/>
      <c r="H122" s="900"/>
      <c r="I122" s="900"/>
      <c r="J122" s="900"/>
      <c r="K122" s="900"/>
      <c r="L122" s="900"/>
      <c r="M122" s="900"/>
      <c r="N122" s="1387"/>
      <c r="O122" s="1387"/>
      <c r="P122" s="2326"/>
      <c r="Q122" s="1060"/>
    </row>
    <row r="123" spans="1:17" ht="14.25" thickTop="1">
      <c r="A123" s="175"/>
      <c r="B123" s="1051" t="s">
        <v>1057</v>
      </c>
      <c r="C123" s="139"/>
      <c r="D123" s="139"/>
      <c r="E123" s="139"/>
      <c r="F123" s="131"/>
      <c r="G123" s="131"/>
      <c r="H123" s="131"/>
      <c r="I123" s="131"/>
      <c r="J123" s="131"/>
      <c r="K123" s="132"/>
      <c r="L123" s="133"/>
      <c r="M123" s="134"/>
      <c r="N123" s="1385"/>
      <c r="O123" s="1385"/>
      <c r="P123" s="2325"/>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6"/>
      <c r="O124" s="1386"/>
      <c r="P124" s="2325"/>
      <c r="Q124" s="121"/>
    </row>
    <row r="125" spans="1:17" ht="27.75" thickTop="1">
      <c r="A125" s="175"/>
      <c r="B125" s="1051" t="s">
        <v>1058</v>
      </c>
      <c r="C125" s="918" t="s">
        <v>1007</v>
      </c>
      <c r="D125" s="918" t="s">
        <v>1008</v>
      </c>
      <c r="E125" s="918" t="s">
        <v>1009</v>
      </c>
      <c r="F125" s="918" t="s">
        <v>1010</v>
      </c>
      <c r="G125" s="918" t="s">
        <v>1011</v>
      </c>
      <c r="H125" s="879"/>
      <c r="I125" s="879"/>
      <c r="J125" s="879"/>
      <c r="K125" s="880"/>
      <c r="L125" s="881"/>
      <c r="M125" s="882"/>
      <c r="N125" s="1385"/>
      <c r="O125" s="1385"/>
      <c r="P125" s="2326"/>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6"/>
      <c r="O126" s="1386"/>
      <c r="P126" s="2325"/>
      <c r="Q126" s="121"/>
    </row>
    <row r="127" spans="1:17" s="1036" customFormat="1" ht="14.25" thickTop="1">
      <c r="A127" s="1070"/>
      <c r="B127" s="1051">
        <f>B45</f>
        <v>111</v>
      </c>
      <c r="C127" s="139"/>
      <c r="D127" s="139"/>
      <c r="E127" s="139"/>
      <c r="F127" s="139"/>
      <c r="G127" s="139"/>
      <c r="H127" s="1056"/>
      <c r="I127" s="1056"/>
      <c r="J127" s="1056"/>
      <c r="K127" s="1056"/>
      <c r="L127" s="1057"/>
      <c r="M127" s="1058"/>
      <c r="N127" s="1387"/>
      <c r="O127" s="1387"/>
      <c r="P127" s="2326"/>
      <c r="Q127" s="1060"/>
    </row>
    <row r="128" spans="1:17" s="1036" customFormat="1" ht="15" thickBot="1">
      <c r="A128" s="1055"/>
      <c r="B128" s="1052"/>
      <c r="C128" s="900"/>
      <c r="D128" s="876"/>
      <c r="E128" s="876"/>
      <c r="F128" s="876"/>
      <c r="G128" s="900"/>
      <c r="H128" s="902"/>
      <c r="I128" s="902"/>
      <c r="J128" s="902"/>
      <c r="K128" s="902"/>
      <c r="L128" s="902"/>
      <c r="M128" s="903"/>
      <c r="N128" s="1387"/>
      <c r="O128" s="1387"/>
      <c r="P128" s="2326"/>
      <c r="Q128" s="1060"/>
    </row>
    <row r="129" spans="1:17" ht="14.25" thickTop="1">
      <c r="A129" s="175"/>
      <c r="B129" s="1051">
        <f>B46</f>
        <v>111</v>
      </c>
      <c r="C129" s="139"/>
      <c r="D129" s="139"/>
      <c r="E129" s="139"/>
      <c r="F129" s="139"/>
      <c r="G129" s="131"/>
      <c r="H129" s="131"/>
      <c r="I129" s="131"/>
      <c r="J129" s="131"/>
      <c r="K129" s="132"/>
      <c r="L129" s="133"/>
      <c r="M129" s="134"/>
      <c r="N129" s="1385"/>
      <c r="O129" s="1385"/>
      <c r="P129" s="2325"/>
      <c r="Q129" s="121"/>
    </row>
    <row r="130" spans="1:17" ht="15" thickBot="1">
      <c r="A130" s="173"/>
      <c r="B130" s="1052"/>
      <c r="C130" s="900"/>
      <c r="D130" s="900"/>
      <c r="E130" s="900"/>
      <c r="F130" s="900"/>
      <c r="G130" s="876"/>
      <c r="H130" s="876"/>
      <c r="I130" s="876"/>
      <c r="J130" s="876"/>
      <c r="K130" s="876"/>
      <c r="L130" s="876"/>
      <c r="M130" s="877"/>
      <c r="N130" s="1386"/>
      <c r="O130" s="1386"/>
      <c r="P130" s="2325"/>
      <c r="Q130" s="121"/>
    </row>
    <row r="131" spans="1:17" ht="14.25" thickTop="1">
      <c r="A131" s="175"/>
      <c r="B131" s="1053">
        <f>B47</f>
        <v>111</v>
      </c>
      <c r="C131" s="140"/>
      <c r="D131" s="140"/>
      <c r="E131" s="140"/>
      <c r="F131" s="140"/>
      <c r="G131" s="135"/>
      <c r="H131" s="135"/>
      <c r="I131" s="135"/>
      <c r="J131" s="135"/>
      <c r="K131" s="140"/>
      <c r="L131" s="141"/>
      <c r="M131" s="138"/>
      <c r="N131" s="1385"/>
      <c r="O131" s="1385"/>
      <c r="P131" s="2325"/>
      <c r="Q131" s="121"/>
    </row>
    <row r="132" spans="1:17" ht="15" thickBot="1">
      <c r="A132" s="174"/>
      <c r="B132" s="1068"/>
      <c r="C132" s="910"/>
      <c r="D132" s="910"/>
      <c r="E132" s="910"/>
      <c r="F132" s="910"/>
      <c r="G132" s="931"/>
      <c r="H132" s="931"/>
      <c r="I132" s="931"/>
      <c r="J132" s="931"/>
      <c r="K132" s="931"/>
      <c r="L132" s="931"/>
      <c r="M132" s="932"/>
      <c r="N132" s="1386"/>
      <c r="O132" s="1386"/>
      <c r="P132" s="2325"/>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2" t="s">
        <v>2004</v>
      </c>
    </row>
    <row r="2" spans="1:1">
      <c r="A2" s="1943"/>
    </row>
    <row r="3" spans="1:1" ht="18.75">
      <c r="A3" s="2882" t="str">
        <f>项目基本情况!B5&amp;"："</f>
        <v>北京京投灜德置业有限公司：</v>
      </c>
    </row>
    <row r="4" spans="1:1" ht="37.5">
      <c r="A4" s="1944" t="str">
        <f>"受贵公司委托，我公司对"&amp;项目基本情况!S1&amp;"进行了预评估。"</f>
        <v>受贵公司委托，我公司对北京市北京市门头沟区潭柘寺MC01-0003-6004地块C3出让国有建设用地使用权及在建建筑物房地产抵押价值进行了预评估。</v>
      </c>
    </row>
    <row r="5" spans="1:1" ht="18.75">
      <c r="A5" s="1945" t="s">
        <v>2005</v>
      </c>
    </row>
    <row r="6" spans="1:1" ht="18.75">
      <c r="A6" s="3048" t="s">
        <v>2864</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门头沟区潭柘寺MC01-0003-6004地块C3出让国有建设用地使用权及在建建筑物房地产，为所有。根据《国有土地使用证》[]，估价对象（分摊）出让国有建设用地使用权面积为27526.28平方米，建筑面积为54996.8平方米。</v>
      </c>
    </row>
    <row r="8" spans="1:1" ht="56.25">
      <c r="A8" s="1987" t="s">
        <v>2858</v>
      </c>
    </row>
    <row r="9" spans="1:1" ht="18.75">
      <c r="A9" s="3048" t="s">
        <v>2865</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门头沟区潭柘寺MC01-0003-6004地块C3出让国有建设用地使用权及在建建筑物房地产,属开发建设的综合项目（居住、综合），该项目尚在开发建设中。根据《国有土地使用证》[]，估价对象（分摊）出让国有建设用地使用权面积为27526.28平方米，规划建筑面积为54996.8平方米。</v>
      </c>
    </row>
    <row r="11" spans="1:1" ht="75">
      <c r="A11" s="1987" t="s">
        <v>2899</v>
      </c>
    </row>
    <row r="12" spans="1:1" ht="18.75">
      <c r="A12" s="1945" t="s">
        <v>2006</v>
      </c>
    </row>
    <row r="13" spans="1:1" ht="38.25" customHeight="1">
      <c r="A13" s="1946" t="str">
        <f>IF(项目基本情况!B8="抵押",IF(项目基本情况!B5=项目基本情况!B6,定义!C51,定义!B51),定义!D51)</f>
        <v>为估价委托人在向中国工商银行股份有限公司北京珠市口支行办理贷款手续过程中，确定房地产抵押贷款额度提供参考依据而评估房地产抵押价值。</v>
      </c>
    </row>
    <row r="14" spans="1:1" ht="18.75">
      <c r="A14" s="1947" t="s">
        <v>2007</v>
      </c>
    </row>
    <row r="15" spans="1:1" ht="18.75">
      <c r="A15" s="1948" t="str">
        <f>TEXT(项目基本情况!D3,"yyyy年m月d日;;")&amp;IF(项目基本情况!D3=项目基本情况!B3,"（评估专业人员实地查勘之日）","")</f>
        <v>2017年8月28日（评估专业人员实地查勘之日）</v>
      </c>
    </row>
    <row r="16" spans="1:1" ht="18.75">
      <c r="A16" s="1947" t="s">
        <v>2009</v>
      </c>
    </row>
    <row r="17" spans="1:1" ht="75">
      <c r="A17" s="1944" t="s">
        <v>2859</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28日，估价对象规划用途为住宅、仓储、地下车库，土地取得方式为出让，出让国有建设用地使用权剩余土地使用年限为住宅67.23年、仓储及地下车库47.23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仓储、地下车库，实际开发程度为宗地红线外“七通”（即通路、通电、通上水、通下水、通讯、燃气、）、红线内场地平整条件下，剩余土地使用年限为住宅67.23年、仓储及地下车库47.23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2025</v>
      </c>
    </row>
    <row r="24" spans="1:1" ht="18.75">
      <c r="A24" s="1950" t="str">
        <f>"本次评估采用的主估价方法为"&amp;结果表!K4&amp;"和"&amp;结果表!L4&amp;"。"</f>
        <v>本次评估采用的主估价方法为成本法和假设开发法。</v>
      </c>
    </row>
    <row r="25" spans="1:1" ht="18.75">
      <c r="A25" s="1950"/>
    </row>
    <row r="26" spans="1:1" ht="18.75">
      <c r="A26" s="2079" t="s">
        <v>2104</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2" sqref="C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1097</v>
      </c>
      <c r="B1" s="3114" t="s">
        <v>1098</v>
      </c>
      <c r="C1" s="3108" t="s">
        <v>1099</v>
      </c>
      <c r="D1" s="3099"/>
      <c r="E1" s="3104"/>
      <c r="F1" s="3101"/>
      <c r="G1" s="3103" t="s">
        <v>1100</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1101</v>
      </c>
      <c r="B2" s="2840" t="e">
        <f ca="1">IF(C2="——",ROUND(C43*D3/10000,0),ROUND(C43*D3/10000,0)-D2)</f>
        <v>#DIV/0!</v>
      </c>
      <c r="C2" s="3093"/>
      <c r="D2" s="2338" t="e">
        <f ca="1">SUMIF(INDIRECT("'"&amp;F2&amp;"'"&amp;"!A:A"),"承租人权益价值",INDIRECT("'"&amp;F2&amp;"'"&amp;"!c:c"))</f>
        <v>#REF!</v>
      </c>
      <c r="E2" s="3094" t="s">
        <v>862</v>
      </c>
      <c r="F2" s="3095"/>
      <c r="G2" s="2314"/>
      <c r="H2" s="2314"/>
      <c r="I2" s="2314"/>
      <c r="J2" s="2314"/>
      <c r="K2" s="2314"/>
      <c r="L2" s="2315"/>
      <c r="M2" s="2316"/>
      <c r="N2" s="2316"/>
      <c r="O2" s="2316"/>
      <c r="P2" s="1331"/>
      <c r="Q2" s="1331"/>
      <c r="R2" s="1331"/>
      <c r="S2" s="1331"/>
      <c r="T2" s="1331"/>
      <c r="U2" s="1331"/>
      <c r="V2" s="1331"/>
      <c r="W2" s="1331"/>
      <c r="X2" s="1331"/>
      <c r="Y2" s="1331"/>
      <c r="Z2" s="1331"/>
      <c r="AA2" s="1331"/>
      <c r="AB2" s="1331"/>
      <c r="AC2" s="1388"/>
    </row>
    <row r="3" spans="1:29" s="90" customFormat="1" ht="28.5" customHeight="1" thickBot="1">
      <c r="A3" s="87" t="s">
        <v>1102</v>
      </c>
      <c r="B3" s="949" t="e">
        <f ca="1">IF(C2="——",C43,ROUND(B2*10000/D3,0))</f>
        <v>#DIV/0!</v>
      </c>
      <c r="C3" s="142" t="s">
        <v>1103</v>
      </c>
      <c r="D3" s="741">
        <f>IF(D1="",'数据-汇总表'!E3,SUMIF('数据-汇总表'!$C19:$C33,D1,'数据-汇总表'!$E19:$E33))</f>
        <v>54996.800000000003</v>
      </c>
      <c r="E3" s="2314"/>
      <c r="F3" s="2313"/>
      <c r="G3" s="2314"/>
      <c r="H3" s="2314"/>
      <c r="I3" s="2314"/>
      <c r="J3" s="2314"/>
      <c r="K3" s="2317"/>
      <c r="L3" s="2315"/>
      <c r="M3" s="2316"/>
      <c r="N3" s="2316"/>
      <c r="O3" s="2316"/>
      <c r="P3" s="1331"/>
      <c r="Q3" s="1331"/>
      <c r="R3" s="1331"/>
      <c r="S3" s="1331"/>
      <c r="T3" s="1331"/>
      <c r="U3" s="1331"/>
      <c r="V3" s="1331"/>
      <c r="W3" s="1331"/>
      <c r="X3" s="1331"/>
      <c r="Y3" s="1331"/>
      <c r="Z3" s="1331"/>
      <c r="AA3" s="1331"/>
      <c r="AB3" s="1406"/>
      <c r="AC3" s="1388"/>
    </row>
    <row r="4" spans="1:29">
      <c r="A4" s="143" t="s">
        <v>1104</v>
      </c>
      <c r="B4" s="144"/>
      <c r="C4" s="3742" t="s">
        <v>1105</v>
      </c>
      <c r="D4" s="3743"/>
      <c r="E4" s="3744" t="s">
        <v>1106</v>
      </c>
      <c r="F4" s="3745"/>
      <c r="G4" s="3742" t="s">
        <v>1107</v>
      </c>
      <c r="H4" s="3743"/>
      <c r="I4" s="3742" t="s">
        <v>1108</v>
      </c>
      <c r="J4" s="3743"/>
      <c r="K4" s="187" t="s">
        <v>1109</v>
      </c>
      <c r="L4" s="2291"/>
      <c r="M4" s="2292"/>
      <c r="N4" s="2292"/>
      <c r="O4" s="2292"/>
      <c r="P4" s="3746" t="s">
        <v>1104</v>
      </c>
      <c r="Q4" s="3747"/>
      <c r="R4" s="3737" t="s">
        <v>1106</v>
      </c>
      <c r="S4" s="3738"/>
      <c r="T4" s="3737" t="s">
        <v>1107</v>
      </c>
      <c r="U4" s="3738"/>
      <c r="V4" s="3754" t="s">
        <v>1108</v>
      </c>
      <c r="W4" s="3754"/>
      <c r="X4" s="1337"/>
      <c r="Y4" s="3737" t="s">
        <v>1104</v>
      </c>
      <c r="Z4" s="3738"/>
      <c r="AA4" s="3732" t="s">
        <v>1106</v>
      </c>
      <c r="AB4" s="3733" t="s">
        <v>1107</v>
      </c>
      <c r="AC4" s="3732" t="s">
        <v>1108</v>
      </c>
    </row>
    <row r="5" spans="1:29">
      <c r="A5" s="146"/>
      <c r="B5" s="147"/>
      <c r="C5" s="3667" t="s">
        <v>1110</v>
      </c>
      <c r="D5" s="3668"/>
      <c r="E5" s="3665" t="s">
        <v>1111</v>
      </c>
      <c r="F5" s="3666"/>
      <c r="G5" s="3667" t="s">
        <v>1112</v>
      </c>
      <c r="H5" s="3668"/>
      <c r="I5" s="3667" t="s">
        <v>1113</v>
      </c>
      <c r="J5" s="3668"/>
      <c r="K5" s="187"/>
      <c r="L5" s="2291"/>
      <c r="M5" s="2292"/>
      <c r="N5" s="2292"/>
      <c r="O5" s="2292"/>
      <c r="P5" s="3748"/>
      <c r="Q5" s="3749"/>
      <c r="R5" s="3739"/>
      <c r="S5" s="3740"/>
      <c r="T5" s="3739"/>
      <c r="U5" s="3740"/>
      <c r="V5" s="3754"/>
      <c r="W5" s="3754"/>
      <c r="X5" s="1337"/>
      <c r="Y5" s="3739"/>
      <c r="Z5" s="3740"/>
      <c r="AA5" s="3733"/>
      <c r="AB5" s="3733"/>
      <c r="AC5" s="3733"/>
    </row>
    <row r="6" spans="1:29" ht="14.25" thickBot="1">
      <c r="A6" s="148"/>
      <c r="B6" s="149"/>
      <c r="C6" s="3669" t="s">
        <v>1114</v>
      </c>
      <c r="D6" s="3670"/>
      <c r="E6" s="3671" t="s">
        <v>1114</v>
      </c>
      <c r="F6" s="3672"/>
      <c r="G6" s="3669" t="s">
        <v>1114</v>
      </c>
      <c r="H6" s="3670"/>
      <c r="I6" s="3669" t="s">
        <v>1114</v>
      </c>
      <c r="J6" s="3670"/>
      <c r="K6" s="187" t="s">
        <v>1115</v>
      </c>
      <c r="L6" s="2291"/>
      <c r="M6" s="2292"/>
      <c r="N6" s="2292"/>
      <c r="O6" s="2292"/>
      <c r="P6" s="3750"/>
      <c r="Q6" s="3751"/>
      <c r="R6" s="3739"/>
      <c r="S6" s="3740"/>
      <c r="T6" s="3752"/>
      <c r="U6" s="3753"/>
      <c r="V6" s="3754"/>
      <c r="W6" s="3754"/>
      <c r="X6" s="1337"/>
      <c r="Y6" s="3752"/>
      <c r="Z6" s="3753"/>
      <c r="AA6" s="3734"/>
      <c r="AB6" s="3734"/>
      <c r="AC6" s="3734"/>
    </row>
    <row r="7" spans="1:29" s="40" customFormat="1" ht="15" thickBot="1">
      <c r="A7" s="1011" t="s">
        <v>1116</v>
      </c>
      <c r="B7" s="1012"/>
      <c r="C7" s="752">
        <f>'数据-取费表'!B2</f>
        <v>42975</v>
      </c>
      <c r="D7" s="753">
        <v>100</v>
      </c>
      <c r="E7" s="1014"/>
      <c r="F7" s="755">
        <f>SUMIF(52:52,YEAR(E7)&amp;"-"&amp;MONTH(E7),53:53)</f>
        <v>0</v>
      </c>
      <c r="G7" s="1014"/>
      <c r="H7" s="753">
        <f>SUMIF(52:52,YEAR(G7)&amp;"-"&amp;MONTH(G7),53:53)</f>
        <v>0</v>
      </c>
      <c r="I7" s="1014"/>
      <c r="J7" s="753">
        <f>SUMIF(52:52,YEAR(I7)&amp;"-"&amp;MONTH(I7),53:53)</f>
        <v>0</v>
      </c>
      <c r="K7" s="1016"/>
      <c r="L7" s="2293"/>
      <c r="M7" s="2255"/>
      <c r="N7" s="2255"/>
      <c r="O7" s="2255"/>
      <c r="P7" s="3735" t="s">
        <v>1116</v>
      </c>
      <c r="Q7" s="3755"/>
      <c r="R7" s="1339" t="s">
        <v>65</v>
      </c>
      <c r="S7" s="1340">
        <f t="shared" ref="S7:S15" si="0">F7</f>
        <v>0</v>
      </c>
      <c r="T7" s="1339" t="s">
        <v>65</v>
      </c>
      <c r="U7" s="1340">
        <f t="shared" ref="U7:U15" si="1">H7</f>
        <v>0</v>
      </c>
      <c r="V7" s="1339" t="s">
        <v>65</v>
      </c>
      <c r="W7" s="1340">
        <f t="shared" ref="W7:W15" si="2">J7</f>
        <v>0</v>
      </c>
      <c r="X7" s="287"/>
      <c r="Y7" s="3735" t="s">
        <v>1116</v>
      </c>
      <c r="Z7" s="3736"/>
      <c r="AA7" s="1341" t="e">
        <f>D7/F7</f>
        <v>#DIV/0!</v>
      </c>
      <c r="AB7" s="1341" t="e">
        <f>D7/H7</f>
        <v>#DIV/0!</v>
      </c>
      <c r="AC7" s="1341" t="e">
        <f>D7/J7</f>
        <v>#DIV/0!</v>
      </c>
    </row>
    <row r="8" spans="1:29" s="40" customFormat="1" ht="15" thickBot="1">
      <c r="A8" s="1011" t="s">
        <v>1117</v>
      </c>
      <c r="B8" s="1012"/>
      <c r="C8" s="1017" t="s">
        <v>155</v>
      </c>
      <c r="D8" s="753">
        <v>100</v>
      </c>
      <c r="E8" s="1017"/>
      <c r="F8" s="755">
        <f>SUMIF(55:55,E8,56:56)-SUMIF(55:55,C8,56:56)+100</f>
        <v>0</v>
      </c>
      <c r="G8" s="1017"/>
      <c r="H8" s="753">
        <f>SUMIF(55:55,G8,56:56)-SUMIF(55:55,C8,56:56)+100</f>
        <v>0</v>
      </c>
      <c r="I8" s="1017"/>
      <c r="J8" s="753">
        <f>SUMIF(55:55,I8,56:56)-SUMIF(55:55,C8,56:56)+100</f>
        <v>0</v>
      </c>
      <c r="K8" s="1016"/>
      <c r="L8" s="2293"/>
      <c r="M8" s="2255"/>
      <c r="N8" s="2255"/>
      <c r="O8" s="2255"/>
      <c r="P8" s="3735" t="s">
        <v>1012</v>
      </c>
      <c r="Q8" s="3736"/>
      <c r="R8" s="1339" t="s">
        <v>65</v>
      </c>
      <c r="S8" s="1340">
        <f t="shared" si="0"/>
        <v>0</v>
      </c>
      <c r="T8" s="1339" t="s">
        <v>65</v>
      </c>
      <c r="U8" s="1340">
        <f t="shared" si="1"/>
        <v>0</v>
      </c>
      <c r="V8" s="1339" t="s">
        <v>65</v>
      </c>
      <c r="W8" s="1340">
        <f t="shared" si="2"/>
        <v>0</v>
      </c>
      <c r="X8" s="287"/>
      <c r="Y8" s="3735" t="s">
        <v>1012</v>
      </c>
      <c r="Z8" s="3736"/>
      <c r="AA8" s="1341" t="e">
        <f t="shared" ref="AA8:AA40" si="3">D8/F8</f>
        <v>#DIV/0!</v>
      </c>
      <c r="AB8" s="1341" t="e">
        <f t="shared" ref="AB8:AB40" si="4">D8/H8</f>
        <v>#DIV/0!</v>
      </c>
      <c r="AC8" s="1341" t="e">
        <f t="shared" ref="AC8:AC40" si="5">D8/J8</f>
        <v>#DIV/0!</v>
      </c>
    </row>
    <row r="9" spans="1:29" s="40" customFormat="1" ht="14.25">
      <c r="A9" s="1018" t="s">
        <v>1013</v>
      </c>
      <c r="B9" s="62" t="s">
        <v>1014</v>
      </c>
      <c r="C9" s="1342"/>
      <c r="D9" s="425">
        <v>100</v>
      </c>
      <c r="E9" s="1344"/>
      <c r="F9" s="425">
        <f>SUMIF(57:57,E9,58:58)-SUMIF(57:57,C9,58:58)+100</f>
        <v>100</v>
      </c>
      <c r="G9" s="1343"/>
      <c r="H9" s="425">
        <f>SUMIF(57:57,G9,58:58)-SUMIF(57:57,C9,58:58)+100</f>
        <v>100</v>
      </c>
      <c r="I9" s="1343"/>
      <c r="J9" s="425">
        <f>SUMIF(57:57,I9,58:58)-SUMIF(57:57,C9,58:58)+100</f>
        <v>100</v>
      </c>
      <c r="K9" s="1016"/>
      <c r="L9" s="2293"/>
      <c r="M9" s="2255"/>
      <c r="N9" s="2255"/>
      <c r="O9" s="2334"/>
      <c r="P9" s="3759" t="s">
        <v>67</v>
      </c>
      <c r="Q9" s="7" t="str">
        <f t="shared" ref="Q9:Q15" si="6">B9</f>
        <v>用途</v>
      </c>
      <c r="R9" s="1339" t="s">
        <v>65</v>
      </c>
      <c r="S9" s="1340">
        <f t="shared" si="0"/>
        <v>100</v>
      </c>
      <c r="T9" s="1339" t="s">
        <v>65</v>
      </c>
      <c r="U9" s="1340">
        <f t="shared" si="1"/>
        <v>100</v>
      </c>
      <c r="V9" s="1339" t="s">
        <v>65</v>
      </c>
      <c r="W9" s="1340">
        <f t="shared" si="2"/>
        <v>100</v>
      </c>
      <c r="X9" s="287"/>
      <c r="Y9" s="3528" t="s">
        <v>67</v>
      </c>
      <c r="Z9" s="288" t="str">
        <f t="shared" ref="Z9:Z15" si="7">Q9</f>
        <v>用途</v>
      </c>
      <c r="AA9" s="1341">
        <f t="shared" si="3"/>
        <v>1</v>
      </c>
      <c r="AB9" s="1341">
        <f t="shared" si="4"/>
        <v>1</v>
      </c>
      <c r="AC9" s="1341">
        <f t="shared" si="5"/>
        <v>1</v>
      </c>
    </row>
    <row r="10" spans="1:29" s="92" customFormat="1" ht="27">
      <c r="A10" s="150"/>
      <c r="B10" s="12" t="s">
        <v>106</v>
      </c>
      <c r="C10" s="1345"/>
      <c r="D10" s="426">
        <v>100</v>
      </c>
      <c r="E10" s="1345"/>
      <c r="F10" s="426">
        <f>SUMIF(59:59,E10,60:60)-SUMIF(59:59,C10,60:60)+100</f>
        <v>100</v>
      </c>
      <c r="G10" s="1346"/>
      <c r="H10" s="426">
        <f>SUMIF(59:59,G10,60:60)-SUMIF(59:59,C10,60:60)+100</f>
        <v>100</v>
      </c>
      <c r="I10" s="1345"/>
      <c r="J10" s="426">
        <f>SUMIF(59:59,I10,60:60)-SUMIF(59:59,C10,60:60)+100</f>
        <v>100</v>
      </c>
      <c r="K10" s="952"/>
      <c r="L10" s="2294"/>
      <c r="M10" s="2295"/>
      <c r="N10" s="2295"/>
      <c r="O10" s="2335"/>
      <c r="P10" s="3759"/>
      <c r="Q10" s="7" t="str">
        <f t="shared" si="6"/>
        <v>土地使用年限（年）</v>
      </c>
      <c r="R10" s="1339" t="s">
        <v>65</v>
      </c>
      <c r="S10" s="1340">
        <f t="shared" si="0"/>
        <v>100</v>
      </c>
      <c r="T10" s="1339" t="s">
        <v>65</v>
      </c>
      <c r="U10" s="1340">
        <f t="shared" si="1"/>
        <v>100</v>
      </c>
      <c r="V10" s="1339" t="s">
        <v>65</v>
      </c>
      <c r="W10" s="1340">
        <f t="shared" si="2"/>
        <v>100</v>
      </c>
      <c r="X10" s="287"/>
      <c r="Y10" s="3528"/>
      <c r="Z10" s="288" t="str">
        <f t="shared" si="7"/>
        <v>土地使用年限（年）</v>
      </c>
      <c r="AA10" s="1341">
        <f t="shared" si="3"/>
        <v>1</v>
      </c>
      <c r="AB10" s="1341">
        <f t="shared" si="4"/>
        <v>1</v>
      </c>
      <c r="AC10" s="1341">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2"/>
      <c r="L11" s="2296"/>
      <c r="M11" s="2292"/>
      <c r="N11" s="2292"/>
      <c r="O11" s="2336"/>
      <c r="P11" s="3759"/>
      <c r="Q11" s="7" t="str">
        <f t="shared" si="6"/>
        <v>容积率</v>
      </c>
      <c r="R11" s="1339" t="s">
        <v>65</v>
      </c>
      <c r="S11" s="1340" t="e">
        <f t="shared" si="0"/>
        <v>#N/A</v>
      </c>
      <c r="T11" s="1339" t="s">
        <v>65</v>
      </c>
      <c r="U11" s="1340" t="e">
        <f t="shared" si="1"/>
        <v>#N/A</v>
      </c>
      <c r="V11" s="1339" t="s">
        <v>65</v>
      </c>
      <c r="W11" s="1340" t="e">
        <f t="shared" si="2"/>
        <v>#N/A</v>
      </c>
      <c r="X11" s="287"/>
      <c r="Y11" s="3528"/>
      <c r="Z11" s="288" t="str">
        <f t="shared" si="7"/>
        <v>容积率</v>
      </c>
      <c r="AA11" s="1341" t="e">
        <f t="shared" si="3"/>
        <v>#N/A</v>
      </c>
      <c r="AB11" s="1341" t="e">
        <f t="shared" si="4"/>
        <v>#N/A</v>
      </c>
      <c r="AC11" s="1341" t="e">
        <f t="shared" si="5"/>
        <v>#N/A</v>
      </c>
    </row>
    <row r="12" spans="1:29" s="40" customFormat="1" ht="14.25">
      <c r="A12" s="1027"/>
      <c r="B12" s="1028">
        <v>111</v>
      </c>
      <c r="C12" s="1021"/>
      <c r="D12" s="775">
        <v>100</v>
      </c>
      <c r="E12" s="93"/>
      <c r="F12" s="426">
        <f>SUMIF(64:64,E12,65:65)-SUMIF(64:64,C12,65:65)+100</f>
        <v>100</v>
      </c>
      <c r="G12" s="1407"/>
      <c r="H12" s="426">
        <f>SUMIF(64:64,G12,65:65)-SUMIF(64:64,C12,65:65)+100</f>
        <v>100</v>
      </c>
      <c r="I12" s="1354"/>
      <c r="J12" s="426">
        <f>SUMIF(64:64,I12,65:65)-SUMIF(64:64,C12,65:65)+100</f>
        <v>100</v>
      </c>
      <c r="K12" s="188"/>
      <c r="L12" s="2293"/>
      <c r="M12" s="2255"/>
      <c r="N12" s="2255"/>
      <c r="O12" s="2334"/>
      <c r="P12" s="3759"/>
      <c r="Q12" s="7">
        <f t="shared" si="6"/>
        <v>111</v>
      </c>
      <c r="R12" s="1339" t="s">
        <v>65</v>
      </c>
      <c r="S12" s="1340">
        <f t="shared" si="0"/>
        <v>100</v>
      </c>
      <c r="T12" s="1339" t="s">
        <v>65</v>
      </c>
      <c r="U12" s="1340">
        <f t="shared" si="1"/>
        <v>100</v>
      </c>
      <c r="V12" s="1339" t="s">
        <v>65</v>
      </c>
      <c r="W12" s="1340">
        <f t="shared" si="2"/>
        <v>100</v>
      </c>
      <c r="X12" s="287"/>
      <c r="Y12" s="3528"/>
      <c r="Z12" s="288">
        <f t="shared" si="7"/>
        <v>111</v>
      </c>
      <c r="AA12" s="1341">
        <f>D12/F12</f>
        <v>1</v>
      </c>
      <c r="AB12" s="1341">
        <f>D12/H12</f>
        <v>1</v>
      </c>
      <c r="AC12" s="1341">
        <f>D12/J12</f>
        <v>1</v>
      </c>
    </row>
    <row r="13" spans="1:29" ht="14.25">
      <c r="A13" s="151"/>
      <c r="B13" s="1028">
        <v>111</v>
      </c>
      <c r="C13" s="93"/>
      <c r="D13" s="777">
        <v>100</v>
      </c>
      <c r="E13" s="93"/>
      <c r="F13" s="426">
        <f>SUMIF(66:66,E13,67:67)-SUMIF(66:66,C13,67:67)+100</f>
        <v>100</v>
      </c>
      <c r="G13" s="1407"/>
      <c r="H13" s="777">
        <f>SUMIF(66:66,G13,67:67)-SUMIF(66:66,C13,67:67)+100</f>
        <v>100</v>
      </c>
      <c r="I13" s="1354"/>
      <c r="J13" s="777">
        <f>SUMIF(66:66,I13,67:67)-SUMIF(66:66,C13,67:67)+100</f>
        <v>100</v>
      </c>
      <c r="K13" s="188"/>
      <c r="L13" s="2297"/>
      <c r="M13" s="2292"/>
      <c r="N13" s="2292"/>
      <c r="O13" s="2336"/>
      <c r="P13" s="3759"/>
      <c r="Q13" s="7">
        <f t="shared" si="6"/>
        <v>111</v>
      </c>
      <c r="R13" s="1339" t="s">
        <v>65</v>
      </c>
      <c r="S13" s="1340">
        <f t="shared" si="0"/>
        <v>100</v>
      </c>
      <c r="T13" s="1339" t="s">
        <v>65</v>
      </c>
      <c r="U13" s="1340">
        <f t="shared" si="1"/>
        <v>100</v>
      </c>
      <c r="V13" s="1339" t="s">
        <v>65</v>
      </c>
      <c r="W13" s="1340">
        <f t="shared" si="2"/>
        <v>100</v>
      </c>
      <c r="X13" s="287"/>
      <c r="Y13" s="3528"/>
      <c r="Z13" s="288">
        <f t="shared" si="7"/>
        <v>111</v>
      </c>
      <c r="AA13" s="1341">
        <f t="shared" si="3"/>
        <v>1</v>
      </c>
      <c r="AB13" s="1341">
        <f t="shared" si="4"/>
        <v>1</v>
      </c>
      <c r="AC13" s="1341">
        <f t="shared" si="5"/>
        <v>1</v>
      </c>
    </row>
    <row r="14" spans="1:29" ht="15" thickBot="1">
      <c r="A14" s="154"/>
      <c r="B14" s="1029">
        <v>111</v>
      </c>
      <c r="C14" s="94"/>
      <c r="D14" s="780">
        <v>100</v>
      </c>
      <c r="E14" s="94"/>
      <c r="F14" s="780">
        <f>SUMIF(68:68,E14,69:69)-SUMIF(68:68,C14,69:69)+100</f>
        <v>100</v>
      </c>
      <c r="G14" s="1407"/>
      <c r="H14" s="780">
        <f>SUMIF(68:68,G14,69:69)-SUMIF(68:68,C14,69:69)+100</f>
        <v>100</v>
      </c>
      <c r="I14" s="1354"/>
      <c r="J14" s="780">
        <f>SUMIF(68:68,I14,69:69)-SUMIF(68:68,C14,69:69)+100</f>
        <v>100</v>
      </c>
      <c r="K14" s="188"/>
      <c r="L14" s="2297"/>
      <c r="M14" s="2292"/>
      <c r="N14" s="2292"/>
      <c r="O14" s="2336"/>
      <c r="P14" s="3759"/>
      <c r="Q14" s="7">
        <f t="shared" si="6"/>
        <v>111</v>
      </c>
      <c r="R14" s="1339" t="s">
        <v>65</v>
      </c>
      <c r="S14" s="1340">
        <f t="shared" si="0"/>
        <v>100</v>
      </c>
      <c r="T14" s="1339" t="s">
        <v>65</v>
      </c>
      <c r="U14" s="1340">
        <f t="shared" si="1"/>
        <v>100</v>
      </c>
      <c r="V14" s="1339" t="s">
        <v>65</v>
      </c>
      <c r="W14" s="1340">
        <f t="shared" si="2"/>
        <v>100</v>
      </c>
      <c r="X14" s="287"/>
      <c r="Y14" s="3528"/>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4"/>
      <c r="L15" s="2297"/>
      <c r="M15" s="2292"/>
      <c r="N15" s="2292"/>
      <c r="O15" s="2336"/>
      <c r="P15" s="3761" t="s">
        <v>69</v>
      </c>
      <c r="Q15" s="1347" t="str">
        <f t="shared" si="6"/>
        <v>产业集聚程度</v>
      </c>
      <c r="R15" s="1348" t="s">
        <v>65</v>
      </c>
      <c r="S15" s="1349">
        <f t="shared" si="0"/>
        <v>100</v>
      </c>
      <c r="T15" s="1348" t="s">
        <v>65</v>
      </c>
      <c r="U15" s="1349">
        <f t="shared" si="1"/>
        <v>100</v>
      </c>
      <c r="V15" s="1348" t="s">
        <v>65</v>
      </c>
      <c r="W15" s="1349">
        <f t="shared" si="2"/>
        <v>100</v>
      </c>
      <c r="X15" s="1337"/>
      <c r="Y15" s="3761" t="s">
        <v>69</v>
      </c>
      <c r="Z15" s="1350" t="str">
        <f t="shared" si="7"/>
        <v>产业集聚程度</v>
      </c>
      <c r="AA15" s="1351">
        <f t="shared" si="3"/>
        <v>1</v>
      </c>
      <c r="AB15" s="1351">
        <f t="shared" si="4"/>
        <v>1</v>
      </c>
      <c r="AC15" s="1351">
        <f t="shared" si="5"/>
        <v>1</v>
      </c>
    </row>
    <row r="16" spans="1:29" ht="14.25">
      <c r="A16" s="151"/>
      <c r="B16" s="156"/>
      <c r="C16" s="97"/>
      <c r="D16" s="790"/>
      <c r="E16" s="97"/>
      <c r="F16" s="791"/>
      <c r="G16" s="97"/>
      <c r="H16" s="792"/>
      <c r="I16" s="97"/>
      <c r="J16" s="790"/>
      <c r="K16" s="189"/>
      <c r="L16" s="2297"/>
      <c r="M16" s="2292"/>
      <c r="N16" s="2292"/>
      <c r="O16" s="2336"/>
      <c r="P16" s="3762"/>
      <c r="Q16" s="1347"/>
      <c r="R16" s="1348"/>
      <c r="S16" s="1349"/>
      <c r="T16" s="1348"/>
      <c r="U16" s="1349"/>
      <c r="V16" s="1348"/>
      <c r="W16" s="1349"/>
      <c r="X16" s="1337"/>
      <c r="Y16" s="3762"/>
      <c r="Z16" s="1350"/>
      <c r="AA16" s="1351">
        <v>1</v>
      </c>
      <c r="AB16" s="1351">
        <v>1</v>
      </c>
      <c r="AC16" s="1351">
        <v>1</v>
      </c>
    </row>
    <row r="17" spans="1:29" ht="94.5">
      <c r="A17" s="151"/>
      <c r="B17" s="1352"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4"/>
      <c r="L17" s="2297"/>
      <c r="M17" s="2292"/>
      <c r="N17" s="2292"/>
      <c r="O17" s="2336"/>
      <c r="P17" s="3762"/>
      <c r="Q17" s="1347" t="str">
        <f>B17</f>
        <v>交通便捷度</v>
      </c>
      <c r="R17" s="1348" t="s">
        <v>65</v>
      </c>
      <c r="S17" s="1349">
        <f>F17</f>
        <v>100</v>
      </c>
      <c r="T17" s="1348" t="s">
        <v>65</v>
      </c>
      <c r="U17" s="1349">
        <f>H17</f>
        <v>100</v>
      </c>
      <c r="V17" s="1348" t="s">
        <v>65</v>
      </c>
      <c r="W17" s="1349">
        <f>J17</f>
        <v>100</v>
      </c>
      <c r="X17" s="1337"/>
      <c r="Y17" s="3762"/>
      <c r="Z17" s="1350" t="str">
        <f>Q17</f>
        <v>交通便捷度</v>
      </c>
      <c r="AA17" s="1351">
        <f t="shared" si="3"/>
        <v>1</v>
      </c>
      <c r="AB17" s="1351">
        <f t="shared" si="4"/>
        <v>1</v>
      </c>
      <c r="AC17" s="1351">
        <f t="shared" si="5"/>
        <v>1</v>
      </c>
    </row>
    <row r="18" spans="1:29" ht="14.25">
      <c r="A18" s="151"/>
      <c r="B18" s="1037"/>
      <c r="C18" s="102"/>
      <c r="D18" s="792"/>
      <c r="E18" s="103"/>
      <c r="F18" s="795"/>
      <c r="G18" s="104"/>
      <c r="H18" s="790"/>
      <c r="I18" s="103"/>
      <c r="J18" s="790"/>
      <c r="K18" s="189"/>
      <c r="L18" s="2297"/>
      <c r="M18" s="2292"/>
      <c r="N18" s="2292"/>
      <c r="O18" s="2336"/>
      <c r="P18" s="3762"/>
      <c r="Q18" s="1347"/>
      <c r="R18" s="1348"/>
      <c r="S18" s="1349"/>
      <c r="T18" s="1348"/>
      <c r="U18" s="1349"/>
      <c r="V18" s="1348"/>
      <c r="W18" s="1349"/>
      <c r="X18" s="1337"/>
      <c r="Y18" s="3762"/>
      <c r="Z18" s="1350"/>
      <c r="AA18" s="1351">
        <v>1</v>
      </c>
      <c r="AB18" s="1351">
        <v>1</v>
      </c>
      <c r="AC18" s="1351">
        <v>1</v>
      </c>
    </row>
    <row r="19" spans="1:29" ht="40.5">
      <c r="A19" s="151"/>
      <c r="B19" s="1352" t="s">
        <v>2657</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4"/>
      <c r="L19" s="2297"/>
      <c r="M19" s="2292"/>
      <c r="N19" s="2292"/>
      <c r="O19" s="2336"/>
      <c r="P19" s="3762"/>
      <c r="Q19" s="1347" t="str">
        <f>B19</f>
        <v>公共配套设施</v>
      </c>
      <c r="R19" s="1348" t="s">
        <v>65</v>
      </c>
      <c r="S19" s="1349">
        <f>F19</f>
        <v>100</v>
      </c>
      <c r="T19" s="1348" t="s">
        <v>65</v>
      </c>
      <c r="U19" s="1349">
        <f>H19</f>
        <v>100</v>
      </c>
      <c r="V19" s="1348" t="s">
        <v>65</v>
      </c>
      <c r="W19" s="1349">
        <f>J19</f>
        <v>100</v>
      </c>
      <c r="X19" s="1337"/>
      <c r="Y19" s="3762"/>
      <c r="Z19" s="1350" t="str">
        <f>Q19</f>
        <v>公共配套设施</v>
      </c>
      <c r="AA19" s="1351">
        <f t="shared" si="3"/>
        <v>1</v>
      </c>
      <c r="AB19" s="1351">
        <f t="shared" si="4"/>
        <v>1</v>
      </c>
      <c r="AC19" s="1351">
        <f t="shared" si="5"/>
        <v>1</v>
      </c>
    </row>
    <row r="20" spans="1:29" ht="14.25">
      <c r="A20" s="151"/>
      <c r="B20" s="1037"/>
      <c r="C20" s="97"/>
      <c r="D20" s="790"/>
      <c r="E20" s="98"/>
      <c r="F20" s="791"/>
      <c r="G20" s="99"/>
      <c r="H20" s="790"/>
      <c r="I20" s="98"/>
      <c r="J20" s="790"/>
      <c r="K20" s="189"/>
      <c r="L20" s="2297"/>
      <c r="M20" s="2292"/>
      <c r="N20" s="2292"/>
      <c r="O20" s="2336"/>
      <c r="P20" s="3762"/>
      <c r="Q20" s="1347"/>
      <c r="R20" s="1348"/>
      <c r="S20" s="1349"/>
      <c r="T20" s="1348"/>
      <c r="U20" s="1349"/>
      <c r="V20" s="1348"/>
      <c r="W20" s="1349"/>
      <c r="X20" s="1337"/>
      <c r="Y20" s="3762"/>
      <c r="Z20" s="1350"/>
      <c r="AA20" s="1351">
        <v>1</v>
      </c>
      <c r="AB20" s="1351">
        <v>1</v>
      </c>
      <c r="AC20" s="1351">
        <v>1</v>
      </c>
    </row>
    <row r="21" spans="1:29" ht="40.5">
      <c r="A21" s="151"/>
      <c r="B21" s="1408" t="s">
        <v>2660</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4"/>
      <c r="L21" s="2297"/>
      <c r="M21" s="2292"/>
      <c r="N21" s="2292"/>
      <c r="O21" s="2336"/>
      <c r="P21" s="3762"/>
      <c r="Q21" s="2742" t="str">
        <f>B21</f>
        <v>基础设施水平</v>
      </c>
      <c r="R21" s="1348" t="s">
        <v>65</v>
      </c>
      <c r="S21" s="1349">
        <f>F21</f>
        <v>100</v>
      </c>
      <c r="T21" s="1348" t="s">
        <v>65</v>
      </c>
      <c r="U21" s="1349">
        <f>H21</f>
        <v>100</v>
      </c>
      <c r="V21" s="1348" t="s">
        <v>65</v>
      </c>
      <c r="W21" s="1349">
        <f>J21</f>
        <v>100</v>
      </c>
      <c r="X21" s="2744"/>
      <c r="Y21" s="3762"/>
      <c r="Z21" s="2743" t="str">
        <f>Q21</f>
        <v>基础设施水平</v>
      </c>
      <c r="AA21" s="1351">
        <f t="shared" ref="AA21" si="8">D21/F21</f>
        <v>1</v>
      </c>
      <c r="AB21" s="1351">
        <f t="shared" ref="AB21" si="9">D21/H21</f>
        <v>1</v>
      </c>
      <c r="AC21" s="1351">
        <f t="shared" ref="AC21" si="10">D21/J21</f>
        <v>1</v>
      </c>
    </row>
    <row r="22" spans="1:29" ht="14.25">
      <c r="A22" s="151"/>
      <c r="B22" s="1408"/>
      <c r="C22" s="102"/>
      <c r="D22" s="790"/>
      <c r="E22" s="97"/>
      <c r="F22" s="791"/>
      <c r="G22" s="97"/>
      <c r="H22" s="790"/>
      <c r="I22" s="97"/>
      <c r="J22" s="790"/>
      <c r="K22" s="2762"/>
      <c r="L22" s="2297"/>
      <c r="M22" s="2292"/>
      <c r="N22" s="2292"/>
      <c r="O22" s="2336"/>
      <c r="P22" s="3762"/>
      <c r="Q22" s="2742"/>
      <c r="R22" s="1348"/>
      <c r="S22" s="1349"/>
      <c r="T22" s="1348"/>
      <c r="U22" s="1349"/>
      <c r="V22" s="1348"/>
      <c r="W22" s="1349"/>
      <c r="X22" s="2744"/>
      <c r="Y22" s="3762"/>
      <c r="Z22" s="2743"/>
      <c r="AA22" s="1351">
        <v>1</v>
      </c>
      <c r="AB22" s="1351">
        <v>1</v>
      </c>
      <c r="AC22" s="1351">
        <v>1</v>
      </c>
    </row>
    <row r="23" spans="1:29" ht="81">
      <c r="A23" s="151"/>
      <c r="B23" s="1352"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4"/>
      <c r="L23" s="2297"/>
      <c r="M23" s="2292"/>
      <c r="N23" s="2292"/>
      <c r="O23" s="2336"/>
      <c r="P23" s="3762"/>
      <c r="Q23" s="1347" t="str">
        <f>B23</f>
        <v>环境质量</v>
      </c>
      <c r="R23" s="1348" t="s">
        <v>65</v>
      </c>
      <c r="S23" s="1349">
        <f>F23</f>
        <v>100</v>
      </c>
      <c r="T23" s="1348" t="s">
        <v>65</v>
      </c>
      <c r="U23" s="1349">
        <f>H23</f>
        <v>100</v>
      </c>
      <c r="V23" s="1348" t="s">
        <v>65</v>
      </c>
      <c r="W23" s="1349">
        <f>J23</f>
        <v>100</v>
      </c>
      <c r="X23" s="1337"/>
      <c r="Y23" s="3762"/>
      <c r="Z23" s="1350" t="str">
        <f>Q23</f>
        <v>环境质量</v>
      </c>
      <c r="AA23" s="1351">
        <f t="shared" si="3"/>
        <v>1</v>
      </c>
      <c r="AB23" s="1351">
        <f t="shared" si="4"/>
        <v>1</v>
      </c>
      <c r="AC23" s="1351">
        <f t="shared" si="5"/>
        <v>1</v>
      </c>
    </row>
    <row r="24" spans="1:29" ht="14.25">
      <c r="A24" s="151"/>
      <c r="B24" s="1408"/>
      <c r="C24" s="97"/>
      <c r="D24" s="790"/>
      <c r="E24" s="98"/>
      <c r="F24" s="791"/>
      <c r="G24" s="99"/>
      <c r="H24" s="790"/>
      <c r="I24" s="98"/>
      <c r="J24" s="790"/>
      <c r="K24" s="189"/>
      <c r="L24" s="2297"/>
      <c r="M24" s="2292"/>
      <c r="N24" s="2292"/>
      <c r="O24" s="2336"/>
      <c r="P24" s="3762"/>
      <c r="Q24" s="1347"/>
      <c r="R24" s="1348"/>
      <c r="S24" s="1349"/>
      <c r="T24" s="1348"/>
      <c r="U24" s="1349"/>
      <c r="V24" s="1348"/>
      <c r="W24" s="1349"/>
      <c r="X24" s="1337"/>
      <c r="Y24" s="3762"/>
      <c r="Z24" s="1350"/>
      <c r="AA24" s="1351">
        <v>1</v>
      </c>
      <c r="AB24" s="1351">
        <v>1</v>
      </c>
      <c r="AC24" s="1351">
        <v>1</v>
      </c>
    </row>
    <row r="25" spans="1:29" ht="14.25">
      <c r="A25" s="146"/>
      <c r="B25" s="1353">
        <v>111</v>
      </c>
      <c r="C25" s="93">
        <v>111</v>
      </c>
      <c r="D25" s="777">
        <v>100</v>
      </c>
      <c r="E25" s="93"/>
      <c r="F25" s="803">
        <f>SUMIF(80:80,E25,81:81)-SUMIF(80:80,C25,81:81)+100</f>
        <v>100</v>
      </c>
      <c r="G25" s="93"/>
      <c r="H25" s="777">
        <f>SUMIF(80:80,G25,81:81)-SUMIF(80:80,C25,81:81)+100</f>
        <v>100</v>
      </c>
      <c r="I25" s="93"/>
      <c r="J25" s="777">
        <f>SUMIF(80:80,I25,81:81)-SUMIF(80:80,C25,81:81)+100</f>
        <v>100</v>
      </c>
      <c r="K25" s="188"/>
      <c r="L25" s="2297"/>
      <c r="M25" s="2292"/>
      <c r="N25" s="2292"/>
      <c r="O25" s="2336"/>
      <c r="P25" s="3762"/>
      <c r="Q25" s="1347">
        <f>B25</f>
        <v>111</v>
      </c>
      <c r="R25" s="1348" t="s">
        <v>65</v>
      </c>
      <c r="S25" s="1349">
        <f>F25</f>
        <v>100</v>
      </c>
      <c r="T25" s="1348" t="s">
        <v>65</v>
      </c>
      <c r="U25" s="1349">
        <f>H25</f>
        <v>100</v>
      </c>
      <c r="V25" s="1348" t="s">
        <v>65</v>
      </c>
      <c r="W25" s="1349">
        <f>J25</f>
        <v>100</v>
      </c>
      <c r="X25" s="1337"/>
      <c r="Y25" s="3762"/>
      <c r="Z25" s="1350">
        <f>Q25</f>
        <v>111</v>
      </c>
      <c r="AA25" s="1351">
        <f t="shared" si="3"/>
        <v>1</v>
      </c>
      <c r="AB25" s="1351">
        <f t="shared" si="4"/>
        <v>1</v>
      </c>
      <c r="AC25" s="1351">
        <f t="shared" si="5"/>
        <v>1</v>
      </c>
    </row>
    <row r="26" spans="1:29" ht="14.25">
      <c r="A26" s="151"/>
      <c r="B26" s="1353">
        <v>111</v>
      </c>
      <c r="C26" s="93">
        <v>111</v>
      </c>
      <c r="D26" s="777">
        <v>100</v>
      </c>
      <c r="E26" s="93"/>
      <c r="F26" s="803">
        <f>SUMIF(82:82,E26,83:83)-SUMIF(82:82,C26,83:83)+100</f>
        <v>100</v>
      </c>
      <c r="G26" s="93"/>
      <c r="H26" s="777">
        <f>SUMIF(82:82,G26,83:83)-SUMIF(82:82,C26,83:83)+100</f>
        <v>100</v>
      </c>
      <c r="I26" s="93"/>
      <c r="J26" s="777">
        <f>SUMIF(82:82,I26,83:83)-SUMIF(82:82,C26,83:83)+100</f>
        <v>100</v>
      </c>
      <c r="K26" s="188"/>
      <c r="L26" s="2297"/>
      <c r="M26" s="2292"/>
      <c r="N26" s="2292"/>
      <c r="O26" s="2336"/>
      <c r="P26" s="3762"/>
      <c r="Q26" s="1347">
        <f t="shared" ref="Q26:Q40" si="11">B26</f>
        <v>111</v>
      </c>
      <c r="R26" s="1348" t="s">
        <v>65</v>
      </c>
      <c r="S26" s="1349">
        <f>F26</f>
        <v>100</v>
      </c>
      <c r="T26" s="1348" t="s">
        <v>65</v>
      </c>
      <c r="U26" s="1349">
        <f>H26</f>
        <v>100</v>
      </c>
      <c r="V26" s="1348" t="s">
        <v>65</v>
      </c>
      <c r="W26" s="1349">
        <f>J26</f>
        <v>100</v>
      </c>
      <c r="X26" s="1337"/>
      <c r="Y26" s="3762"/>
      <c r="Z26" s="1350">
        <f>Q26</f>
        <v>111</v>
      </c>
      <c r="AA26" s="1351">
        <f t="shared" si="3"/>
        <v>1</v>
      </c>
      <c r="AB26" s="1351">
        <f t="shared" si="4"/>
        <v>1</v>
      </c>
      <c r="AC26" s="1351">
        <f t="shared" si="5"/>
        <v>1</v>
      </c>
    </row>
    <row r="27" spans="1:29" s="40" customFormat="1" ht="14.25">
      <c r="A27" s="1027"/>
      <c r="B27" s="1353">
        <v>111</v>
      </c>
      <c r="C27" s="93">
        <v>111</v>
      </c>
      <c r="D27" s="804">
        <v>100</v>
      </c>
      <c r="E27" s="93"/>
      <c r="F27" s="805">
        <f>SUMIF(84:84,E27,85:85)-SUMIF(84:84,C27,85:85)+100</f>
        <v>100</v>
      </c>
      <c r="G27" s="93"/>
      <c r="H27" s="804">
        <f>SUMIF(84:84,G27,85:85)-SUMIF(84:84,C27,85:85)+100</f>
        <v>100</v>
      </c>
      <c r="I27" s="93"/>
      <c r="J27" s="804">
        <f>SUMIF(84:84,I27,85:85)-SUMIF(84:84,C27,85:85)+100</f>
        <v>100</v>
      </c>
      <c r="K27" s="188"/>
      <c r="L27" s="2293"/>
      <c r="M27" s="2255"/>
      <c r="N27" s="2255"/>
      <c r="O27" s="2334"/>
      <c r="P27" s="3762"/>
      <c r="Q27" s="7">
        <f t="shared" si="11"/>
        <v>111</v>
      </c>
      <c r="R27" s="1339" t="s">
        <v>65</v>
      </c>
      <c r="S27" s="1340">
        <f>F27</f>
        <v>100</v>
      </c>
      <c r="T27" s="1339" t="s">
        <v>65</v>
      </c>
      <c r="U27" s="1340">
        <f>H27</f>
        <v>100</v>
      </c>
      <c r="V27" s="1339" t="s">
        <v>65</v>
      </c>
      <c r="W27" s="1340">
        <f>J27</f>
        <v>100</v>
      </c>
      <c r="X27" s="287"/>
      <c r="Y27" s="3762"/>
      <c r="Z27" s="288">
        <f>Q27</f>
        <v>111</v>
      </c>
      <c r="AA27" s="1351">
        <f>D27/F27</f>
        <v>1</v>
      </c>
      <c r="AB27" s="1351">
        <f>D27/H27</f>
        <v>1</v>
      </c>
      <c r="AC27" s="1351">
        <f>D27/J27</f>
        <v>1</v>
      </c>
    </row>
    <row r="28" spans="1:29" ht="15" thickBot="1">
      <c r="A28" s="154"/>
      <c r="B28" s="1353">
        <v>111</v>
      </c>
      <c r="C28" s="94">
        <v>111</v>
      </c>
      <c r="D28" s="780">
        <v>100</v>
      </c>
      <c r="E28" s="93"/>
      <c r="F28" s="781">
        <f>SUMIF(86:86,E28,87:87)-SUMIF(86:86,C28,87:87)+100</f>
        <v>100</v>
      </c>
      <c r="G28" s="1354"/>
      <c r="H28" s="780">
        <f>SUMIF(86:86,G28,87:87)-SUMIF(86:86,C28,87:87)+100</f>
        <v>100</v>
      </c>
      <c r="I28" s="1354"/>
      <c r="J28" s="780">
        <f>SUMIF(86:86,I28,87:87)-SUMIF(86:86,C28,87:87)+100</f>
        <v>100</v>
      </c>
      <c r="K28" s="188"/>
      <c r="L28" s="2297"/>
      <c r="M28" s="2292"/>
      <c r="N28" s="2292"/>
      <c r="O28" s="2336"/>
      <c r="P28" s="3762"/>
      <c r="Q28" s="1347">
        <f t="shared" si="11"/>
        <v>111</v>
      </c>
      <c r="R28" s="1348" t="s">
        <v>65</v>
      </c>
      <c r="S28" s="1349">
        <f t="shared" ref="S28:S40" si="12">F28</f>
        <v>100</v>
      </c>
      <c r="T28" s="1348" t="s">
        <v>65</v>
      </c>
      <c r="U28" s="1349">
        <f t="shared" ref="U28:U40" si="13">H28</f>
        <v>100</v>
      </c>
      <c r="V28" s="1348" t="s">
        <v>65</v>
      </c>
      <c r="W28" s="1349">
        <f t="shared" ref="W28:W40" si="14">J28</f>
        <v>100</v>
      </c>
      <c r="X28" s="1337"/>
      <c r="Y28" s="3762"/>
      <c r="Z28" s="1350">
        <f t="shared" ref="Z28:Z40" si="15">Q28</f>
        <v>111</v>
      </c>
      <c r="AA28" s="1351">
        <f t="shared" si="3"/>
        <v>1</v>
      </c>
      <c r="AB28" s="1351">
        <f t="shared" si="4"/>
        <v>1</v>
      </c>
      <c r="AC28" s="1351">
        <f t="shared" si="5"/>
        <v>1</v>
      </c>
    </row>
    <row r="29" spans="1:29" ht="15">
      <c r="A29" s="160" t="s">
        <v>70</v>
      </c>
      <c r="B29" s="62" t="s">
        <v>146</v>
      </c>
      <c r="C29" s="197"/>
      <c r="D29" s="807">
        <v>100</v>
      </c>
      <c r="E29" s="197"/>
      <c r="F29" s="803">
        <f>SUMIF(88:88,E29,89:89)-SUMIF(88:88,C29,89:89)+100</f>
        <v>100</v>
      </c>
      <c r="G29" s="197"/>
      <c r="H29" s="777">
        <f>SUMIF(88:88,G29,89:89)-SUMIF(88:88,C29,89:89)+100</f>
        <v>100</v>
      </c>
      <c r="I29" s="197"/>
      <c r="J29" s="807">
        <f>SUMIF(88:88,I29,89:89)-SUMIF(88:88,C29,89:89)+100</f>
        <v>100</v>
      </c>
      <c r="K29" s="952"/>
      <c r="L29" s="2297"/>
      <c r="M29" s="2292"/>
      <c r="N29" s="2292"/>
      <c r="O29" s="2336"/>
      <c r="P29" s="3785" t="s">
        <v>1118</v>
      </c>
      <c r="Q29" s="1347" t="str">
        <f t="shared" si="11"/>
        <v>建筑类型</v>
      </c>
      <c r="R29" s="1348" t="s">
        <v>65</v>
      </c>
      <c r="S29" s="1349">
        <f t="shared" si="12"/>
        <v>100</v>
      </c>
      <c r="T29" s="1348" t="s">
        <v>65</v>
      </c>
      <c r="U29" s="1349">
        <f t="shared" si="13"/>
        <v>100</v>
      </c>
      <c r="V29" s="1348" t="s">
        <v>65</v>
      </c>
      <c r="W29" s="1349">
        <f t="shared" si="14"/>
        <v>100</v>
      </c>
      <c r="X29" s="1337"/>
      <c r="Y29" s="3766" t="s">
        <v>1118</v>
      </c>
      <c r="Z29" s="1350" t="str">
        <f t="shared" si="15"/>
        <v>建筑类型</v>
      </c>
      <c r="AA29" s="1351">
        <f t="shared" si="3"/>
        <v>1</v>
      </c>
      <c r="AB29" s="1351">
        <f t="shared" si="4"/>
        <v>1</v>
      </c>
      <c r="AC29" s="1351">
        <f t="shared" si="5"/>
        <v>1</v>
      </c>
    </row>
    <row r="30" spans="1:29" s="1036" customFormat="1" ht="14.25">
      <c r="A30" s="1040"/>
      <c r="B30" s="12" t="s">
        <v>76</v>
      </c>
      <c r="C30" s="809"/>
      <c r="D30" s="426">
        <v>100</v>
      </c>
      <c r="E30" s="772"/>
      <c r="F30" s="767" t="e">
        <f>LOOKUP(E30,91:91,92:92)-LOOKUP(C30,91:91,92:92)+100</f>
        <v>#N/A</v>
      </c>
      <c r="G30" s="771"/>
      <c r="H30" s="426" t="e">
        <f>LOOKUP(G30,91:91,92:92)-LOOKUP(C30,91:91,92:92)+100</f>
        <v>#N/A</v>
      </c>
      <c r="I30" s="771"/>
      <c r="J30" s="426" t="e">
        <f>LOOKUP(I30,91:91,92:92)-LOOKUP(C30,91:91,92:92)+100</f>
        <v>#N/A</v>
      </c>
      <c r="K30" s="188"/>
      <c r="L30" s="2296"/>
      <c r="M30" s="2298"/>
      <c r="N30" s="2298"/>
      <c r="O30" s="2337"/>
      <c r="P30" s="3766"/>
      <c r="Q30" s="1355" t="str">
        <f t="shared" si="11"/>
        <v>项目建筑规模</v>
      </c>
      <c r="R30" s="1356" t="s">
        <v>65</v>
      </c>
      <c r="S30" s="1357" t="e">
        <f t="shared" si="12"/>
        <v>#N/A</v>
      </c>
      <c r="T30" s="1356" t="s">
        <v>65</v>
      </c>
      <c r="U30" s="1357" t="e">
        <f t="shared" si="13"/>
        <v>#N/A</v>
      </c>
      <c r="V30" s="1356" t="s">
        <v>65</v>
      </c>
      <c r="W30" s="1357" t="e">
        <f t="shared" si="14"/>
        <v>#N/A</v>
      </c>
      <c r="X30" s="1358"/>
      <c r="Y30" s="3766"/>
      <c r="Z30" s="1359" t="str">
        <f t="shared" si="15"/>
        <v>项目建筑规模</v>
      </c>
      <c r="AA30" s="1351" t="e">
        <f t="shared" si="3"/>
        <v>#N/A</v>
      </c>
      <c r="AB30" s="1351" t="e">
        <f t="shared" si="4"/>
        <v>#N/A</v>
      </c>
      <c r="AC30" s="1351"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2"/>
      <c r="L31" s="2297"/>
      <c r="M31" s="2292"/>
      <c r="N31" s="2292"/>
      <c r="O31" s="2336"/>
      <c r="P31" s="3766"/>
      <c r="Q31" s="1347" t="str">
        <f t="shared" si="11"/>
        <v>建筑结构</v>
      </c>
      <c r="R31" s="1348" t="s">
        <v>65</v>
      </c>
      <c r="S31" s="1349">
        <f t="shared" si="12"/>
        <v>100</v>
      </c>
      <c r="T31" s="1348" t="s">
        <v>65</v>
      </c>
      <c r="U31" s="1349">
        <f t="shared" si="13"/>
        <v>100</v>
      </c>
      <c r="V31" s="1348" t="s">
        <v>65</v>
      </c>
      <c r="W31" s="1349">
        <f t="shared" si="14"/>
        <v>100</v>
      </c>
      <c r="X31" s="1337"/>
      <c r="Y31" s="3766"/>
      <c r="Z31" s="1350" t="str">
        <f t="shared" si="15"/>
        <v>建筑结构</v>
      </c>
      <c r="AA31" s="1351">
        <f t="shared" si="3"/>
        <v>1</v>
      </c>
      <c r="AB31" s="1351">
        <f t="shared" si="4"/>
        <v>1</v>
      </c>
      <c r="AC31" s="1351">
        <f t="shared" si="5"/>
        <v>1</v>
      </c>
    </row>
    <row r="32" spans="1:29" ht="15">
      <c r="A32" s="161"/>
      <c r="B32" s="12" t="s">
        <v>1020</v>
      </c>
      <c r="C32" s="107"/>
      <c r="D32" s="777">
        <v>100</v>
      </c>
      <c r="E32" s="107"/>
      <c r="F32" s="803">
        <f>SUMIF(95:95,E32,96:96)-SUMIF(95:95,C32,96:96)+100</f>
        <v>100</v>
      </c>
      <c r="G32" s="107"/>
      <c r="H32" s="777">
        <f>SUMIF(95:95,G32,96:96)-SUMIF(95:95,C32,96:96)+100</f>
        <v>100</v>
      </c>
      <c r="I32" s="107"/>
      <c r="J32" s="777">
        <f>SUMIF(95:95,I32,96:96)-SUMIF(95:95,C32,96:96)+100</f>
        <v>100</v>
      </c>
      <c r="K32" s="952"/>
      <c r="L32" s="2297"/>
      <c r="M32" s="2292"/>
      <c r="N32" s="2292"/>
      <c r="O32" s="2336"/>
      <c r="P32" s="3766"/>
      <c r="Q32" s="1347" t="str">
        <f t="shared" si="11"/>
        <v>公共部分装修</v>
      </c>
      <c r="R32" s="1348" t="s">
        <v>65</v>
      </c>
      <c r="S32" s="1349">
        <f t="shared" si="12"/>
        <v>100</v>
      </c>
      <c r="T32" s="1348" t="s">
        <v>65</v>
      </c>
      <c r="U32" s="1349">
        <f t="shared" si="13"/>
        <v>100</v>
      </c>
      <c r="V32" s="1348" t="s">
        <v>65</v>
      </c>
      <c r="W32" s="1349">
        <f t="shared" si="14"/>
        <v>100</v>
      </c>
      <c r="X32" s="1337"/>
      <c r="Y32" s="3766"/>
      <c r="Z32" s="1350" t="str">
        <f t="shared" si="15"/>
        <v>公共部分装修</v>
      </c>
      <c r="AA32" s="1351">
        <f t="shared" si="3"/>
        <v>1</v>
      </c>
      <c r="AB32" s="1351">
        <f t="shared" si="4"/>
        <v>1</v>
      </c>
      <c r="AC32" s="1351">
        <f t="shared" si="5"/>
        <v>1</v>
      </c>
    </row>
    <row r="33" spans="1:29" ht="15">
      <c r="A33" s="161"/>
      <c r="B33" s="12" t="s">
        <v>1021</v>
      </c>
      <c r="C33" s="809"/>
      <c r="D33" s="777">
        <v>100</v>
      </c>
      <c r="E33" s="814"/>
      <c r="F33" s="803" t="e">
        <f>LOOKUP(E33,98:98,99:99)-LOOKUP(C33,98:98,99:99)+100</f>
        <v>#N/A</v>
      </c>
      <c r="G33" s="814"/>
      <c r="H33" s="803" t="e">
        <f>LOOKUP(G33,98:98,99:99)-LOOKUP(C33,98:98,99:99)+100</f>
        <v>#N/A</v>
      </c>
      <c r="I33" s="814"/>
      <c r="J33" s="777" t="e">
        <f>LOOKUP(I33,98:98,99:99)-LOOKUP(C33,98:98,99:99)+100</f>
        <v>#N/A</v>
      </c>
      <c r="K33" s="952"/>
      <c r="L33" s="2297"/>
      <c r="M33" s="2292"/>
      <c r="N33" s="2292"/>
      <c r="O33" s="2336"/>
      <c r="P33" s="3766"/>
      <c r="Q33" s="1347" t="str">
        <f t="shared" si="11"/>
        <v>成新度</v>
      </c>
      <c r="R33" s="1348" t="s">
        <v>65</v>
      </c>
      <c r="S33" s="1349" t="e">
        <f t="shared" si="12"/>
        <v>#N/A</v>
      </c>
      <c r="T33" s="1348" t="s">
        <v>65</v>
      </c>
      <c r="U33" s="1349" t="e">
        <f t="shared" si="13"/>
        <v>#N/A</v>
      </c>
      <c r="V33" s="1348" t="s">
        <v>65</v>
      </c>
      <c r="W33" s="1349" t="e">
        <f t="shared" si="14"/>
        <v>#N/A</v>
      </c>
      <c r="X33" s="1337"/>
      <c r="Y33" s="3766"/>
      <c r="Z33" s="1350" t="str">
        <f t="shared" si="15"/>
        <v>成新度</v>
      </c>
      <c r="AA33" s="1351" t="e">
        <f t="shared" si="3"/>
        <v>#N/A</v>
      </c>
      <c r="AB33" s="1351" t="e">
        <f t="shared" si="4"/>
        <v>#N/A</v>
      </c>
      <c r="AC33" s="1351" t="e">
        <f t="shared" si="5"/>
        <v>#N/A</v>
      </c>
    </row>
    <row r="34" spans="1:29" s="40" customFormat="1" ht="15">
      <c r="A34" s="1038"/>
      <c r="B34" s="12" t="s">
        <v>1119</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2"/>
      <c r="L34" s="2293"/>
      <c r="M34" s="2255"/>
      <c r="N34" s="2255"/>
      <c r="O34" s="2334"/>
      <c r="P34" s="3766"/>
      <c r="Q34" s="7" t="str">
        <f t="shared" si="11"/>
        <v>物业管理</v>
      </c>
      <c r="R34" s="1339" t="s">
        <v>65</v>
      </c>
      <c r="S34" s="1340">
        <f t="shared" si="12"/>
        <v>100</v>
      </c>
      <c r="T34" s="1339" t="s">
        <v>65</v>
      </c>
      <c r="U34" s="1340">
        <f t="shared" si="13"/>
        <v>100</v>
      </c>
      <c r="V34" s="1339" t="s">
        <v>65</v>
      </c>
      <c r="W34" s="1340">
        <f t="shared" si="14"/>
        <v>100</v>
      </c>
      <c r="X34" s="287"/>
      <c r="Y34" s="3766"/>
      <c r="Z34" s="288" t="str">
        <f t="shared" si="15"/>
        <v>物业管理</v>
      </c>
      <c r="AA34" s="1341">
        <f t="shared" si="3"/>
        <v>1</v>
      </c>
      <c r="AB34" s="1341">
        <f t="shared" si="4"/>
        <v>1</v>
      </c>
      <c r="AC34" s="1341">
        <f t="shared" si="5"/>
        <v>1</v>
      </c>
    </row>
    <row r="35" spans="1:29" ht="15">
      <c r="A35" s="161"/>
      <c r="B35" s="12" t="s">
        <v>2650</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2"/>
      <c r="L35" s="2297"/>
      <c r="M35" s="2292"/>
      <c r="N35" s="2292"/>
      <c r="O35" s="2336"/>
      <c r="P35" s="3766" t="s">
        <v>70</v>
      </c>
      <c r="Q35" s="1347" t="str">
        <f t="shared" si="11"/>
        <v>市政基础设施</v>
      </c>
      <c r="R35" s="1348" t="s">
        <v>65</v>
      </c>
      <c r="S35" s="1349">
        <f t="shared" si="12"/>
        <v>100</v>
      </c>
      <c r="T35" s="1348" t="s">
        <v>65</v>
      </c>
      <c r="U35" s="1349">
        <f t="shared" si="13"/>
        <v>100</v>
      </c>
      <c r="V35" s="1348" t="s">
        <v>65</v>
      </c>
      <c r="W35" s="1349">
        <f t="shared" si="14"/>
        <v>100</v>
      </c>
      <c r="X35" s="1337"/>
      <c r="Y35" s="3766" t="s">
        <v>70</v>
      </c>
      <c r="Z35" s="1350" t="str">
        <f t="shared" si="15"/>
        <v>市政基础设施</v>
      </c>
      <c r="AA35" s="1351">
        <f t="shared" si="3"/>
        <v>1</v>
      </c>
      <c r="AB35" s="1351">
        <f t="shared" si="4"/>
        <v>1</v>
      </c>
      <c r="AC35" s="1351">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2"/>
      <c r="L36" s="2297"/>
      <c r="M36" s="2292"/>
      <c r="N36" s="2292"/>
      <c r="O36" s="2336"/>
      <c r="P36" s="3766"/>
      <c r="Q36" s="1347" t="str">
        <f t="shared" si="11"/>
        <v>内部装修</v>
      </c>
      <c r="R36" s="1348" t="s">
        <v>65</v>
      </c>
      <c r="S36" s="1349">
        <f t="shared" si="12"/>
        <v>100</v>
      </c>
      <c r="T36" s="1348" t="s">
        <v>65</v>
      </c>
      <c r="U36" s="1349">
        <f t="shared" si="13"/>
        <v>100</v>
      </c>
      <c r="V36" s="1348" t="s">
        <v>65</v>
      </c>
      <c r="W36" s="1349">
        <f t="shared" si="14"/>
        <v>100</v>
      </c>
      <c r="X36" s="1337"/>
      <c r="Y36" s="3766"/>
      <c r="Z36" s="1350" t="str">
        <f t="shared" si="15"/>
        <v>内部装修</v>
      </c>
      <c r="AA36" s="1351">
        <f t="shared" si="3"/>
        <v>1</v>
      </c>
      <c r="AB36" s="1351">
        <f t="shared" si="4"/>
        <v>1</v>
      </c>
      <c r="AC36" s="1351">
        <f t="shared" si="5"/>
        <v>1</v>
      </c>
    </row>
    <row r="37" spans="1:29" ht="15">
      <c r="A37" s="161"/>
      <c r="B37" s="12" t="s">
        <v>1120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2"/>
      <c r="L37" s="2297"/>
      <c r="M37" s="2292"/>
      <c r="N37" s="2292"/>
      <c r="O37" s="2336"/>
      <c r="P37" s="3766"/>
      <c r="Q37" s="1347" t="str">
        <f t="shared" si="11"/>
        <v>内部装修状况</v>
      </c>
      <c r="R37" s="1348" t="s">
        <v>65</v>
      </c>
      <c r="S37" s="1349">
        <f t="shared" si="12"/>
        <v>100</v>
      </c>
      <c r="T37" s="1348" t="s">
        <v>65</v>
      </c>
      <c r="U37" s="1349">
        <f t="shared" si="13"/>
        <v>100</v>
      </c>
      <c r="V37" s="1348" t="s">
        <v>65</v>
      </c>
      <c r="W37" s="1349">
        <f t="shared" si="14"/>
        <v>100</v>
      </c>
      <c r="X37" s="1337"/>
      <c r="Y37" s="3766"/>
      <c r="Z37" s="1350" t="str">
        <f t="shared" si="15"/>
        <v>内部装修状况</v>
      </c>
      <c r="AA37" s="1351">
        <f t="shared" si="3"/>
        <v>1</v>
      </c>
      <c r="AB37" s="1351">
        <f t="shared" si="4"/>
        <v>1</v>
      </c>
      <c r="AC37" s="1351">
        <f t="shared" si="5"/>
        <v>1</v>
      </c>
    </row>
    <row r="38" spans="1:29" s="1036" customFormat="1" ht="14.25">
      <c r="A38" s="1040"/>
      <c r="B38" s="1353">
        <v>111</v>
      </c>
      <c r="C38" s="1354"/>
      <c r="D38" s="777">
        <v>100</v>
      </c>
      <c r="E38" s="93"/>
      <c r="F38" s="803">
        <f>SUMIF(108:108,E38,109:109)-SUMIF(108:108,C38,109:109)+100</f>
        <v>100</v>
      </c>
      <c r="G38" s="1354"/>
      <c r="H38" s="777">
        <f>SUMIF(108:108,G38,109:109)-SUMIF(108:108,C38,109:109)+100</f>
        <v>100</v>
      </c>
      <c r="I38" s="1354"/>
      <c r="J38" s="777">
        <f>SUMIF(108:108,I38,109:1038)-SUMIF(108:108,C38,109:109)+100</f>
        <v>100</v>
      </c>
      <c r="K38" s="188"/>
      <c r="L38" s="2296"/>
      <c r="M38" s="2298"/>
      <c r="N38" s="2298"/>
      <c r="O38" s="2337"/>
      <c r="P38" s="3766"/>
      <c r="Q38" s="1355">
        <f t="shared" si="11"/>
        <v>111</v>
      </c>
      <c r="R38" s="1356" t="s">
        <v>65</v>
      </c>
      <c r="S38" s="1357">
        <f t="shared" si="12"/>
        <v>100</v>
      </c>
      <c r="T38" s="1356" t="s">
        <v>65</v>
      </c>
      <c r="U38" s="1357">
        <f t="shared" si="13"/>
        <v>100</v>
      </c>
      <c r="V38" s="1356" t="s">
        <v>65</v>
      </c>
      <c r="W38" s="1357">
        <f t="shared" si="14"/>
        <v>100</v>
      </c>
      <c r="X38" s="1358"/>
      <c r="Y38" s="3766"/>
      <c r="Z38" s="1359">
        <f t="shared" si="15"/>
        <v>111</v>
      </c>
      <c r="AA38" s="1351">
        <f t="shared" si="3"/>
        <v>1</v>
      </c>
      <c r="AB38" s="1351">
        <f t="shared" si="4"/>
        <v>1</v>
      </c>
      <c r="AC38" s="1351">
        <f t="shared" si="5"/>
        <v>1</v>
      </c>
    </row>
    <row r="39" spans="1:29" ht="14.25">
      <c r="A39" s="161"/>
      <c r="B39" s="1353">
        <v>111</v>
      </c>
      <c r="C39" s="1354"/>
      <c r="D39" s="777">
        <v>100</v>
      </c>
      <c r="E39" s="93"/>
      <c r="F39" s="803">
        <f>SUMIF(110:110,E39,111:111)-SUMIF(110:110,C39,111:111)+100</f>
        <v>100</v>
      </c>
      <c r="G39" s="1354"/>
      <c r="H39" s="777">
        <f>SUMIF(110:110,G39,111:111)-SUMIF(110:110,C39,111:111)+100</f>
        <v>100</v>
      </c>
      <c r="I39" s="1354"/>
      <c r="J39" s="777">
        <f>SUMIF(110:110,I39,111:111)-SUMIF(110:110,C39,111:111)+100</f>
        <v>100</v>
      </c>
      <c r="K39" s="188"/>
      <c r="L39" s="2297"/>
      <c r="M39" s="2292"/>
      <c r="N39" s="2292"/>
      <c r="O39" s="2336"/>
      <c r="P39" s="3766"/>
      <c r="Q39" s="1347">
        <f t="shared" si="11"/>
        <v>111</v>
      </c>
      <c r="R39" s="1348" t="s">
        <v>65</v>
      </c>
      <c r="S39" s="1349">
        <f t="shared" si="12"/>
        <v>100</v>
      </c>
      <c r="T39" s="1348" t="s">
        <v>65</v>
      </c>
      <c r="U39" s="1349">
        <f t="shared" si="13"/>
        <v>100</v>
      </c>
      <c r="V39" s="1348" t="s">
        <v>65</v>
      </c>
      <c r="W39" s="1349">
        <f t="shared" si="14"/>
        <v>100</v>
      </c>
      <c r="X39" s="1337"/>
      <c r="Y39" s="3766"/>
      <c r="Z39" s="1350">
        <f t="shared" si="15"/>
        <v>111</v>
      </c>
      <c r="AA39" s="1351">
        <f t="shared" si="3"/>
        <v>1</v>
      </c>
      <c r="AB39" s="1351">
        <f t="shared" si="4"/>
        <v>1</v>
      </c>
      <c r="AC39" s="1351">
        <f t="shared" si="5"/>
        <v>1</v>
      </c>
    </row>
    <row r="40" spans="1:29" ht="15" thickBot="1">
      <c r="A40" s="162"/>
      <c r="B40" s="1029">
        <v>111</v>
      </c>
      <c r="C40" s="94"/>
      <c r="D40" s="780">
        <v>100</v>
      </c>
      <c r="E40" s="93"/>
      <c r="F40" s="781">
        <f>SUMIF(112:112,E40,113:113)-SUMIF(112:112,C40,113:113)+100</f>
        <v>100</v>
      </c>
      <c r="G40" s="1354"/>
      <c r="H40" s="780">
        <f>SUMIF(112:112,G40,113:113)-SUMIF(112:112,C40,113:113)+100</f>
        <v>100</v>
      </c>
      <c r="I40" s="1354"/>
      <c r="J40" s="780">
        <f>SUMIF(112:112,I40,113:113)-SUMIF(112:112,C40,113:113)+100</f>
        <v>100</v>
      </c>
      <c r="K40" s="188"/>
      <c r="L40" s="2297"/>
      <c r="M40" s="2292"/>
      <c r="N40" s="2292"/>
      <c r="O40" s="2336"/>
      <c r="P40" s="3767"/>
      <c r="Q40" s="1347">
        <f t="shared" si="11"/>
        <v>111</v>
      </c>
      <c r="R40" s="1348" t="s">
        <v>65</v>
      </c>
      <c r="S40" s="1349">
        <f t="shared" si="12"/>
        <v>100</v>
      </c>
      <c r="T40" s="1348" t="s">
        <v>65</v>
      </c>
      <c r="U40" s="1349">
        <f t="shared" si="13"/>
        <v>100</v>
      </c>
      <c r="V40" s="1348" t="s">
        <v>65</v>
      </c>
      <c r="W40" s="1349">
        <f t="shared" si="14"/>
        <v>100</v>
      </c>
      <c r="X40" s="1337"/>
      <c r="Y40" s="3767"/>
      <c r="Z40" s="1350">
        <f t="shared" si="15"/>
        <v>111</v>
      </c>
      <c r="AA40" s="1351">
        <f t="shared" si="3"/>
        <v>1</v>
      </c>
      <c r="AB40" s="1351">
        <f t="shared" si="4"/>
        <v>1</v>
      </c>
      <c r="AC40" s="1351">
        <f t="shared" si="5"/>
        <v>1</v>
      </c>
    </row>
    <row r="41" spans="1:29" ht="15">
      <c r="A41" s="163" t="s">
        <v>102</v>
      </c>
      <c r="B41" s="164"/>
      <c r="C41" s="2829" t="s">
        <v>23</v>
      </c>
      <c r="D41" s="2830"/>
      <c r="E41" s="2831"/>
      <c r="F41" s="2832"/>
      <c r="G41" s="2833"/>
      <c r="H41" s="2834"/>
      <c r="I41" s="2831"/>
      <c r="J41" s="2834"/>
      <c r="K41" s="1389"/>
      <c r="L41" s="2299"/>
      <c r="M41" s="2300"/>
      <c r="N41" s="2292"/>
      <c r="O41" s="2300"/>
      <c r="P41" s="3759" t="str">
        <f>A41</f>
        <v>成交单价（元/平方米）</v>
      </c>
      <c r="Q41" s="3759"/>
      <c r="R41" s="3760">
        <f>E41</f>
        <v>0</v>
      </c>
      <c r="S41" s="3760"/>
      <c r="T41" s="3760">
        <f>G41</f>
        <v>0</v>
      </c>
      <c r="U41" s="3760"/>
      <c r="V41" s="3760">
        <f>I41</f>
        <v>0</v>
      </c>
      <c r="W41" s="3760"/>
      <c r="X41" s="1361"/>
      <c r="Y41" s="1362"/>
      <c r="Z41" s="1361"/>
      <c r="AA41" s="1361"/>
      <c r="AB41" s="1361"/>
      <c r="AC41" s="1361"/>
    </row>
    <row r="42" spans="1:29" ht="15.75" thickBot="1">
      <c r="A42" s="165" t="s">
        <v>100</v>
      </c>
      <c r="B42" s="166"/>
      <c r="C42" s="2835" t="e">
        <f>R43</f>
        <v>#DIV/0!</v>
      </c>
      <c r="D42" s="2836"/>
      <c r="E42" s="2837" t="e">
        <f>R42</f>
        <v>#DIV/0!</v>
      </c>
      <c r="F42" s="2837"/>
      <c r="G42" s="2835" t="e">
        <f>T42</f>
        <v>#DIV/0!</v>
      </c>
      <c r="H42" s="2836"/>
      <c r="I42" s="2837" t="e">
        <f>V42</f>
        <v>#DIV/0!</v>
      </c>
      <c r="J42" s="2836"/>
      <c r="K42" s="1390"/>
      <c r="L42" s="2299"/>
      <c r="M42" s="2300"/>
      <c r="N42" s="2292"/>
      <c r="O42" s="2300"/>
      <c r="P42" s="3759" t="str">
        <f>A42</f>
        <v>比较价值（元/平方米）</v>
      </c>
      <c r="Q42" s="3759"/>
      <c r="R42" s="3760" t="e">
        <f>IF(F1="售价",ROUND(PRODUCT(R41,AA7:AA40),0),ROUND(PRODUCT(R41,AA7:AA40),1))</f>
        <v>#DIV/0!</v>
      </c>
      <c r="S42" s="3760"/>
      <c r="T42" s="3760" t="e">
        <f>IF(F1="售价",ROUND(PRODUCT(T41,AB7:AB40),0),ROUND(PRODUCT(T41,AB7:AB40),1))</f>
        <v>#DIV/0!</v>
      </c>
      <c r="U42" s="3760"/>
      <c r="V42" s="3760" t="e">
        <f>IF(F1="售价",ROUND(PRODUCT(V41,AC7:AC40),0),ROUND(PRODUCT(V41,AC7:AC40),1))</f>
        <v>#DIV/0!</v>
      </c>
      <c r="W42" s="3760"/>
      <c r="X42" s="1361"/>
      <c r="Y42" s="1361"/>
      <c r="Z42" s="1361"/>
      <c r="AA42" s="1361"/>
      <c r="AB42" s="1361"/>
      <c r="AC42" s="1361"/>
    </row>
    <row r="43" spans="1:29" ht="15.75" thickBot="1">
      <c r="A43" s="115" t="s">
        <v>3012</v>
      </c>
      <c r="B43" s="116"/>
      <c r="C43" s="2839" t="e">
        <f>R43</f>
        <v>#DIV/0!</v>
      </c>
      <c r="D43" s="2839"/>
      <c r="E43" s="2839"/>
      <c r="F43" s="2839"/>
      <c r="G43" s="2839"/>
      <c r="H43" s="2839"/>
      <c r="I43" s="2839"/>
      <c r="J43" s="2839"/>
      <c r="K43" s="1391"/>
      <c r="L43" s="2299"/>
      <c r="M43" s="2300"/>
      <c r="N43" s="2300"/>
      <c r="O43" s="2300"/>
      <c r="P43" s="3756" t="str">
        <f>A43</f>
        <v>估价对象XX用房的比较价值（楼面单价，元/平方米）</v>
      </c>
      <c r="Q43" s="3757"/>
      <c r="R43" s="3758" t="e">
        <f>IF(F1="售价",ROUND(AVERAGE(R42:V42),0),ROUND(AVERAGE(R42:V42),1))</f>
        <v>#DIV/0!</v>
      </c>
      <c r="S43" s="3758"/>
      <c r="T43" s="3758"/>
      <c r="U43" s="3758"/>
      <c r="V43" s="3758"/>
      <c r="W43" s="3758"/>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127</v>
      </c>
      <c r="B51" s="1361"/>
      <c r="C51" s="1369"/>
      <c r="D51" s="1369"/>
      <c r="E51" s="1369"/>
      <c r="F51" s="1370"/>
      <c r="G51" s="1370"/>
      <c r="H51" s="1369"/>
      <c r="I51" s="1369"/>
      <c r="J51" s="1369"/>
      <c r="K51" s="2306"/>
      <c r="L51" s="2307"/>
      <c r="M51" s="2308"/>
      <c r="N51" s="2308"/>
      <c r="O51" s="2308"/>
      <c r="P51" s="120"/>
      <c r="Q51" s="121"/>
    </row>
    <row r="52" spans="1:17" s="848" customFormat="1" ht="15">
      <c r="A52" s="845" t="s">
        <v>2788</v>
      </c>
      <c r="B52" s="846"/>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7"/>
    </row>
    <row r="53" spans="1:17" s="40" customFormat="1" ht="14.25">
      <c r="A53" s="1042"/>
      <c r="B53" s="1043"/>
      <c r="C53" s="3035">
        <v>100</v>
      </c>
      <c r="D53" s="852"/>
      <c r="E53" s="852"/>
      <c r="F53" s="852"/>
      <c r="G53" s="852"/>
      <c r="H53" s="852"/>
      <c r="I53" s="852"/>
      <c r="J53" s="852"/>
      <c r="K53" s="852"/>
      <c r="L53" s="852"/>
      <c r="M53" s="853"/>
      <c r="N53" s="852"/>
      <c r="O53" s="854"/>
      <c r="P53" s="121"/>
    </row>
    <row r="54" spans="1:17" s="40" customFormat="1" ht="15" thickBot="1">
      <c r="A54" s="1044" t="s">
        <v>118</v>
      </c>
      <c r="B54" s="1045"/>
      <c r="C54" s="857"/>
      <c r="D54" s="858"/>
      <c r="E54" s="858"/>
      <c r="F54" s="858"/>
      <c r="G54" s="858"/>
      <c r="H54" s="858"/>
      <c r="I54" s="858"/>
      <c r="J54" s="858"/>
      <c r="K54" s="858"/>
      <c r="L54" s="858"/>
      <c r="M54" s="859"/>
      <c r="N54" s="858"/>
      <c r="O54" s="860"/>
      <c r="P54" s="121"/>
      <c r="Q54" s="121"/>
    </row>
    <row r="55" spans="1:17" s="40" customFormat="1">
      <c r="A55" s="1046" t="s">
        <v>66</v>
      </c>
      <c r="B55" s="1043"/>
      <c r="C55" s="1047" t="s">
        <v>116</v>
      </c>
      <c r="D55" s="140"/>
      <c r="E55" s="140"/>
      <c r="F55" s="140"/>
      <c r="G55" s="140"/>
      <c r="H55" s="140"/>
      <c r="I55" s="140"/>
      <c r="J55" s="140"/>
      <c r="K55" s="140"/>
      <c r="L55" s="141"/>
      <c r="M55" s="1048"/>
      <c r="N55" s="1384"/>
      <c r="O55" s="1384"/>
      <c r="P55" s="1049"/>
      <c r="Q55" s="121"/>
    </row>
    <row r="56" spans="1:17" s="40" customFormat="1" ht="15" thickBot="1">
      <c r="A56" s="1046"/>
      <c r="B56" s="1043"/>
      <c r="C56" s="979">
        <v>100</v>
      </c>
      <c r="D56" s="852"/>
      <c r="E56" s="852"/>
      <c r="F56" s="852"/>
      <c r="G56" s="852"/>
      <c r="H56" s="852"/>
      <c r="I56" s="852"/>
      <c r="J56" s="852"/>
      <c r="K56" s="852"/>
      <c r="L56" s="852"/>
      <c r="M56" s="854"/>
      <c r="N56" s="1384"/>
      <c r="O56" s="1384"/>
      <c r="P56" s="121"/>
      <c r="Q56" s="121"/>
    </row>
    <row r="57" spans="1:17">
      <c r="A57" s="172" t="s">
        <v>67</v>
      </c>
      <c r="B57" s="286" t="s">
        <v>68</v>
      </c>
      <c r="C57" s="176">
        <f>C9</f>
        <v>0</v>
      </c>
      <c r="D57" s="122"/>
      <c r="E57" s="122"/>
      <c r="F57" s="122"/>
      <c r="G57" s="122"/>
      <c r="H57" s="122"/>
      <c r="I57" s="122"/>
      <c r="J57" s="122"/>
      <c r="K57" s="123"/>
      <c r="L57" s="124"/>
      <c r="M57" s="125"/>
      <c r="N57" s="1385"/>
      <c r="O57" s="1385"/>
      <c r="P57" s="1"/>
      <c r="Q57" s="121"/>
    </row>
    <row r="58" spans="1:17" ht="15" thickBot="1">
      <c r="A58" s="173"/>
      <c r="B58" s="1050"/>
      <c r="C58" s="876">
        <v>100</v>
      </c>
      <c r="D58" s="876"/>
      <c r="E58" s="876"/>
      <c r="F58" s="876"/>
      <c r="G58" s="876"/>
      <c r="H58" s="876"/>
      <c r="I58" s="876"/>
      <c r="J58" s="876"/>
      <c r="K58" s="876"/>
      <c r="L58" s="876"/>
      <c r="M58" s="877"/>
      <c r="N58" s="1386"/>
      <c r="O58" s="1386"/>
      <c r="P58" s="1"/>
      <c r="Q58" s="121"/>
    </row>
    <row r="59" spans="1:17" ht="27.75" thickTop="1">
      <c r="A59" s="173"/>
      <c r="B59" s="1051" t="s">
        <v>106</v>
      </c>
      <c r="C59" s="879" t="s">
        <v>1000</v>
      </c>
      <c r="D59" s="879" t="s">
        <v>1001</v>
      </c>
      <c r="E59" s="879" t="s">
        <v>1002</v>
      </c>
      <c r="F59" s="879" t="s">
        <v>1003</v>
      </c>
      <c r="G59" s="879" t="s">
        <v>1004</v>
      </c>
      <c r="H59" s="879" t="s">
        <v>1005</v>
      </c>
      <c r="I59" s="879" t="s">
        <v>1006</v>
      </c>
      <c r="J59" s="879"/>
      <c r="K59" s="880"/>
      <c r="L59" s="881"/>
      <c r="M59" s="882"/>
      <c r="N59" s="1385"/>
      <c r="O59" s="1385"/>
      <c r="P59" s="1"/>
      <c r="Q59" s="121"/>
    </row>
    <row r="60" spans="1:17" ht="15" thickBot="1">
      <c r="A60" s="173"/>
      <c r="B60" s="1052"/>
      <c r="C60" s="884" t="s">
        <v>138</v>
      </c>
      <c r="D60" s="884" t="s">
        <v>139</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3" t="s">
        <v>93</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90" t="str">
        <f>M62&amp;"（含）"&amp;"-"&amp;P62</f>
        <v>（含）-</v>
      </c>
      <c r="N61" s="1386"/>
      <c r="O61" s="1386"/>
      <c r="P61" s="1"/>
      <c r="Q61" s="121"/>
    </row>
    <row r="62" spans="1:17" ht="14.25">
      <c r="A62" s="173"/>
      <c r="B62" s="1054"/>
      <c r="C62" s="889"/>
      <c r="D62" s="889"/>
      <c r="E62" s="889"/>
      <c r="F62" s="889"/>
      <c r="G62" s="889"/>
      <c r="H62" s="889"/>
      <c r="I62" s="889"/>
      <c r="J62" s="889"/>
      <c r="K62" s="890"/>
      <c r="L62" s="891"/>
      <c r="M62" s="892"/>
      <c r="N62" s="1385"/>
      <c r="O62" s="1385"/>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6" customFormat="1" ht="14.25" thickTop="1">
      <c r="A64" s="1055"/>
      <c r="B64" s="1051">
        <f>B12</f>
        <v>111</v>
      </c>
      <c r="C64" s="139"/>
      <c r="D64" s="139"/>
      <c r="E64" s="139"/>
      <c r="F64" s="139"/>
      <c r="G64" s="139"/>
      <c r="H64" s="1056"/>
      <c r="I64" s="1056"/>
      <c r="J64" s="1056"/>
      <c r="K64" s="1056"/>
      <c r="L64" s="1057"/>
      <c r="M64" s="1058"/>
      <c r="N64" s="1387"/>
      <c r="O64" s="1387"/>
      <c r="P64" s="1059"/>
      <c r="Q64" s="1060"/>
    </row>
    <row r="65" spans="1:17" s="1036" customFormat="1" ht="15" thickBot="1">
      <c r="A65" s="1055"/>
      <c r="B65" s="1052"/>
      <c r="C65" s="900"/>
      <c r="D65" s="876"/>
      <c r="E65" s="876"/>
      <c r="F65" s="876"/>
      <c r="G65" s="876"/>
      <c r="H65" s="876"/>
      <c r="I65" s="876"/>
      <c r="J65" s="876"/>
      <c r="K65" s="876"/>
      <c r="L65" s="876"/>
      <c r="M65" s="877"/>
      <c r="N65" s="1386"/>
      <c r="O65" s="1386"/>
      <c r="P65" s="1059"/>
      <c r="Q65" s="1060"/>
    </row>
    <row r="66" spans="1:17" s="1036" customFormat="1" ht="14.25" thickTop="1">
      <c r="A66" s="1055"/>
      <c r="B66" s="1051">
        <f>B13</f>
        <v>111</v>
      </c>
      <c r="C66" s="139"/>
      <c r="D66" s="139"/>
      <c r="E66" s="139"/>
      <c r="F66" s="139"/>
      <c r="G66" s="139"/>
      <c r="H66" s="1056"/>
      <c r="I66" s="1056"/>
      <c r="J66" s="1056"/>
      <c r="K66" s="1056"/>
      <c r="L66" s="1057"/>
      <c r="M66" s="1058"/>
      <c r="N66" s="1387"/>
      <c r="O66" s="1387"/>
      <c r="P66" s="1061"/>
      <c r="Q66" s="1062"/>
    </row>
    <row r="67" spans="1:17" s="1036" customFormat="1" ht="15" thickBot="1">
      <c r="A67" s="1055"/>
      <c r="B67" s="1052"/>
      <c r="C67" s="900"/>
      <c r="D67" s="876"/>
      <c r="E67" s="876"/>
      <c r="F67" s="876"/>
      <c r="G67" s="900"/>
      <c r="H67" s="902"/>
      <c r="I67" s="902"/>
      <c r="J67" s="902"/>
      <c r="K67" s="902"/>
      <c r="L67" s="902"/>
      <c r="M67" s="903"/>
      <c r="N67" s="1387"/>
      <c r="O67" s="1387"/>
      <c r="P67" s="1059"/>
      <c r="Q67" s="1060"/>
    </row>
    <row r="68" spans="1:17" s="1036" customFormat="1" ht="14.25" thickTop="1">
      <c r="A68" s="1055"/>
      <c r="B68" s="1053">
        <f>B14</f>
        <v>111</v>
      </c>
      <c r="C68" s="140"/>
      <c r="D68" s="140"/>
      <c r="E68" s="140"/>
      <c r="F68" s="140"/>
      <c r="G68" s="140"/>
      <c r="H68" s="1063"/>
      <c r="I68" s="1063"/>
      <c r="J68" s="1063"/>
      <c r="K68" s="1063"/>
      <c r="L68" s="1064"/>
      <c r="M68" s="1065"/>
      <c r="N68" s="1387"/>
      <c r="O68" s="1387"/>
      <c r="P68" s="1066"/>
      <c r="Q68" s="1060"/>
    </row>
    <row r="69" spans="1:17" s="1036" customFormat="1" ht="15" thickBot="1">
      <c r="A69" s="1067"/>
      <c r="B69" s="1068"/>
      <c r="C69" s="910"/>
      <c r="D69" s="910"/>
      <c r="E69" s="910"/>
      <c r="F69" s="910"/>
      <c r="G69" s="910"/>
      <c r="H69" s="911"/>
      <c r="I69" s="911"/>
      <c r="J69" s="911"/>
      <c r="K69" s="911"/>
      <c r="L69" s="911"/>
      <c r="M69" s="912"/>
      <c r="N69" s="1387"/>
      <c r="O69" s="1387"/>
      <c r="P69" s="1059"/>
      <c r="Q69" s="1060"/>
    </row>
    <row r="70" spans="1:17" ht="14.25">
      <c r="A70" s="172" t="s">
        <v>69</v>
      </c>
      <c r="B70" s="286" t="s">
        <v>159</v>
      </c>
      <c r="C70" s="913" t="s">
        <v>1007</v>
      </c>
      <c r="D70" s="913" t="s">
        <v>1008</v>
      </c>
      <c r="E70" s="913" t="s">
        <v>1009</v>
      </c>
      <c r="F70" s="913" t="s">
        <v>1010</v>
      </c>
      <c r="G70" s="913" t="s">
        <v>1011</v>
      </c>
      <c r="H70" s="869"/>
      <c r="I70" s="869"/>
      <c r="J70" s="869"/>
      <c r="K70" s="914"/>
      <c r="L70" s="915"/>
      <c r="M70" s="916"/>
      <c r="N70" s="1385"/>
      <c r="O70" s="1385"/>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1" t="s">
        <v>92</v>
      </c>
      <c r="C72" s="918" t="s">
        <v>1007</v>
      </c>
      <c r="D72" s="918" t="s">
        <v>1008</v>
      </c>
      <c r="E72" s="918" t="s">
        <v>1009</v>
      </c>
      <c r="F72" s="918" t="s">
        <v>1010</v>
      </c>
      <c r="G72" s="918" t="s">
        <v>1011</v>
      </c>
      <c r="H72" s="879"/>
      <c r="I72" s="879"/>
      <c r="J72" s="879"/>
      <c r="K72" s="880"/>
      <c r="L72" s="881"/>
      <c r="M72" s="882"/>
      <c r="N72" s="1385"/>
      <c r="O72" s="1385"/>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1" t="s">
        <v>2632</v>
      </c>
      <c r="C74" s="918" t="s">
        <v>1007</v>
      </c>
      <c r="D74" s="918" t="s">
        <v>1008</v>
      </c>
      <c r="E74" s="918" t="s">
        <v>1009</v>
      </c>
      <c r="F74" s="918" t="s">
        <v>1010</v>
      </c>
      <c r="G74" s="918" t="s">
        <v>1011</v>
      </c>
      <c r="H74" s="879"/>
      <c r="I74" s="879"/>
      <c r="J74" s="879"/>
      <c r="K74" s="880"/>
      <c r="L74" s="881"/>
      <c r="M74" s="882"/>
      <c r="N74" s="1385"/>
      <c r="O74" s="1385"/>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3" t="s">
        <v>2660</v>
      </c>
      <c r="C76" s="213" t="s">
        <v>2652</v>
      </c>
      <c r="D76" s="213" t="s">
        <v>2653</v>
      </c>
      <c r="E76" s="213" t="s">
        <v>2654</v>
      </c>
      <c r="F76" s="213" t="s">
        <v>2655</v>
      </c>
      <c r="G76" s="213" t="s">
        <v>2656</v>
      </c>
      <c r="H76" s="879"/>
      <c r="I76" s="879"/>
      <c r="J76" s="879"/>
      <c r="K76" s="879"/>
      <c r="L76" s="879"/>
      <c r="M76" s="2761"/>
      <c r="N76" s="1386"/>
      <c r="O76" s="1386"/>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2"/>
      <c r="N77" s="1386"/>
      <c r="O77" s="1386"/>
      <c r="P77" s="1"/>
      <c r="Q77" s="121"/>
    </row>
    <row r="78" spans="1:17" ht="15" thickTop="1">
      <c r="A78" s="173"/>
      <c r="B78" s="1051" t="s">
        <v>149</v>
      </c>
      <c r="C78" s="918" t="s">
        <v>1007</v>
      </c>
      <c r="D78" s="918" t="s">
        <v>1008</v>
      </c>
      <c r="E78" s="918" t="s">
        <v>1009</v>
      </c>
      <c r="F78" s="918" t="s">
        <v>1010</v>
      </c>
      <c r="G78" s="918" t="s">
        <v>1011</v>
      </c>
      <c r="H78" s="879"/>
      <c r="I78" s="879"/>
      <c r="J78" s="879"/>
      <c r="K78" s="880"/>
      <c r="L78" s="881"/>
      <c r="M78" s="882"/>
      <c r="N78" s="1385"/>
      <c r="O78" s="1385"/>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9"/>
      <c r="B80" s="1051">
        <f>B25</f>
        <v>111</v>
      </c>
      <c r="C80" s="139"/>
      <c r="D80" s="139"/>
      <c r="E80" s="139"/>
      <c r="F80" s="139"/>
      <c r="G80" s="139"/>
      <c r="H80" s="139"/>
      <c r="I80" s="139"/>
      <c r="J80" s="139"/>
      <c r="K80" s="139"/>
      <c r="L80" s="1380"/>
      <c r="M80" s="1381"/>
      <c r="N80" s="1384"/>
      <c r="O80" s="1384"/>
      <c r="P80" s="1"/>
      <c r="Q80" s="121"/>
    </row>
    <row r="81" spans="1:17" s="40" customFormat="1" ht="15" thickBot="1">
      <c r="A81" s="1069"/>
      <c r="B81" s="1052"/>
      <c r="C81" s="900"/>
      <c r="D81" s="876"/>
      <c r="E81" s="876"/>
      <c r="F81" s="876"/>
      <c r="G81" s="876"/>
      <c r="H81" s="876"/>
      <c r="I81" s="876"/>
      <c r="J81" s="876"/>
      <c r="K81" s="876"/>
      <c r="L81" s="876"/>
      <c r="M81" s="877"/>
      <c r="N81" s="1386"/>
      <c r="O81" s="1386"/>
      <c r="P81" s="1"/>
      <c r="Q81" s="121"/>
    </row>
    <row r="82" spans="1:17" s="40" customFormat="1" ht="14.25" thickTop="1">
      <c r="A82" s="1069"/>
      <c r="B82" s="1051">
        <f>B26</f>
        <v>111</v>
      </c>
      <c r="C82" s="139"/>
      <c r="D82" s="139"/>
      <c r="E82" s="139"/>
      <c r="F82" s="139"/>
      <c r="G82" s="139"/>
      <c r="H82" s="139"/>
      <c r="I82" s="139"/>
      <c r="J82" s="139"/>
      <c r="K82" s="139"/>
      <c r="L82" s="1380"/>
      <c r="M82" s="1381"/>
      <c r="N82" s="1384"/>
      <c r="O82" s="1384"/>
      <c r="P82" s="1"/>
      <c r="Q82" s="121"/>
    </row>
    <row r="83" spans="1:17" s="40" customFormat="1" ht="15" thickBot="1">
      <c r="A83" s="1069"/>
      <c r="B83" s="1052"/>
      <c r="C83" s="900"/>
      <c r="D83" s="876"/>
      <c r="E83" s="876"/>
      <c r="F83" s="876"/>
      <c r="G83" s="876"/>
      <c r="H83" s="876"/>
      <c r="I83" s="876"/>
      <c r="J83" s="876"/>
      <c r="K83" s="876"/>
      <c r="L83" s="876"/>
      <c r="M83" s="877"/>
      <c r="N83" s="1386"/>
      <c r="O83" s="1386"/>
      <c r="P83" s="1"/>
      <c r="Q83" s="121"/>
    </row>
    <row r="84" spans="1:17" s="1036" customFormat="1" ht="14.25" thickTop="1">
      <c r="A84" s="1055"/>
      <c r="B84" s="1051">
        <f>B27</f>
        <v>111</v>
      </c>
      <c r="C84" s="139"/>
      <c r="D84" s="139"/>
      <c r="E84" s="139"/>
      <c r="F84" s="139"/>
      <c r="G84" s="139"/>
      <c r="H84" s="139"/>
      <c r="I84" s="139"/>
      <c r="J84" s="139"/>
      <c r="K84" s="139"/>
      <c r="L84" s="1380"/>
      <c r="M84" s="1381"/>
      <c r="N84" s="1387"/>
      <c r="O84" s="1387"/>
      <c r="P84" s="1059"/>
      <c r="Q84" s="1060"/>
    </row>
    <row r="85" spans="1:17" s="1036" customFormat="1" ht="15" thickBot="1">
      <c r="A85" s="1055"/>
      <c r="B85" s="1052"/>
      <c r="C85" s="900"/>
      <c r="D85" s="876"/>
      <c r="E85" s="876"/>
      <c r="F85" s="876"/>
      <c r="G85" s="876"/>
      <c r="H85" s="876"/>
      <c r="I85" s="876"/>
      <c r="J85" s="876"/>
      <c r="K85" s="876"/>
      <c r="L85" s="876"/>
      <c r="M85" s="877"/>
      <c r="N85" s="1387"/>
      <c r="O85" s="1387"/>
      <c r="P85" s="1059"/>
      <c r="Q85" s="1060"/>
    </row>
    <row r="86" spans="1:17" ht="14.25" thickTop="1">
      <c r="A86" s="173"/>
      <c r="B86" s="1053">
        <f>B28</f>
        <v>111</v>
      </c>
      <c r="C86" s="140"/>
      <c r="D86" s="140"/>
      <c r="E86" s="140"/>
      <c r="F86" s="140"/>
      <c r="G86" s="135"/>
      <c r="H86" s="135"/>
      <c r="I86" s="135"/>
      <c r="J86" s="135"/>
      <c r="K86" s="136"/>
      <c r="L86" s="137"/>
      <c r="M86" s="138"/>
      <c r="N86" s="1385"/>
      <c r="O86" s="1385"/>
      <c r="P86" s="1"/>
      <c r="Q86" s="121"/>
    </row>
    <row r="87" spans="1:17" ht="15" thickBot="1">
      <c r="A87" s="174"/>
      <c r="B87" s="1068"/>
      <c r="C87" s="910"/>
      <c r="D87" s="910"/>
      <c r="E87" s="910"/>
      <c r="F87" s="910"/>
      <c r="G87" s="931"/>
      <c r="H87" s="931"/>
      <c r="I87" s="931"/>
      <c r="J87" s="931"/>
      <c r="K87" s="931"/>
      <c r="L87" s="931"/>
      <c r="M87" s="932"/>
      <c r="N87" s="1386"/>
      <c r="O87" s="1386"/>
      <c r="P87" s="1"/>
      <c r="Q87" s="121"/>
    </row>
    <row r="88" spans="1:17">
      <c r="A88" s="172" t="s">
        <v>70</v>
      </c>
      <c r="B88" s="286" t="s">
        <v>123</v>
      </c>
      <c r="C88" s="122"/>
      <c r="D88" s="122"/>
      <c r="E88" s="122"/>
      <c r="F88" s="122"/>
      <c r="G88" s="122"/>
      <c r="H88" s="122"/>
      <c r="I88" s="122"/>
      <c r="J88" s="122"/>
      <c r="K88" s="123"/>
      <c r="L88" s="124"/>
      <c r="M88" s="125"/>
      <c r="N88" s="1385"/>
      <c r="O88" s="1385"/>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1" t="s">
        <v>96</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6" customFormat="1">
      <c r="A91" s="1070"/>
      <c r="B91" s="1071"/>
      <c r="C91" s="1072"/>
      <c r="D91" s="1072"/>
      <c r="E91" s="1072"/>
      <c r="F91" s="1072"/>
      <c r="G91" s="1072"/>
      <c r="H91" s="1072"/>
      <c r="I91" s="1072"/>
      <c r="J91" s="1073"/>
      <c r="K91" s="1073"/>
      <c r="L91" s="1074"/>
      <c r="M91" s="1075"/>
      <c r="N91" s="1387"/>
      <c r="O91" s="1387"/>
      <c r="P91" s="1059"/>
      <c r="Q91" s="1060"/>
    </row>
    <row r="92" spans="1:17" s="1036" customFormat="1" ht="15" thickBot="1">
      <c r="A92" s="1055"/>
      <c r="B92" s="1052"/>
      <c r="C92" s="900"/>
      <c r="D92" s="876"/>
      <c r="E92" s="876"/>
      <c r="F92" s="876"/>
      <c r="G92" s="876"/>
      <c r="H92" s="876"/>
      <c r="I92" s="876"/>
      <c r="J92" s="876"/>
      <c r="K92" s="876"/>
      <c r="L92" s="876"/>
      <c r="M92" s="877"/>
      <c r="N92" s="1386"/>
      <c r="O92" s="1386"/>
      <c r="P92" s="1059"/>
      <c r="Q92" s="1060"/>
    </row>
    <row r="93" spans="1:17" ht="14.25" thickTop="1">
      <c r="A93" s="175"/>
      <c r="B93" s="1051" t="s">
        <v>95</v>
      </c>
      <c r="C93" s="139"/>
      <c r="D93" s="139"/>
      <c r="E93" s="131"/>
      <c r="F93" s="131"/>
      <c r="G93" s="131"/>
      <c r="H93" s="131"/>
      <c r="I93" s="131"/>
      <c r="J93" s="131"/>
      <c r="K93" s="132"/>
      <c r="L93" s="133"/>
      <c r="M93" s="134"/>
      <c r="N93" s="1385"/>
      <c r="O93" s="1385"/>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1" t="s">
        <v>124</v>
      </c>
      <c r="C95" s="139"/>
      <c r="D95" s="139"/>
      <c r="E95" s="139"/>
      <c r="F95" s="131"/>
      <c r="G95" s="131"/>
      <c r="H95" s="131"/>
      <c r="I95" s="131"/>
      <c r="J95" s="131"/>
      <c r="K95" s="132"/>
      <c r="L95" s="133"/>
      <c r="M95" s="134"/>
      <c r="N95" s="1385"/>
      <c r="O95" s="1385"/>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1" t="s">
        <v>112</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3"/>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6" customFormat="1" ht="14.25" thickTop="1">
      <c r="A100" s="1070"/>
      <c r="B100" s="1051" t="s">
        <v>125</v>
      </c>
      <c r="C100" s="139"/>
      <c r="D100" s="139"/>
      <c r="E100" s="139"/>
      <c r="F100" s="139"/>
      <c r="G100" s="139"/>
      <c r="H100" s="131"/>
      <c r="I100" s="131"/>
      <c r="J100" s="131"/>
      <c r="K100" s="132"/>
      <c r="L100" s="133"/>
      <c r="M100" s="134"/>
      <c r="N100" s="1387"/>
      <c r="O100" s="1387"/>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9"/>
      <c r="Q101" s="1060"/>
    </row>
    <row r="102" spans="1:17" ht="14.25" thickTop="1">
      <c r="A102" s="175"/>
      <c r="B102" s="1051" t="s">
        <v>2634</v>
      </c>
      <c r="C102" s="139"/>
      <c r="D102" s="139"/>
      <c r="E102" s="139"/>
      <c r="F102" s="139"/>
      <c r="G102" s="139"/>
      <c r="H102" s="131"/>
      <c r="I102" s="131"/>
      <c r="J102" s="131"/>
      <c r="K102" s="132"/>
      <c r="L102" s="133"/>
      <c r="M102" s="134"/>
      <c r="N102" s="1385"/>
      <c r="O102" s="1385"/>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1" t="s">
        <v>126</v>
      </c>
      <c r="C104" s="139"/>
      <c r="D104" s="139"/>
      <c r="E104" s="139"/>
      <c r="F104" s="139"/>
      <c r="G104" s="139"/>
      <c r="H104" s="131"/>
      <c r="I104" s="131"/>
      <c r="J104" s="131"/>
      <c r="K104" s="132"/>
      <c r="L104" s="133"/>
      <c r="M104" s="134"/>
      <c r="N104" s="1385"/>
      <c r="O104" s="1385"/>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152</v>
      </c>
      <c r="C106" s="918" t="s">
        <v>1007</v>
      </c>
      <c r="D106" s="918" t="s">
        <v>1008</v>
      </c>
      <c r="E106" s="918" t="s">
        <v>1009</v>
      </c>
      <c r="F106" s="918" t="s">
        <v>1010</v>
      </c>
      <c r="G106" s="918" t="s">
        <v>1011</v>
      </c>
      <c r="H106" s="879"/>
      <c r="I106" s="879"/>
      <c r="J106" s="879"/>
      <c r="K106" s="880"/>
      <c r="L106" s="881"/>
      <c r="M106" s="882"/>
      <c r="N106" s="1386"/>
      <c r="O106" s="1386"/>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7"/>
      <c r="O108" s="1387"/>
      <c r="P108" s="1059"/>
      <c r="Q108" s="1060"/>
    </row>
    <row r="109" spans="1:17" s="1036" customFormat="1" ht="15" thickBot="1">
      <c r="A109" s="1055"/>
      <c r="B109" s="1050"/>
      <c r="C109" s="900"/>
      <c r="D109" s="876"/>
      <c r="E109" s="876"/>
      <c r="F109" s="876"/>
      <c r="G109" s="900"/>
      <c r="H109" s="902"/>
      <c r="I109" s="902"/>
      <c r="J109" s="902"/>
      <c r="K109" s="902"/>
      <c r="L109" s="902"/>
      <c r="M109" s="903"/>
      <c r="N109" s="1387"/>
      <c r="O109" s="1387"/>
      <c r="P109" s="1059"/>
      <c r="Q109" s="1060"/>
    </row>
    <row r="110" spans="1:17" ht="14.25" thickTop="1">
      <c r="A110" s="175"/>
      <c r="B110" s="1051">
        <f>B39</f>
        <v>111</v>
      </c>
      <c r="C110" s="139"/>
      <c r="D110" s="139"/>
      <c r="E110" s="139"/>
      <c r="F110" s="139"/>
      <c r="G110" s="139"/>
      <c r="H110" s="1056"/>
      <c r="I110" s="1056"/>
      <c r="J110" s="1056"/>
      <c r="K110" s="1056"/>
      <c r="L110" s="1057"/>
      <c r="M110" s="1058"/>
      <c r="N110" s="1385"/>
      <c r="O110" s="1385"/>
      <c r="P110" s="1"/>
      <c r="Q110" s="121"/>
    </row>
    <row r="111" spans="1:17" ht="15" thickBot="1">
      <c r="A111" s="173"/>
      <c r="B111" s="1052"/>
      <c r="C111" s="900"/>
      <c r="D111" s="876"/>
      <c r="E111" s="876"/>
      <c r="F111" s="876"/>
      <c r="G111" s="900"/>
      <c r="H111" s="902"/>
      <c r="I111" s="902"/>
      <c r="J111" s="902"/>
      <c r="K111" s="902"/>
      <c r="L111" s="902"/>
      <c r="M111" s="903"/>
      <c r="N111" s="1386"/>
      <c r="O111" s="1386"/>
      <c r="P111" s="1"/>
      <c r="Q111" s="121"/>
    </row>
    <row r="112" spans="1:17" ht="14.25" thickTop="1">
      <c r="A112" s="175"/>
      <c r="B112" s="1053">
        <f>B40</f>
        <v>111</v>
      </c>
      <c r="C112" s="140"/>
      <c r="D112" s="140"/>
      <c r="E112" s="140"/>
      <c r="F112" s="140"/>
      <c r="G112" s="135"/>
      <c r="H112" s="135"/>
      <c r="I112" s="135"/>
      <c r="J112" s="135"/>
      <c r="K112" s="140"/>
      <c r="L112" s="141"/>
      <c r="M112" s="138"/>
      <c r="N112" s="1385"/>
      <c r="O112" s="1385"/>
      <c r="P112" s="1"/>
      <c r="Q112" s="121"/>
    </row>
    <row r="113" spans="1:17" ht="15" thickBot="1">
      <c r="A113" s="174"/>
      <c r="B113" s="1068"/>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5" customWidth="1"/>
    <col min="12" max="12" width="12.25" style="836" customWidth="1"/>
    <col min="13" max="15" width="12.25" style="745" customWidth="1"/>
    <col min="16" max="16" width="4.75" style="2218"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17"/>
      <c r="C1" s="3118" t="s">
        <v>441</v>
      </c>
      <c r="D1" s="3119"/>
      <c r="E1" s="3120"/>
      <c r="F1" s="3101"/>
      <c r="G1" s="3121" t="s">
        <v>442</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0" customFormat="1" ht="28.5" customHeight="1" thickTop="1">
      <c r="A2" s="3115" t="s">
        <v>443</v>
      </c>
      <c r="B2" s="2840" t="e">
        <f ca="1">IF(C2="——",IF(B37="元/平方米",ROUND(C39*D3/10000,0),ROUND(F3*C39/10000,0)),IF(B37="元/平方米",ROUND(C39*D3/10000,0),ROUND(F3*C39/10000,0))-D2)</f>
        <v>#DIV/0!</v>
      </c>
      <c r="C2" s="3093"/>
      <c r="D2" s="2338" t="e">
        <f ca="1">SUMIF(INDIRECT("'"&amp;F2&amp;"'"&amp;"!A:A"),"承租人权益价值",INDIRECT("'"&amp;F2&amp;"'"&amp;"!c:c"))</f>
        <v>#REF!</v>
      </c>
      <c r="E2" s="3094" t="s">
        <v>862</v>
      </c>
      <c r="F2" s="3095"/>
      <c r="G2" s="2339"/>
      <c r="H2" s="2339"/>
      <c r="I2" s="2339"/>
      <c r="J2" s="2339"/>
      <c r="K2" s="2341"/>
      <c r="L2" s="2342"/>
      <c r="M2" s="2343"/>
      <c r="N2" s="2343"/>
      <c r="O2" s="2343"/>
      <c r="P2" s="2841"/>
      <c r="Q2" s="1313"/>
      <c r="R2" s="1313"/>
      <c r="S2" s="1313"/>
      <c r="T2" s="1313"/>
      <c r="U2" s="1313"/>
      <c r="V2" s="1313"/>
      <c r="W2" s="1313"/>
      <c r="X2" s="1313"/>
      <c r="Y2" s="1313"/>
      <c r="Z2" s="1313"/>
      <c r="AA2" s="1313"/>
      <c r="AB2" s="1313"/>
      <c r="AC2" s="1314"/>
    </row>
    <row r="3" spans="1:29" s="740" customFormat="1" ht="28.5" customHeight="1" thickBot="1">
      <c r="A3" s="579" t="s">
        <v>444</v>
      </c>
      <c r="B3" s="949" t="e">
        <f ca="1">IF(AND(C2="——",B37="元/平方米"),C39,ROUND(B2*10000/D3,0))</f>
        <v>#DIV/0!</v>
      </c>
      <c r="C3" s="742" t="s">
        <v>445</v>
      </c>
      <c r="D3" s="741">
        <f>SUMIF('数据-汇总表'!$C19:$C33,D1,'数据-汇总表'!$E19:$E33)</f>
        <v>0</v>
      </c>
      <c r="E3" s="742" t="s">
        <v>2127</v>
      </c>
      <c r="F3" s="741">
        <f>SUMIF('数据-取费表'!A5:A15,D1,'数据-取费表'!AH5:AH15)</f>
        <v>0</v>
      </c>
      <c r="G3" s="2339"/>
      <c r="H3" s="2339"/>
      <c r="I3" s="2339"/>
      <c r="J3" s="2339"/>
      <c r="K3" s="2341"/>
      <c r="L3" s="2342"/>
      <c r="M3" s="2343"/>
      <c r="N3" s="2343"/>
      <c r="O3" s="2343"/>
      <c r="P3" s="2841"/>
      <c r="Q3" s="1313"/>
      <c r="R3" s="1313"/>
      <c r="S3" s="1313"/>
      <c r="T3" s="1313"/>
      <c r="U3" s="1313"/>
      <c r="V3" s="1313"/>
      <c r="W3" s="1313"/>
      <c r="X3" s="1313"/>
      <c r="Y3" s="1313"/>
      <c r="Z3" s="1313"/>
      <c r="AA3" s="1313"/>
      <c r="AB3" s="1405"/>
      <c r="AC3" s="1395"/>
    </row>
    <row r="4" spans="1:29" ht="15">
      <c r="A4" s="743" t="s">
        <v>446</v>
      </c>
      <c r="B4" s="744"/>
      <c r="C4" s="3674" t="s">
        <v>447</v>
      </c>
      <c r="D4" s="3675"/>
      <c r="E4" s="3676" t="s">
        <v>448</v>
      </c>
      <c r="F4" s="3677"/>
      <c r="G4" s="3674" t="s">
        <v>449</v>
      </c>
      <c r="H4" s="3675"/>
      <c r="I4" s="3674" t="s">
        <v>450</v>
      </c>
      <c r="J4" s="3675"/>
      <c r="K4" s="950" t="s">
        <v>451</v>
      </c>
      <c r="L4" s="2344"/>
      <c r="M4" s="2345"/>
      <c r="N4" s="2345"/>
      <c r="O4" s="2345"/>
      <c r="P4" s="3678" t="s">
        <v>452</v>
      </c>
      <c r="Q4" s="3679"/>
      <c r="R4" s="3661" t="s">
        <v>448</v>
      </c>
      <c r="S4" s="3662"/>
      <c r="T4" s="3661" t="s">
        <v>449</v>
      </c>
      <c r="U4" s="3662"/>
      <c r="V4" s="3686" t="s">
        <v>450</v>
      </c>
      <c r="W4" s="3686"/>
      <c r="X4" s="2826"/>
      <c r="Y4" s="3661" t="s">
        <v>452</v>
      </c>
      <c r="Z4" s="3662"/>
      <c r="AA4" s="3656" t="s">
        <v>448</v>
      </c>
      <c r="AB4" s="3657" t="s">
        <v>449</v>
      </c>
      <c r="AC4" s="3656" t="s">
        <v>450</v>
      </c>
    </row>
    <row r="5" spans="1:29" ht="15">
      <c r="A5" s="746"/>
      <c r="B5" s="747"/>
      <c r="C5" s="3788" t="s">
        <v>3013</v>
      </c>
      <c r="D5" s="3789"/>
      <c r="E5" s="3786" t="s">
        <v>3014</v>
      </c>
      <c r="F5" s="3787"/>
      <c r="G5" s="3788" t="s">
        <v>3015</v>
      </c>
      <c r="H5" s="3789"/>
      <c r="I5" s="3788" t="s">
        <v>3016</v>
      </c>
      <c r="J5" s="3789"/>
      <c r="K5" s="950"/>
      <c r="L5" s="2344"/>
      <c r="M5" s="2345"/>
      <c r="N5" s="2345"/>
      <c r="O5" s="2345"/>
      <c r="P5" s="3680"/>
      <c r="Q5" s="3681"/>
      <c r="R5" s="3663"/>
      <c r="S5" s="3664"/>
      <c r="T5" s="3663"/>
      <c r="U5" s="3664"/>
      <c r="V5" s="3686"/>
      <c r="W5" s="3686"/>
      <c r="X5" s="2826"/>
      <c r="Y5" s="3663"/>
      <c r="Z5" s="3664"/>
      <c r="AA5" s="3657"/>
      <c r="AB5" s="3657"/>
      <c r="AC5" s="3657"/>
    </row>
    <row r="6" spans="1:29" ht="15.75" thickBot="1">
      <c r="A6" s="748"/>
      <c r="B6" s="749"/>
      <c r="C6" s="3790" t="s">
        <v>3017</v>
      </c>
      <c r="D6" s="3791"/>
      <c r="E6" s="3792" t="s">
        <v>3017</v>
      </c>
      <c r="F6" s="3793"/>
      <c r="G6" s="3790" t="s">
        <v>3017</v>
      </c>
      <c r="H6" s="3791"/>
      <c r="I6" s="3790" t="s">
        <v>3017</v>
      </c>
      <c r="J6" s="3791"/>
      <c r="K6" s="950" t="s">
        <v>394</v>
      </c>
      <c r="L6" s="2344"/>
      <c r="M6" s="2345"/>
      <c r="N6" s="2345"/>
      <c r="O6" s="2345"/>
      <c r="P6" s="3682"/>
      <c r="Q6" s="3683"/>
      <c r="R6" s="3663"/>
      <c r="S6" s="3664"/>
      <c r="T6" s="3684"/>
      <c r="U6" s="3685"/>
      <c r="V6" s="3686"/>
      <c r="W6" s="3686"/>
      <c r="X6" s="2826"/>
      <c r="Y6" s="3684"/>
      <c r="Z6" s="3685"/>
      <c r="AA6" s="3658"/>
      <c r="AB6" s="3658"/>
      <c r="AC6" s="3658"/>
    </row>
    <row r="7" spans="1:29" s="407" customFormat="1" ht="15.75" thickBot="1">
      <c r="A7" s="750" t="s">
        <v>395</v>
      </c>
      <c r="B7" s="751"/>
      <c r="C7" s="752">
        <f>'数据-取费表'!B2</f>
        <v>42975</v>
      </c>
      <c r="D7" s="753">
        <v>100</v>
      </c>
      <c r="E7" s="754"/>
      <c r="F7" s="755">
        <f>SUMIF(48:48,YEAR(E7)&amp;"-"&amp;MONTH(E7),49:49)</f>
        <v>0</v>
      </c>
      <c r="G7" s="754"/>
      <c r="H7" s="753">
        <f>SUMIF(48:48,YEAR(G7)&amp;"-"&amp;MONTH(G7),49:49)</f>
        <v>0</v>
      </c>
      <c r="I7" s="754"/>
      <c r="J7" s="753">
        <f>SUMIF(48:48,YEAR(I7)&amp;"-"&amp;MONTH(I7),49:49)</f>
        <v>0</v>
      </c>
      <c r="K7" s="951"/>
      <c r="L7" s="2346"/>
      <c r="M7" s="2347"/>
      <c r="N7" s="2347"/>
      <c r="O7" s="2347"/>
      <c r="P7" s="3659" t="s">
        <v>396</v>
      </c>
      <c r="Q7" s="3687"/>
      <c r="R7" s="1316" t="s">
        <v>65</v>
      </c>
      <c r="S7" s="1317">
        <f t="shared" ref="S7:S14" si="0">F7</f>
        <v>0</v>
      </c>
      <c r="T7" s="1316" t="s">
        <v>65</v>
      </c>
      <c r="U7" s="1317">
        <f t="shared" ref="U7:U14" si="1">H7</f>
        <v>0</v>
      </c>
      <c r="V7" s="1316" t="s">
        <v>65</v>
      </c>
      <c r="W7" s="1317">
        <f t="shared" ref="W7:W14" si="2">J7</f>
        <v>0</v>
      </c>
      <c r="X7" s="1318"/>
      <c r="Y7" s="3659" t="s">
        <v>396</v>
      </c>
      <c r="Z7" s="3660"/>
      <c r="AA7" s="1319" t="e">
        <f>D7/F7</f>
        <v>#DIV/0!</v>
      </c>
      <c r="AB7" s="1319" t="e">
        <f>D7/H7</f>
        <v>#DIV/0!</v>
      </c>
      <c r="AC7" s="1319" t="e">
        <f>D7/J7</f>
        <v>#DIV/0!</v>
      </c>
    </row>
    <row r="8" spans="1:29" s="407"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1"/>
      <c r="L8" s="2346"/>
      <c r="M8" s="2347"/>
      <c r="N8" s="2347"/>
      <c r="O8" s="2347"/>
      <c r="P8" s="3659" t="s">
        <v>432</v>
      </c>
      <c r="Q8" s="3660"/>
      <c r="R8" s="1316" t="s">
        <v>65</v>
      </c>
      <c r="S8" s="1317">
        <f t="shared" si="0"/>
        <v>0</v>
      </c>
      <c r="T8" s="1316" t="s">
        <v>65</v>
      </c>
      <c r="U8" s="1317">
        <f t="shared" si="1"/>
        <v>0</v>
      </c>
      <c r="V8" s="1316" t="s">
        <v>65</v>
      </c>
      <c r="W8" s="1317">
        <f t="shared" si="2"/>
        <v>0</v>
      </c>
      <c r="X8" s="1318"/>
      <c r="Y8" s="3659" t="s">
        <v>432</v>
      </c>
      <c r="Z8" s="3660"/>
      <c r="AA8" s="1319" t="e">
        <f t="shared" ref="AA8:AA36" si="3">D8/F8</f>
        <v>#DIV/0!</v>
      </c>
      <c r="AB8" s="1319" t="e">
        <f t="shared" ref="AB8:AB36" si="4">D8/H8</f>
        <v>#DIV/0!</v>
      </c>
      <c r="AC8" s="1319" t="e">
        <f t="shared" ref="AC8:AC36" si="5">D8/J8</f>
        <v>#DIV/0!</v>
      </c>
    </row>
    <row r="9" spans="1:29" s="407" customFormat="1">
      <c r="A9" s="358" t="s">
        <v>398</v>
      </c>
      <c r="B9" s="980" t="s">
        <v>416</v>
      </c>
      <c r="C9" s="758"/>
      <c r="D9" s="425">
        <v>100</v>
      </c>
      <c r="E9" s="761"/>
      <c r="F9" s="425">
        <f>SUMIF(53:53,E9,54:54)-SUMIF(53:53,C9,54:54)+100</f>
        <v>100</v>
      </c>
      <c r="G9" s="759"/>
      <c r="H9" s="425">
        <f>SUMIF(53:53,G9,54:54)-SUMIF(53:53,C9,54:54)+100</f>
        <v>100</v>
      </c>
      <c r="I9" s="759"/>
      <c r="J9" s="425">
        <f>SUMIF(53:53,I9,54:54)-SUMIF(53:53,C9,54:54)+100</f>
        <v>100</v>
      </c>
      <c r="K9" s="951"/>
      <c r="L9" s="2346"/>
      <c r="M9" s="2347"/>
      <c r="N9" s="2347"/>
      <c r="O9" s="2347"/>
      <c r="P9" s="3673" t="s">
        <v>399</v>
      </c>
      <c r="Q9" s="2825" t="str">
        <f t="shared" ref="Q9:Q14" si="6">B9</f>
        <v>用途</v>
      </c>
      <c r="R9" s="1316" t="s">
        <v>65</v>
      </c>
      <c r="S9" s="1317">
        <f t="shared" si="0"/>
        <v>100</v>
      </c>
      <c r="T9" s="1316" t="s">
        <v>65</v>
      </c>
      <c r="U9" s="1317">
        <f t="shared" si="1"/>
        <v>100</v>
      </c>
      <c r="V9" s="1316" t="s">
        <v>65</v>
      </c>
      <c r="W9" s="1317">
        <f t="shared" si="2"/>
        <v>100</v>
      </c>
      <c r="X9" s="1318"/>
      <c r="Y9" s="3634" t="s">
        <v>400</v>
      </c>
      <c r="Z9" s="344" t="str">
        <f t="shared" ref="Z9:Z14" si="7">Q9</f>
        <v>用途</v>
      </c>
      <c r="AA9" s="1319">
        <f t="shared" si="3"/>
        <v>1</v>
      </c>
      <c r="AB9" s="1319">
        <f t="shared" si="4"/>
        <v>1</v>
      </c>
      <c r="AC9" s="1319">
        <f t="shared" si="5"/>
        <v>1</v>
      </c>
    </row>
    <row r="10" spans="1:29" s="769" customFormat="1" ht="27">
      <c r="A10" s="981"/>
      <c r="B10" s="982" t="s">
        <v>401</v>
      </c>
      <c r="C10" s="765"/>
      <c r="D10" s="426">
        <v>100</v>
      </c>
      <c r="E10" s="765"/>
      <c r="F10" s="426">
        <f>SUMIF(55:55,E10,56:56)-SUMIF(55:55,C10,56:56)+100</f>
        <v>100</v>
      </c>
      <c r="G10" s="766"/>
      <c r="H10" s="426">
        <f>SUMIF(55:55,G10,56:56)-SUMIF(55:55,C10,56:56)+100</f>
        <v>100</v>
      </c>
      <c r="I10" s="765"/>
      <c r="J10" s="426">
        <f>SUMIF(55:55,I10,56:56)-SUMIF(55:55,C10,56:56)+100</f>
        <v>100</v>
      </c>
      <c r="K10" s="952"/>
      <c r="L10" s="2349"/>
      <c r="M10" s="2350"/>
      <c r="N10" s="2350"/>
      <c r="O10" s="2350"/>
      <c r="P10" s="3673"/>
      <c r="Q10" s="2825" t="str">
        <f t="shared" si="6"/>
        <v>土地使用年限（年）</v>
      </c>
      <c r="R10" s="1316" t="s">
        <v>65</v>
      </c>
      <c r="S10" s="1317">
        <f t="shared" si="0"/>
        <v>100</v>
      </c>
      <c r="T10" s="1316" t="s">
        <v>65</v>
      </c>
      <c r="U10" s="1317">
        <f t="shared" si="1"/>
        <v>100</v>
      </c>
      <c r="V10" s="1316" t="s">
        <v>65</v>
      </c>
      <c r="W10" s="1317">
        <f t="shared" si="2"/>
        <v>100</v>
      </c>
      <c r="X10" s="1318"/>
      <c r="Y10" s="3634"/>
      <c r="Z10" s="344" t="str">
        <f t="shared" si="7"/>
        <v>土地使用年限（年）</v>
      </c>
      <c r="AA10" s="1319">
        <f t="shared" si="3"/>
        <v>1</v>
      </c>
      <c r="AB10" s="1319">
        <f t="shared" si="4"/>
        <v>1</v>
      </c>
      <c r="AC10" s="1319">
        <f t="shared" si="5"/>
        <v>1</v>
      </c>
    </row>
    <row r="11" spans="1:29" ht="15">
      <c r="A11" s="983"/>
      <c r="B11" s="984">
        <v>111</v>
      </c>
      <c r="C11" s="774"/>
      <c r="D11" s="426">
        <v>100</v>
      </c>
      <c r="E11" s="774"/>
      <c r="F11" s="426">
        <f>SUMIF(57:57,E11,58:58)-SUMIF(57:57,C11,58:58)+100</f>
        <v>100</v>
      </c>
      <c r="G11" s="774"/>
      <c r="H11" s="426">
        <f>SUMIF(57:57,G11,58:58)-SUMIF(57:57,C11,58:58)+100</f>
        <v>100</v>
      </c>
      <c r="I11" s="774"/>
      <c r="J11" s="426">
        <f>SUMIF(57:57,I11,58:58)-SUMIF(57:57,C11,58:58)+100</f>
        <v>100</v>
      </c>
      <c r="K11" s="953"/>
      <c r="L11" s="2352"/>
      <c r="M11" s="2345"/>
      <c r="N11" s="2345"/>
      <c r="O11" s="2345"/>
      <c r="P11" s="3673"/>
      <c r="Q11" s="2825">
        <f t="shared" si="6"/>
        <v>111</v>
      </c>
      <c r="R11" s="1316" t="s">
        <v>65</v>
      </c>
      <c r="S11" s="1317">
        <f t="shared" si="0"/>
        <v>100</v>
      </c>
      <c r="T11" s="1316" t="s">
        <v>65</v>
      </c>
      <c r="U11" s="1317">
        <f t="shared" si="1"/>
        <v>100</v>
      </c>
      <c r="V11" s="1316" t="s">
        <v>65</v>
      </c>
      <c r="W11" s="1317">
        <f t="shared" si="2"/>
        <v>100</v>
      </c>
      <c r="X11" s="1318"/>
      <c r="Y11" s="3634"/>
      <c r="Z11" s="344">
        <f t="shared" si="7"/>
        <v>111</v>
      </c>
      <c r="AA11" s="1319">
        <f t="shared" si="3"/>
        <v>1</v>
      </c>
      <c r="AB11" s="1319">
        <f t="shared" si="4"/>
        <v>1</v>
      </c>
      <c r="AC11" s="1319">
        <f t="shared" si="5"/>
        <v>1</v>
      </c>
    </row>
    <row r="12" spans="1:29" s="407" customFormat="1" ht="15">
      <c r="A12" s="985"/>
      <c r="B12" s="984">
        <v>111</v>
      </c>
      <c r="C12" s="774"/>
      <c r="D12" s="775">
        <v>100</v>
      </c>
      <c r="E12" s="774"/>
      <c r="F12" s="426">
        <f>SUMIF(59:59,E12,60:60)-SUMIF(59:59,C12,60:60)+100</f>
        <v>100</v>
      </c>
      <c r="G12" s="774"/>
      <c r="H12" s="426">
        <f>SUMIF(59:59,G12,60:60)-SUMIF(59:59,C12,60:60)+100</f>
        <v>100</v>
      </c>
      <c r="I12" s="774"/>
      <c r="J12" s="426">
        <f>SUMIF(59:59,I12,60:60)-SUMIF(59:59,C12,60:60)+100</f>
        <v>100</v>
      </c>
      <c r="K12" s="953"/>
      <c r="L12" s="2346"/>
      <c r="M12" s="2347"/>
      <c r="N12" s="2347"/>
      <c r="O12" s="2347"/>
      <c r="P12" s="3673"/>
      <c r="Q12" s="2825">
        <f t="shared" si="6"/>
        <v>111</v>
      </c>
      <c r="R12" s="1316" t="s">
        <v>65</v>
      </c>
      <c r="S12" s="1317">
        <f t="shared" si="0"/>
        <v>100</v>
      </c>
      <c r="T12" s="1316" t="s">
        <v>65</v>
      </c>
      <c r="U12" s="1317">
        <f t="shared" si="1"/>
        <v>100</v>
      </c>
      <c r="V12" s="1316" t="s">
        <v>65</v>
      </c>
      <c r="W12" s="1317">
        <f t="shared" si="2"/>
        <v>100</v>
      </c>
      <c r="X12" s="1318"/>
      <c r="Y12" s="3634"/>
      <c r="Z12" s="344">
        <f t="shared" si="7"/>
        <v>111</v>
      </c>
      <c r="AA12" s="1319">
        <f>D12/F12</f>
        <v>1</v>
      </c>
      <c r="AB12" s="1319">
        <f>D12/H12</f>
        <v>1</v>
      </c>
      <c r="AC12" s="1319">
        <f>D12/J12</f>
        <v>1</v>
      </c>
    </row>
    <row r="13" spans="1:29" ht="15.75" thickBot="1">
      <c r="A13" s="986"/>
      <c r="B13" s="984">
        <v>111</v>
      </c>
      <c r="C13" s="776"/>
      <c r="D13" s="777">
        <v>100</v>
      </c>
      <c r="E13" s="774"/>
      <c r="F13" s="426">
        <f>SUMIF(61:61,E13,62:62)-SUMIF(61:61,C13,62:62)+100</f>
        <v>100</v>
      </c>
      <c r="G13" s="774"/>
      <c r="H13" s="777">
        <f>SUMIF(61:61,G13,62:62)-SUMIF(61:61,C13,62:62)+100</f>
        <v>100</v>
      </c>
      <c r="I13" s="774"/>
      <c r="J13" s="777">
        <f>SUMIF(61:61,I13,62:62)-SUMIF(61:61,C13,62:62)+100</f>
        <v>100</v>
      </c>
      <c r="K13" s="953"/>
      <c r="L13" s="2354"/>
      <c r="M13" s="2345"/>
      <c r="N13" s="2345"/>
      <c r="O13" s="2345"/>
      <c r="P13" s="3673"/>
      <c r="Q13" s="2825">
        <f t="shared" si="6"/>
        <v>111</v>
      </c>
      <c r="R13" s="1316" t="s">
        <v>65</v>
      </c>
      <c r="S13" s="1317">
        <f t="shared" si="0"/>
        <v>100</v>
      </c>
      <c r="T13" s="1316" t="s">
        <v>65</v>
      </c>
      <c r="U13" s="1317">
        <f t="shared" si="1"/>
        <v>100</v>
      </c>
      <c r="V13" s="1316" t="s">
        <v>65</v>
      </c>
      <c r="W13" s="1317">
        <f t="shared" si="2"/>
        <v>100</v>
      </c>
      <c r="X13" s="1318"/>
      <c r="Y13" s="3634"/>
      <c r="Z13" s="344">
        <f t="shared" si="7"/>
        <v>111</v>
      </c>
      <c r="AA13" s="1319">
        <f t="shared" si="3"/>
        <v>1</v>
      </c>
      <c r="AB13" s="1319">
        <f t="shared" si="4"/>
        <v>1</v>
      </c>
      <c r="AC13" s="1319">
        <f t="shared" si="5"/>
        <v>1</v>
      </c>
    </row>
    <row r="14" spans="1:29" ht="121.5">
      <c r="A14" s="743" t="s">
        <v>403</v>
      </c>
      <c r="B14" s="969" t="s">
        <v>453</v>
      </c>
      <c r="C14" s="212" t="str">
        <f>IF(B1="工业",估价对象房地状况!G4,估价对象房地状况!C6)</f>
        <v>估价对象周边道路密集度一般、周边有931、948路等公交线路经过，停车便捷程度较好，综合评价交通便捷度较差。</v>
      </c>
      <c r="D14" s="783">
        <v>100</v>
      </c>
      <c r="E14" s="784"/>
      <c r="F14" s="785">
        <f>SUMIF(63:63,E15,64:64)-SUMIF(63:63,C15,64:64)+100</f>
        <v>100</v>
      </c>
      <c r="G14" s="786"/>
      <c r="H14" s="783">
        <f>SUMIF(63:63,G15,64:64)-SUMIF(63:63,C15,64:64)+100</f>
        <v>100</v>
      </c>
      <c r="I14" s="784"/>
      <c r="J14" s="783">
        <f>SUMIF(63:63,I15,64:64)-SUMIF(63:63,C15,64:64)+100</f>
        <v>100</v>
      </c>
      <c r="K14" s="954"/>
      <c r="L14" s="2354"/>
      <c r="M14" s="2345"/>
      <c r="N14" s="2345"/>
      <c r="O14" s="2345"/>
      <c r="P14" s="3688" t="s">
        <v>404</v>
      </c>
      <c r="Q14" s="2827" t="str">
        <f t="shared" si="6"/>
        <v>交通便捷度</v>
      </c>
      <c r="R14" s="1321" t="s">
        <v>65</v>
      </c>
      <c r="S14" s="1322">
        <f t="shared" si="0"/>
        <v>100</v>
      </c>
      <c r="T14" s="1321" t="s">
        <v>65</v>
      </c>
      <c r="U14" s="1322">
        <f t="shared" si="1"/>
        <v>100</v>
      </c>
      <c r="V14" s="1321" t="s">
        <v>65</v>
      </c>
      <c r="W14" s="1322">
        <f t="shared" si="2"/>
        <v>100</v>
      </c>
      <c r="X14" s="2826"/>
      <c r="Y14" s="3688" t="s">
        <v>404</v>
      </c>
      <c r="Z14" s="2828" t="str">
        <f t="shared" si="7"/>
        <v>交通便捷度</v>
      </c>
      <c r="AA14" s="1324">
        <f t="shared" si="3"/>
        <v>1</v>
      </c>
      <c r="AB14" s="1324">
        <f t="shared" si="4"/>
        <v>1</v>
      </c>
      <c r="AC14" s="1324">
        <f t="shared" si="5"/>
        <v>1</v>
      </c>
    </row>
    <row r="15" spans="1:29" ht="15">
      <c r="A15" s="746"/>
      <c r="B15" s="987"/>
      <c r="C15" s="97"/>
      <c r="D15" s="790"/>
      <c r="E15" s="789"/>
      <c r="F15" s="791"/>
      <c r="G15" s="789"/>
      <c r="H15" s="792"/>
      <c r="I15" s="789"/>
      <c r="J15" s="790"/>
      <c r="K15" s="955"/>
      <c r="L15" s="2354"/>
      <c r="M15" s="2345"/>
      <c r="N15" s="2345"/>
      <c r="O15" s="2345"/>
      <c r="P15" s="3689"/>
      <c r="Q15" s="2827"/>
      <c r="R15" s="1321"/>
      <c r="S15" s="1322"/>
      <c r="T15" s="1321"/>
      <c r="U15" s="1322"/>
      <c r="V15" s="1321"/>
      <c r="W15" s="1322"/>
      <c r="X15" s="2826"/>
      <c r="Y15" s="3689"/>
      <c r="Z15" s="2828"/>
      <c r="AA15" s="1324">
        <v>1</v>
      </c>
      <c r="AB15" s="1324">
        <v>1</v>
      </c>
      <c r="AC15" s="1324">
        <v>1</v>
      </c>
    </row>
    <row r="16" spans="1:29" ht="121.5">
      <c r="A16" s="746"/>
      <c r="B16" s="1031" t="s">
        <v>2661</v>
      </c>
      <c r="C16" s="158" t="str">
        <f>IF(B1="工业",估价对象房地状况!G5,估价对象房地状况!C7)</f>
        <v>估价对象周边有银行、购物场所、餐饮等配套设施，基础设施水平较高；综合评价公用设施及基础设施水平较差。</v>
      </c>
      <c r="D16" s="797">
        <v>100</v>
      </c>
      <c r="E16" s="799"/>
      <c r="F16" s="800">
        <f>SUMIF(65:65,E17,66:66)-SUMIF(65:65,C17,66:66)+100</f>
        <v>100</v>
      </c>
      <c r="G16" s="801"/>
      <c r="H16" s="797">
        <f>SUMIF(65:65,G17,66:66)-SUMIF(65:65,C17,66:66)+100</f>
        <v>100</v>
      </c>
      <c r="I16" s="799"/>
      <c r="J16" s="797">
        <f>SUMIF(65:65,I17,66:66)-SUMIF(65:65,C17,66:66)+100</f>
        <v>100</v>
      </c>
      <c r="K16" s="954"/>
      <c r="L16" s="2354"/>
      <c r="M16" s="2345"/>
      <c r="N16" s="2345"/>
      <c r="O16" s="2345"/>
      <c r="P16" s="3689"/>
      <c r="Q16" s="2827" t="str">
        <f>B16</f>
        <v>公共配套设施</v>
      </c>
      <c r="R16" s="1321" t="s">
        <v>65</v>
      </c>
      <c r="S16" s="1322">
        <f>F16</f>
        <v>100</v>
      </c>
      <c r="T16" s="1321" t="s">
        <v>65</v>
      </c>
      <c r="U16" s="1322">
        <f>H16</f>
        <v>100</v>
      </c>
      <c r="V16" s="1321" t="s">
        <v>65</v>
      </c>
      <c r="W16" s="1322">
        <f>J16</f>
        <v>100</v>
      </c>
      <c r="X16" s="2826"/>
      <c r="Y16" s="3689"/>
      <c r="Z16" s="2828" t="str">
        <f>Q16</f>
        <v>公共配套设施</v>
      </c>
      <c r="AA16" s="1324">
        <f t="shared" si="3"/>
        <v>1</v>
      </c>
      <c r="AB16" s="1324">
        <f t="shared" si="4"/>
        <v>1</v>
      </c>
      <c r="AC16" s="1324">
        <f t="shared" si="5"/>
        <v>1</v>
      </c>
    </row>
    <row r="17" spans="1:29" ht="15">
      <c r="A17" s="746"/>
      <c r="B17" s="972"/>
      <c r="C17" s="102"/>
      <c r="D17" s="790"/>
      <c r="E17" s="789"/>
      <c r="F17" s="791"/>
      <c r="G17" s="789"/>
      <c r="H17" s="790"/>
      <c r="I17" s="789"/>
      <c r="J17" s="790"/>
      <c r="K17" s="955"/>
      <c r="L17" s="2354"/>
      <c r="M17" s="2345"/>
      <c r="N17" s="2345"/>
      <c r="O17" s="2345"/>
      <c r="P17" s="3689"/>
      <c r="Q17" s="2827"/>
      <c r="R17" s="1321"/>
      <c r="S17" s="1322"/>
      <c r="T17" s="1321"/>
      <c r="U17" s="1322"/>
      <c r="V17" s="1321"/>
      <c r="W17" s="1322"/>
      <c r="X17" s="2826"/>
      <c r="Y17" s="3689"/>
      <c r="Z17" s="2828"/>
      <c r="AA17" s="1324">
        <v>1</v>
      </c>
      <c r="AB17" s="1324">
        <v>1</v>
      </c>
      <c r="AC17" s="1324">
        <v>1</v>
      </c>
    </row>
    <row r="18" spans="1:29" ht="15">
      <c r="A18" s="746"/>
      <c r="B18" s="1033" t="s">
        <v>2660</v>
      </c>
      <c r="C18" s="158" t="str">
        <f>IF(B1="工业",估价对象房地状况!G6,估价对象房地状况!C8)</f>
        <v>七通</v>
      </c>
      <c r="D18" s="792">
        <v>100</v>
      </c>
      <c r="E18" s="794"/>
      <c r="F18" s="800">
        <f>SUMIF(67:67,E19,68:68)-SUMIF(67:67,C19,68:68)+100</f>
        <v>100</v>
      </c>
      <c r="G18" s="796"/>
      <c r="H18" s="797">
        <f>SUMIF(67:67,G19,68:68)-SUMIF(67:67,C19,68:68)+100</f>
        <v>100</v>
      </c>
      <c r="I18" s="794"/>
      <c r="J18" s="797">
        <f>SUMIF(67:67,I19,68:68)-SUMIF(67:67,C19,68:68)+100</f>
        <v>100</v>
      </c>
      <c r="K18" s="954"/>
      <c r="L18" s="2354"/>
      <c r="M18" s="2345"/>
      <c r="N18" s="2345"/>
      <c r="O18" s="2345"/>
      <c r="P18" s="3689"/>
      <c r="Q18" s="2827" t="str">
        <f>B18</f>
        <v>基础设施水平</v>
      </c>
      <c r="R18" s="1321" t="s">
        <v>65</v>
      </c>
      <c r="S18" s="1322">
        <f>F18</f>
        <v>100</v>
      </c>
      <c r="T18" s="1321" t="s">
        <v>65</v>
      </c>
      <c r="U18" s="1322">
        <f>H18</f>
        <v>100</v>
      </c>
      <c r="V18" s="1321" t="s">
        <v>65</v>
      </c>
      <c r="W18" s="1322">
        <f>J18</f>
        <v>100</v>
      </c>
      <c r="X18" s="2826"/>
      <c r="Y18" s="3689"/>
      <c r="Z18" s="2828" t="str">
        <f>Q18</f>
        <v>基础设施水平</v>
      </c>
      <c r="AA18" s="1324">
        <f t="shared" ref="AA18" si="8">D18/F18</f>
        <v>1</v>
      </c>
      <c r="AB18" s="1324">
        <f t="shared" ref="AB18" si="9">D18/H18</f>
        <v>1</v>
      </c>
      <c r="AC18" s="1324">
        <f t="shared" ref="AC18" si="10">D18/J18</f>
        <v>1</v>
      </c>
    </row>
    <row r="19" spans="1:29" ht="15">
      <c r="A19" s="746"/>
      <c r="B19" s="973"/>
      <c r="C19" s="102"/>
      <c r="D19" s="792"/>
      <c r="E19" s="102"/>
      <c r="F19" s="795"/>
      <c r="G19" s="102"/>
      <c r="H19" s="790"/>
      <c r="I19" s="97"/>
      <c r="J19" s="790"/>
      <c r="K19" s="2763"/>
      <c r="L19" s="2354"/>
      <c r="M19" s="2345"/>
      <c r="N19" s="2345"/>
      <c r="O19" s="2345"/>
      <c r="P19" s="3689"/>
      <c r="Q19" s="2827"/>
      <c r="R19" s="1321"/>
      <c r="S19" s="1322"/>
      <c r="T19" s="1321"/>
      <c r="U19" s="1322"/>
      <c r="V19" s="1321"/>
      <c r="W19" s="1322"/>
      <c r="X19" s="2826"/>
      <c r="Y19" s="3689"/>
      <c r="Z19" s="2828"/>
      <c r="AA19" s="1324">
        <v>1</v>
      </c>
      <c r="AB19" s="1324">
        <v>1</v>
      </c>
      <c r="AC19" s="1324">
        <v>1</v>
      </c>
    </row>
    <row r="20" spans="1:29" ht="67.5">
      <c r="A20" s="746"/>
      <c r="B20" s="971" t="s">
        <v>454</v>
      </c>
      <c r="C20" s="158" t="str">
        <f>IF(B1="工业",估价对象房地状况!G7,估价对象房地状况!C9)</f>
        <v>临近潭柘寺景区、戒台寺景区，绿化率高，综合评价环境状况较好</v>
      </c>
      <c r="D20" s="797">
        <v>100</v>
      </c>
      <c r="E20" s="799"/>
      <c r="F20" s="800">
        <f>SUMIF(69:69,E21,70:70)-SUMIF(69:69,C21,70:70)+100</f>
        <v>100</v>
      </c>
      <c r="G20" s="801"/>
      <c r="H20" s="792">
        <f>SUMIF(69:69,G21,70:70)-SUMIF(69:69,C21,70:70)+100</f>
        <v>100</v>
      </c>
      <c r="I20" s="794"/>
      <c r="J20" s="792">
        <f>SUMIF(69:69,I21,70:70)-SUMIF(69:69,C21,70:70)+100</f>
        <v>100</v>
      </c>
      <c r="K20" s="954"/>
      <c r="L20" s="2354"/>
      <c r="M20" s="2345"/>
      <c r="N20" s="2345"/>
      <c r="O20" s="2345"/>
      <c r="P20" s="3689"/>
      <c r="Q20" s="2827" t="str">
        <f>B20</f>
        <v>自然及人文环境</v>
      </c>
      <c r="R20" s="1321" t="s">
        <v>65</v>
      </c>
      <c r="S20" s="1322">
        <f>F20</f>
        <v>100</v>
      </c>
      <c r="T20" s="1321" t="s">
        <v>65</v>
      </c>
      <c r="U20" s="1322">
        <f>H20</f>
        <v>100</v>
      </c>
      <c r="V20" s="1321" t="s">
        <v>65</v>
      </c>
      <c r="W20" s="1322">
        <f>J20</f>
        <v>100</v>
      </c>
      <c r="X20" s="2826"/>
      <c r="Y20" s="3689"/>
      <c r="Z20" s="2828" t="str">
        <f>Q20</f>
        <v>自然及人文环境</v>
      </c>
      <c r="AA20" s="1324">
        <f t="shared" si="3"/>
        <v>1</v>
      </c>
      <c r="AB20" s="1324">
        <f t="shared" si="4"/>
        <v>1</v>
      </c>
      <c r="AC20" s="1324">
        <f t="shared" si="5"/>
        <v>1</v>
      </c>
    </row>
    <row r="21" spans="1:29" ht="15">
      <c r="A21" s="746"/>
      <c r="B21" s="972"/>
      <c r="C21" s="789"/>
      <c r="D21" s="790"/>
      <c r="E21" s="789"/>
      <c r="F21" s="791"/>
      <c r="G21" s="789"/>
      <c r="H21" s="790"/>
      <c r="I21" s="789"/>
      <c r="J21" s="790"/>
      <c r="K21" s="955"/>
      <c r="L21" s="2354"/>
      <c r="M21" s="2345"/>
      <c r="N21" s="2345"/>
      <c r="O21" s="2345"/>
      <c r="P21" s="3689"/>
      <c r="Q21" s="2827"/>
      <c r="R21" s="1321"/>
      <c r="S21" s="1322"/>
      <c r="T21" s="1321"/>
      <c r="U21" s="1322"/>
      <c r="V21" s="1321"/>
      <c r="W21" s="1322"/>
      <c r="X21" s="2826"/>
      <c r="Y21" s="3689"/>
      <c r="Z21" s="2828"/>
      <c r="AA21" s="1324">
        <v>1</v>
      </c>
      <c r="AB21" s="1324">
        <v>1</v>
      </c>
      <c r="AC21" s="1324">
        <v>1</v>
      </c>
    </row>
    <row r="22" spans="1:29" ht="15">
      <c r="A22" s="746"/>
      <c r="B22" s="971" t="s">
        <v>455</v>
      </c>
      <c r="C22" s="956"/>
      <c r="D22" s="792">
        <v>100</v>
      </c>
      <c r="E22" s="956"/>
      <c r="F22" s="803">
        <f>SUMIF(71:71,E22,72:72)-SUMIF(71:71,C22,72:72)+100</f>
        <v>100</v>
      </c>
      <c r="G22" s="956"/>
      <c r="H22" s="777">
        <f>SUMIF(71:71,G22,72:72)-SUMIF(71:71,C22,72:72)+100</f>
        <v>100</v>
      </c>
      <c r="I22" s="956"/>
      <c r="J22" s="777">
        <f>SUMIF(71:71,I22,72:72)-SUMIF(71:71,C22,72:72)+100</f>
        <v>100</v>
      </c>
      <c r="K22" s="952"/>
      <c r="L22" s="2354"/>
      <c r="M22" s="2345"/>
      <c r="N22" s="2345"/>
      <c r="O22" s="2345"/>
      <c r="P22" s="3689"/>
      <c r="Q22" s="2827" t="str">
        <f>B22</f>
        <v>楼层</v>
      </c>
      <c r="R22" s="1321" t="s">
        <v>65</v>
      </c>
      <c r="S22" s="1322">
        <f>F22</f>
        <v>100</v>
      </c>
      <c r="T22" s="1321" t="s">
        <v>65</v>
      </c>
      <c r="U22" s="1322">
        <f>H22</f>
        <v>100</v>
      </c>
      <c r="V22" s="1321" t="s">
        <v>65</v>
      </c>
      <c r="W22" s="1322">
        <f>J22</f>
        <v>100</v>
      </c>
      <c r="X22" s="2826"/>
      <c r="Y22" s="3689"/>
      <c r="Z22" s="2828" t="str">
        <f>Q22</f>
        <v>楼层</v>
      </c>
      <c r="AA22" s="1324">
        <f t="shared" si="3"/>
        <v>1</v>
      </c>
      <c r="AB22" s="1324">
        <f t="shared" si="4"/>
        <v>1</v>
      </c>
      <c r="AC22" s="1324">
        <f t="shared" si="5"/>
        <v>1</v>
      </c>
    </row>
    <row r="23" spans="1:29" ht="15">
      <c r="A23" s="746"/>
      <c r="B23" s="988">
        <v>111</v>
      </c>
      <c r="C23" s="774"/>
      <c r="D23" s="777">
        <v>100</v>
      </c>
      <c r="E23" s="774"/>
      <c r="F23" s="803">
        <f>SUMIF(73:73,E23,74:74)-SUMIF(73:73,C23,74:74)+100</f>
        <v>100</v>
      </c>
      <c r="G23" s="774"/>
      <c r="H23" s="777">
        <f>SUMIF(73:73,G23,74:74)-SUMIF(73:73,C23,74:74)+100</f>
        <v>100</v>
      </c>
      <c r="I23" s="774"/>
      <c r="J23" s="777">
        <f>SUMIF(73:73,I23,74:74)-SUMIF(73:73,C23,74:74)+100</f>
        <v>100</v>
      </c>
      <c r="K23" s="953"/>
      <c r="L23" s="2354"/>
      <c r="M23" s="2345"/>
      <c r="N23" s="2345"/>
      <c r="O23" s="2345"/>
      <c r="P23" s="3689"/>
      <c r="Q23" s="2827">
        <f>B23</f>
        <v>111</v>
      </c>
      <c r="R23" s="1321" t="s">
        <v>65</v>
      </c>
      <c r="S23" s="1322">
        <f>F23</f>
        <v>100</v>
      </c>
      <c r="T23" s="1321" t="s">
        <v>65</v>
      </c>
      <c r="U23" s="1322">
        <f>H23</f>
        <v>100</v>
      </c>
      <c r="V23" s="1321" t="s">
        <v>65</v>
      </c>
      <c r="W23" s="1322">
        <f>J23</f>
        <v>100</v>
      </c>
      <c r="X23" s="2826"/>
      <c r="Y23" s="3689"/>
      <c r="Z23" s="2828">
        <f>Q23</f>
        <v>111</v>
      </c>
      <c r="AA23" s="1324">
        <f t="shared" si="3"/>
        <v>1</v>
      </c>
      <c r="AB23" s="1324">
        <f t="shared" si="4"/>
        <v>1</v>
      </c>
      <c r="AC23" s="1324">
        <f t="shared" si="5"/>
        <v>1</v>
      </c>
    </row>
    <row r="24" spans="1:29" ht="15">
      <c r="A24" s="746"/>
      <c r="B24" s="988">
        <v>111</v>
      </c>
      <c r="C24" s="774"/>
      <c r="D24" s="777">
        <v>100</v>
      </c>
      <c r="E24" s="774"/>
      <c r="F24" s="803">
        <f>SUMIF(75:75,E24,76:76)-SUMIF(75:75,C24,76:76)+100</f>
        <v>100</v>
      </c>
      <c r="G24" s="774"/>
      <c r="H24" s="777">
        <f>SUMIF(75:75,G24,76:76)-SUMIF(75:75,C24,76:76)+100</f>
        <v>100</v>
      </c>
      <c r="I24" s="774"/>
      <c r="J24" s="777">
        <f>SUMIF(75:75,I24,76:76)-SUMIF(75:75,C24,76:76)+100</f>
        <v>100</v>
      </c>
      <c r="K24" s="953"/>
      <c r="L24" s="2354"/>
      <c r="M24" s="2345"/>
      <c r="N24" s="2345"/>
      <c r="O24" s="2345"/>
      <c r="P24" s="3689"/>
      <c r="Q24" s="2827">
        <f t="shared" ref="Q24:Q36" si="11">B24</f>
        <v>111</v>
      </c>
      <c r="R24" s="1321" t="s">
        <v>65</v>
      </c>
      <c r="S24" s="1322">
        <f>F24</f>
        <v>100</v>
      </c>
      <c r="T24" s="1321" t="s">
        <v>65</v>
      </c>
      <c r="U24" s="1322">
        <f>H24</f>
        <v>100</v>
      </c>
      <c r="V24" s="1321" t="s">
        <v>65</v>
      </c>
      <c r="W24" s="1322">
        <f>J24</f>
        <v>100</v>
      </c>
      <c r="X24" s="2826"/>
      <c r="Y24" s="3689"/>
      <c r="Z24" s="2828">
        <f>Q24</f>
        <v>111</v>
      </c>
      <c r="AA24" s="1324">
        <f t="shared" si="3"/>
        <v>1</v>
      </c>
      <c r="AB24" s="1324">
        <f t="shared" si="4"/>
        <v>1</v>
      </c>
      <c r="AC24" s="1324">
        <f t="shared" si="5"/>
        <v>1</v>
      </c>
    </row>
    <row r="25" spans="1:29" s="407" customFormat="1" ht="15.75" thickBot="1">
      <c r="A25" s="989"/>
      <c r="B25" s="975">
        <v>111</v>
      </c>
      <c r="C25" s="779"/>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689"/>
      <c r="Q25" s="2825">
        <f t="shared" si="11"/>
        <v>111</v>
      </c>
      <c r="R25" s="1316" t="s">
        <v>65</v>
      </c>
      <c r="S25" s="1317">
        <f>F25</f>
        <v>100</v>
      </c>
      <c r="T25" s="1316" t="s">
        <v>65</v>
      </c>
      <c r="U25" s="1317">
        <f>H25</f>
        <v>100</v>
      </c>
      <c r="V25" s="1316" t="s">
        <v>65</v>
      </c>
      <c r="W25" s="1317">
        <f>J25</f>
        <v>100</v>
      </c>
      <c r="X25" s="1318"/>
      <c r="Y25" s="3689"/>
      <c r="Z25" s="344">
        <f>Q25</f>
        <v>111</v>
      </c>
      <c r="AA25" s="1324">
        <f>D25/F25</f>
        <v>1</v>
      </c>
      <c r="AB25" s="1324">
        <f>D25/H25</f>
        <v>1</v>
      </c>
      <c r="AC25" s="1324">
        <f>D25/J25</f>
        <v>1</v>
      </c>
    </row>
    <row r="26" spans="1:29" ht="15">
      <c r="A26" s="992" t="s">
        <v>405</v>
      </c>
      <c r="B26" s="360" t="s">
        <v>456</v>
      </c>
      <c r="C26" s="2764">
        <f>B1</f>
        <v>0</v>
      </c>
      <c r="D26" s="790">
        <v>100</v>
      </c>
      <c r="E26" s="789"/>
      <c r="F26" s="791">
        <f>SUMIF(79:79,E26,80:80)-SUMIF(79:79,C26,80:80)+100</f>
        <v>100</v>
      </c>
      <c r="G26" s="789"/>
      <c r="H26" s="790">
        <f>SUMIF(79:79,G26,80:80)-SUMIF(79:79,C26,80:80)+100</f>
        <v>100</v>
      </c>
      <c r="I26" s="789"/>
      <c r="J26" s="790">
        <f>SUMIF(79:79,I26,80:80)-SUMIF(79:79,C26,80:80)+100</f>
        <v>100</v>
      </c>
      <c r="K26" s="952"/>
      <c r="L26" s="2354"/>
      <c r="M26" s="2345"/>
      <c r="N26" s="2345"/>
      <c r="O26" s="2345"/>
      <c r="P26" s="3690" t="s">
        <v>406</v>
      </c>
      <c r="Q26" s="2827" t="str">
        <f t="shared" si="11"/>
        <v>配套类型</v>
      </c>
      <c r="R26" s="1321" t="s">
        <v>65</v>
      </c>
      <c r="S26" s="1322">
        <f t="shared" ref="S26:S36" si="12">F26</f>
        <v>100</v>
      </c>
      <c r="T26" s="1321" t="s">
        <v>65</v>
      </c>
      <c r="U26" s="1322">
        <f t="shared" ref="U26:U36" si="13">H26</f>
        <v>100</v>
      </c>
      <c r="V26" s="1321" t="s">
        <v>65</v>
      </c>
      <c r="W26" s="1322">
        <f t="shared" ref="W26:W36" si="14">J26</f>
        <v>100</v>
      </c>
      <c r="X26" s="2826"/>
      <c r="Y26" s="3691" t="s">
        <v>406</v>
      </c>
      <c r="Z26" s="2828" t="str">
        <f t="shared" ref="Z26:Z36" si="15">Q26</f>
        <v>配套类型</v>
      </c>
      <c r="AA26" s="1324">
        <f t="shared" si="3"/>
        <v>1</v>
      </c>
      <c r="AB26" s="1324">
        <f t="shared" si="4"/>
        <v>1</v>
      </c>
      <c r="AC26" s="1324">
        <f t="shared" si="5"/>
        <v>1</v>
      </c>
    </row>
    <row r="27" spans="1:29" s="811" customFormat="1" ht="15">
      <c r="A27" s="993"/>
      <c r="B27" s="994" t="s">
        <v>457</v>
      </c>
      <c r="C27" s="995"/>
      <c r="D27" s="426">
        <v>100</v>
      </c>
      <c r="E27" s="995"/>
      <c r="F27" s="803">
        <f>SUMIF(81:81,E27,82:82)-SUMIF(81:81,C27,82:82)+100</f>
        <v>100</v>
      </c>
      <c r="G27" s="995"/>
      <c r="H27" s="777">
        <f>SUMIF(81:81,G27,82:82)-SUMIF(81:81,C27,82:82)+100</f>
        <v>100</v>
      </c>
      <c r="I27" s="995"/>
      <c r="J27" s="777">
        <f>SUMIF(81:81,I27,82:82)-SUMIF(81:81,C27,82:82)+100</f>
        <v>100</v>
      </c>
      <c r="K27" s="953"/>
      <c r="L27" s="2352"/>
      <c r="M27" s="2355"/>
      <c r="N27" s="2355"/>
      <c r="O27" s="2355"/>
      <c r="P27" s="3691"/>
      <c r="Q27" s="1325" t="str">
        <f t="shared" si="11"/>
        <v>项目停车位配比</v>
      </c>
      <c r="R27" s="1326" t="s">
        <v>65</v>
      </c>
      <c r="S27" s="1327">
        <f t="shared" si="12"/>
        <v>100</v>
      </c>
      <c r="T27" s="1326" t="s">
        <v>65</v>
      </c>
      <c r="U27" s="1327">
        <f t="shared" si="13"/>
        <v>100</v>
      </c>
      <c r="V27" s="1326" t="s">
        <v>65</v>
      </c>
      <c r="W27" s="1327">
        <f t="shared" si="14"/>
        <v>100</v>
      </c>
      <c r="X27" s="1328"/>
      <c r="Y27" s="3691"/>
      <c r="Z27" s="1329" t="str">
        <f t="shared" si="15"/>
        <v>项目停车位配比</v>
      </c>
      <c r="AA27" s="1324">
        <f t="shared" si="3"/>
        <v>1</v>
      </c>
      <c r="AB27" s="1324">
        <f t="shared" si="4"/>
        <v>1</v>
      </c>
      <c r="AC27" s="1324">
        <f t="shared" si="5"/>
        <v>1</v>
      </c>
    </row>
    <row r="28" spans="1:29" ht="15">
      <c r="A28" s="996"/>
      <c r="B28" s="994" t="s">
        <v>458</v>
      </c>
      <c r="C28" s="802"/>
      <c r="D28" s="777">
        <v>100</v>
      </c>
      <c r="E28" s="802"/>
      <c r="F28" s="803">
        <f>SUMIF(83:83,E28,84:84)-SUMIF(83:83,C28,84:84)+100</f>
        <v>100</v>
      </c>
      <c r="G28" s="802"/>
      <c r="H28" s="777">
        <f>SUMIF(83:83,G28,84:84)-SUMIF(83:83,C28,84:84)+100</f>
        <v>100</v>
      </c>
      <c r="I28" s="802"/>
      <c r="J28" s="777">
        <f>SUMIF(83:83,I28,84:84)-SUMIF(83:83,C28,84:84)+100</f>
        <v>100</v>
      </c>
      <c r="K28" s="952"/>
      <c r="L28" s="2354"/>
      <c r="M28" s="2345"/>
      <c r="N28" s="2345"/>
      <c r="O28" s="2345"/>
      <c r="P28" s="3691"/>
      <c r="Q28" s="2827" t="str">
        <f t="shared" si="11"/>
        <v>公共部分装修</v>
      </c>
      <c r="R28" s="1321" t="s">
        <v>65</v>
      </c>
      <c r="S28" s="1322">
        <f t="shared" si="12"/>
        <v>100</v>
      </c>
      <c r="T28" s="1321" t="s">
        <v>65</v>
      </c>
      <c r="U28" s="1322">
        <f t="shared" si="13"/>
        <v>100</v>
      </c>
      <c r="V28" s="1321" t="s">
        <v>65</v>
      </c>
      <c r="W28" s="1322">
        <f t="shared" si="14"/>
        <v>100</v>
      </c>
      <c r="X28" s="2826"/>
      <c r="Y28" s="3691"/>
      <c r="Z28" s="2828" t="str">
        <f t="shared" si="15"/>
        <v>公共部分装修</v>
      </c>
      <c r="AA28" s="1324">
        <f t="shared" si="3"/>
        <v>1</v>
      </c>
      <c r="AB28" s="1324">
        <f t="shared" si="4"/>
        <v>1</v>
      </c>
      <c r="AC28" s="1324">
        <f t="shared" si="5"/>
        <v>1</v>
      </c>
    </row>
    <row r="29" spans="1:29" ht="15">
      <c r="A29" s="996"/>
      <c r="B29" s="994" t="s">
        <v>459</v>
      </c>
      <c r="C29" s="809"/>
      <c r="D29" s="777">
        <v>100</v>
      </c>
      <c r="E29" s="814"/>
      <c r="F29" s="803" t="e">
        <f>LOOKUP(E29,86:86,87:87)-LOOKUP(C29,86:86,87:87)+100</f>
        <v>#N/A</v>
      </c>
      <c r="G29" s="814"/>
      <c r="H29" s="803" t="e">
        <f>LOOKUP(G29,86:86,87:87)-LOOKUP(C29,86:86,87:87)+100</f>
        <v>#N/A</v>
      </c>
      <c r="I29" s="814"/>
      <c r="J29" s="777" t="e">
        <f>LOOKUP(I29,86:86,87:87)-LOOKUP(C29,86:86,87:87)+100</f>
        <v>#N/A</v>
      </c>
      <c r="K29" s="952"/>
      <c r="L29" s="2354"/>
      <c r="M29" s="2345"/>
      <c r="N29" s="2345"/>
      <c r="O29" s="2345"/>
      <c r="P29" s="3691"/>
      <c r="Q29" s="2827" t="str">
        <f t="shared" si="11"/>
        <v>成新率</v>
      </c>
      <c r="R29" s="1321" t="s">
        <v>65</v>
      </c>
      <c r="S29" s="1322" t="e">
        <f t="shared" si="12"/>
        <v>#N/A</v>
      </c>
      <c r="T29" s="1321" t="s">
        <v>65</v>
      </c>
      <c r="U29" s="1322" t="e">
        <f t="shared" si="13"/>
        <v>#N/A</v>
      </c>
      <c r="V29" s="1321" t="s">
        <v>65</v>
      </c>
      <c r="W29" s="1322" t="e">
        <f t="shared" si="14"/>
        <v>#N/A</v>
      </c>
      <c r="X29" s="2826"/>
      <c r="Y29" s="3691"/>
      <c r="Z29" s="2828" t="str">
        <f t="shared" si="15"/>
        <v>成新率</v>
      </c>
      <c r="AA29" s="1324" t="e">
        <f t="shared" si="3"/>
        <v>#N/A</v>
      </c>
      <c r="AB29" s="1324" t="e">
        <f t="shared" si="4"/>
        <v>#N/A</v>
      </c>
      <c r="AC29" s="1324" t="e">
        <f t="shared" si="5"/>
        <v>#N/A</v>
      </c>
    </row>
    <row r="30" spans="1:29" ht="15">
      <c r="A30" s="996"/>
      <c r="B30" s="994" t="s">
        <v>460</v>
      </c>
      <c r="C30" s="997"/>
      <c r="D30" s="777">
        <v>100</v>
      </c>
      <c r="E30" s="997"/>
      <c r="F30" s="803">
        <f>SUMIF(88:88,E30,89:89)-SUMIF(88:88,C30,89:89)+100</f>
        <v>100</v>
      </c>
      <c r="G30" s="997"/>
      <c r="H30" s="777">
        <f>SUMIF(88:88,E30,89:89)-SUMIF(88:88,C30,89:89)+100</f>
        <v>100</v>
      </c>
      <c r="I30" s="997"/>
      <c r="J30" s="777">
        <f>SUMIF(88:88,E30,89:89)-SUMIF(88:88,C30,89:89)+100</f>
        <v>100</v>
      </c>
      <c r="K30" s="952"/>
      <c r="L30" s="2354"/>
      <c r="M30" s="2345"/>
      <c r="N30" s="2345"/>
      <c r="O30" s="2345"/>
      <c r="P30" s="3691"/>
      <c r="Q30" s="2827" t="str">
        <f t="shared" si="11"/>
        <v>物业等级</v>
      </c>
      <c r="R30" s="1321" t="s">
        <v>65</v>
      </c>
      <c r="S30" s="1322">
        <f t="shared" si="12"/>
        <v>100</v>
      </c>
      <c r="T30" s="1321" t="s">
        <v>65</v>
      </c>
      <c r="U30" s="1322">
        <f t="shared" si="13"/>
        <v>100</v>
      </c>
      <c r="V30" s="1321" t="s">
        <v>65</v>
      </c>
      <c r="W30" s="1322">
        <f t="shared" si="14"/>
        <v>100</v>
      </c>
      <c r="X30" s="2826"/>
      <c r="Y30" s="3691"/>
      <c r="Z30" s="2828" t="str">
        <f t="shared" si="15"/>
        <v>物业等级</v>
      </c>
      <c r="AA30" s="1324">
        <f t="shared" si="3"/>
        <v>1</v>
      </c>
      <c r="AB30" s="1324">
        <f t="shared" si="4"/>
        <v>1</v>
      </c>
      <c r="AC30" s="1324">
        <f t="shared" si="5"/>
        <v>1</v>
      </c>
    </row>
    <row r="31" spans="1:29" s="407" customFormat="1" ht="15">
      <c r="A31" s="998"/>
      <c r="B31" s="994" t="s">
        <v>461</v>
      </c>
      <c r="C31" s="809"/>
      <c r="D31" s="426">
        <v>100</v>
      </c>
      <c r="E31" s="809"/>
      <c r="F31" s="803" t="e">
        <f>LOOKUP(E31,91:91,92:92)-LOOKUP(C31,91:91,92:92)+100</f>
        <v>#N/A</v>
      </c>
      <c r="G31" s="809"/>
      <c r="H31" s="777" t="e">
        <f>LOOKUP(G31,91:91,92:92)-LOOKUP(C31,91:91,92:92)+100</f>
        <v>#N/A</v>
      </c>
      <c r="I31" s="809"/>
      <c r="J31" s="777" t="e">
        <f>LOOKUP(I31,91:91,92:92)-LOOKUP(C31,91:91,92:92)+100</f>
        <v>#N/A</v>
      </c>
      <c r="K31" s="952"/>
      <c r="L31" s="2346"/>
      <c r="M31" s="2347"/>
      <c r="N31" s="2347"/>
      <c r="O31" s="2347"/>
      <c r="P31" s="3691"/>
      <c r="Q31" s="2825" t="str">
        <f t="shared" si="11"/>
        <v>停车位面积</v>
      </c>
      <c r="R31" s="1316" t="s">
        <v>65</v>
      </c>
      <c r="S31" s="1317" t="e">
        <f t="shared" si="12"/>
        <v>#N/A</v>
      </c>
      <c r="T31" s="1316" t="s">
        <v>65</v>
      </c>
      <c r="U31" s="1317" t="e">
        <f t="shared" si="13"/>
        <v>#N/A</v>
      </c>
      <c r="V31" s="1316" t="s">
        <v>65</v>
      </c>
      <c r="W31" s="1317" t="e">
        <f t="shared" si="14"/>
        <v>#N/A</v>
      </c>
      <c r="X31" s="1318"/>
      <c r="Y31" s="3691"/>
      <c r="Z31" s="344" t="str">
        <f t="shared" si="15"/>
        <v>停车位面积</v>
      </c>
      <c r="AA31" s="1319" t="e">
        <f t="shared" si="3"/>
        <v>#N/A</v>
      </c>
      <c r="AB31" s="1319" t="e">
        <f t="shared" si="4"/>
        <v>#N/A</v>
      </c>
      <c r="AC31" s="1319" t="e">
        <f t="shared" si="5"/>
        <v>#N/A</v>
      </c>
    </row>
    <row r="32" spans="1:29" ht="15">
      <c r="A32" s="996"/>
      <c r="B32" s="994" t="s">
        <v>462</v>
      </c>
      <c r="C32" s="802"/>
      <c r="D32" s="777">
        <v>100</v>
      </c>
      <c r="E32" s="802"/>
      <c r="F32" s="803">
        <f>SUMIF(93:93,E32,94:94)-SUMIF(93:93,C32,94:94)+100</f>
        <v>100</v>
      </c>
      <c r="G32" s="802"/>
      <c r="H32" s="777">
        <f>SUMIF(93:93,G32,94:94)-SUMIF(93:93,C32,94:94)+100</f>
        <v>100</v>
      </c>
      <c r="I32" s="802"/>
      <c r="J32" s="777">
        <f>SUMIF(93:93,I32,94:94)-SUMIF(93:93,C32,94:94)+100</f>
        <v>100</v>
      </c>
      <c r="K32" s="952"/>
      <c r="L32" s="2354"/>
      <c r="M32" s="2345"/>
      <c r="N32" s="2345"/>
      <c r="O32" s="2345"/>
      <c r="P32" s="3691" t="s">
        <v>406</v>
      </c>
      <c r="Q32" s="2827" t="str">
        <f t="shared" si="11"/>
        <v>车位类型</v>
      </c>
      <c r="R32" s="1321" t="s">
        <v>65</v>
      </c>
      <c r="S32" s="1322">
        <f t="shared" si="12"/>
        <v>100</v>
      </c>
      <c r="T32" s="1321" t="s">
        <v>65</v>
      </c>
      <c r="U32" s="1322">
        <f t="shared" si="13"/>
        <v>100</v>
      </c>
      <c r="V32" s="1321" t="s">
        <v>65</v>
      </c>
      <c r="W32" s="1322">
        <f t="shared" si="14"/>
        <v>100</v>
      </c>
      <c r="X32" s="2826"/>
      <c r="Y32" s="3691" t="s">
        <v>406</v>
      </c>
      <c r="Z32" s="2828" t="str">
        <f t="shared" si="15"/>
        <v>车位类型</v>
      </c>
      <c r="AA32" s="1324">
        <f t="shared" si="3"/>
        <v>1</v>
      </c>
      <c r="AB32" s="1324">
        <f t="shared" si="4"/>
        <v>1</v>
      </c>
      <c r="AC32" s="1324">
        <f t="shared" si="5"/>
        <v>1</v>
      </c>
    </row>
    <row r="33" spans="1:29" ht="15">
      <c r="A33" s="996"/>
      <c r="B33" s="994" t="s">
        <v>463</v>
      </c>
      <c r="C33" s="802"/>
      <c r="D33" s="777">
        <v>100</v>
      </c>
      <c r="E33" s="802"/>
      <c r="F33" s="803">
        <f>SUMIF(95:95,E33,96:96)-SUMIF(95:95,C33,96:96)+100</f>
        <v>100</v>
      </c>
      <c r="G33" s="802"/>
      <c r="H33" s="777">
        <f>SUMIF(95:95,G33,96:96)-SUMIF(95:95,C33,96:96)+100</f>
        <v>100</v>
      </c>
      <c r="I33" s="802"/>
      <c r="J33" s="777">
        <f>SUMIF(95:95,I33,96:96)-SUMIF(95:95,C33,96:96)+100</f>
        <v>100</v>
      </c>
      <c r="K33" s="952"/>
      <c r="L33" s="2354"/>
      <c r="M33" s="2345"/>
      <c r="N33" s="2345"/>
      <c r="O33" s="2345"/>
      <c r="P33" s="3691"/>
      <c r="Q33" s="2827" t="str">
        <f t="shared" si="11"/>
        <v>是否直接入户</v>
      </c>
      <c r="R33" s="1321" t="s">
        <v>65</v>
      </c>
      <c r="S33" s="1322">
        <f t="shared" si="12"/>
        <v>100</v>
      </c>
      <c r="T33" s="1321" t="s">
        <v>65</v>
      </c>
      <c r="U33" s="1322">
        <f t="shared" si="13"/>
        <v>100</v>
      </c>
      <c r="V33" s="1321" t="s">
        <v>65</v>
      </c>
      <c r="W33" s="1322">
        <f t="shared" si="14"/>
        <v>100</v>
      </c>
      <c r="X33" s="2826"/>
      <c r="Y33" s="3691"/>
      <c r="Z33" s="2828" t="str">
        <f t="shared" si="15"/>
        <v>是否直接入户</v>
      </c>
      <c r="AA33" s="1324">
        <f t="shared" si="3"/>
        <v>1</v>
      </c>
      <c r="AB33" s="1324">
        <f t="shared" si="4"/>
        <v>1</v>
      </c>
      <c r="AC33" s="1324">
        <f t="shared" si="5"/>
        <v>1</v>
      </c>
    </row>
    <row r="34" spans="1:29" ht="15">
      <c r="A34" s="996"/>
      <c r="B34" s="988">
        <v>111</v>
      </c>
      <c r="C34" s="774"/>
      <c r="D34" s="777">
        <v>100</v>
      </c>
      <c r="E34" s="774"/>
      <c r="F34" s="803">
        <f>SUMIF(97:97,E34,98:98)-SUMIF(97:97,C34,98:98)+100</f>
        <v>100</v>
      </c>
      <c r="G34" s="774"/>
      <c r="H34" s="777">
        <f>SUMIF(97:97,G34,98:98)-SUMIF(97:97,C34,98:98)+100</f>
        <v>100</v>
      </c>
      <c r="I34" s="774"/>
      <c r="J34" s="777">
        <f>SUMIF(97:97,I34,98:98)-SUMIF(97:97,C34,98:98)+100</f>
        <v>100</v>
      </c>
      <c r="K34" s="953"/>
      <c r="L34" s="2354"/>
      <c r="M34" s="2345"/>
      <c r="N34" s="2345"/>
      <c r="O34" s="2345"/>
      <c r="P34" s="3691"/>
      <c r="Q34" s="2827">
        <f t="shared" si="11"/>
        <v>111</v>
      </c>
      <c r="R34" s="1321" t="s">
        <v>65</v>
      </c>
      <c r="S34" s="1322">
        <f t="shared" si="12"/>
        <v>100</v>
      </c>
      <c r="T34" s="1321" t="s">
        <v>65</v>
      </c>
      <c r="U34" s="1322">
        <f t="shared" si="13"/>
        <v>100</v>
      </c>
      <c r="V34" s="1321" t="s">
        <v>65</v>
      </c>
      <c r="W34" s="1322">
        <f t="shared" si="14"/>
        <v>100</v>
      </c>
      <c r="X34" s="2826"/>
      <c r="Y34" s="3691"/>
      <c r="Z34" s="2828">
        <f t="shared" si="15"/>
        <v>111</v>
      </c>
      <c r="AA34" s="1324">
        <f t="shared" si="3"/>
        <v>1</v>
      </c>
      <c r="AB34" s="1324">
        <f t="shared" si="4"/>
        <v>1</v>
      </c>
      <c r="AC34" s="1324">
        <f t="shared" si="5"/>
        <v>1</v>
      </c>
    </row>
    <row r="35" spans="1:29" s="811" customFormat="1" ht="15">
      <c r="A35" s="993"/>
      <c r="B35" s="988">
        <v>111</v>
      </c>
      <c r="C35" s="774"/>
      <c r="D35" s="777">
        <v>100</v>
      </c>
      <c r="E35" s="774"/>
      <c r="F35" s="803">
        <f>SUMIF(99:99,E35,100:100)-SUMIF(99:99,C35,100:100)+100</f>
        <v>100</v>
      </c>
      <c r="G35" s="774"/>
      <c r="H35" s="777">
        <f>SUMIF(99:99,G35,100:100)-SUMIF(99:99,C35,100:100)+100</f>
        <v>100</v>
      </c>
      <c r="I35" s="774"/>
      <c r="J35" s="777">
        <f>SUMIF(99:99,I35,100:100)-SUMIF(99:99,C35,100:100)+100</f>
        <v>100</v>
      </c>
      <c r="K35" s="953"/>
      <c r="L35" s="2352"/>
      <c r="M35" s="2355"/>
      <c r="N35" s="2355"/>
      <c r="O35" s="2355"/>
      <c r="P35" s="3691"/>
      <c r="Q35" s="1325">
        <f t="shared" si="11"/>
        <v>111</v>
      </c>
      <c r="R35" s="1326" t="s">
        <v>65</v>
      </c>
      <c r="S35" s="1327">
        <f t="shared" si="12"/>
        <v>100</v>
      </c>
      <c r="T35" s="1326" t="s">
        <v>65</v>
      </c>
      <c r="U35" s="1327">
        <f t="shared" si="13"/>
        <v>100</v>
      </c>
      <c r="V35" s="1326" t="s">
        <v>65</v>
      </c>
      <c r="W35" s="1327">
        <f t="shared" si="14"/>
        <v>100</v>
      </c>
      <c r="X35" s="1328"/>
      <c r="Y35" s="3691"/>
      <c r="Z35" s="1329">
        <f t="shared" si="15"/>
        <v>111</v>
      </c>
      <c r="AA35" s="1324">
        <f t="shared" si="3"/>
        <v>1</v>
      </c>
      <c r="AB35" s="1324">
        <f t="shared" si="4"/>
        <v>1</v>
      </c>
      <c r="AC35" s="1324">
        <f t="shared" si="5"/>
        <v>1</v>
      </c>
    </row>
    <row r="36" spans="1:29" ht="15.75" thickBot="1">
      <c r="A36" s="999"/>
      <c r="B36" s="975">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3"/>
      <c r="L36" s="2354"/>
      <c r="M36" s="2345"/>
      <c r="N36" s="2345"/>
      <c r="O36" s="2345"/>
      <c r="P36" s="3691"/>
      <c r="Q36" s="2827">
        <f t="shared" si="11"/>
        <v>111</v>
      </c>
      <c r="R36" s="1321" t="s">
        <v>65</v>
      </c>
      <c r="S36" s="1322">
        <f t="shared" si="12"/>
        <v>100</v>
      </c>
      <c r="T36" s="1321" t="s">
        <v>65</v>
      </c>
      <c r="U36" s="1322">
        <f t="shared" si="13"/>
        <v>100</v>
      </c>
      <c r="V36" s="1321" t="s">
        <v>65</v>
      </c>
      <c r="W36" s="1322">
        <f t="shared" si="14"/>
        <v>100</v>
      </c>
      <c r="X36" s="2826"/>
      <c r="Y36" s="3691"/>
      <c r="Z36" s="2828">
        <f t="shared" si="15"/>
        <v>111</v>
      </c>
      <c r="AA36" s="1324">
        <f t="shared" si="3"/>
        <v>1</v>
      </c>
      <c r="AB36" s="1324">
        <f t="shared" si="4"/>
        <v>1</v>
      </c>
      <c r="AC36" s="1324">
        <f t="shared" si="5"/>
        <v>1</v>
      </c>
    </row>
    <row r="37" spans="1:29" ht="15">
      <c r="A37" s="163" t="s">
        <v>2128</v>
      </c>
      <c r="B37" s="2095" t="s">
        <v>2129</v>
      </c>
      <c r="C37" s="2829" t="s">
        <v>23</v>
      </c>
      <c r="D37" s="2830"/>
      <c r="E37" s="2831"/>
      <c r="F37" s="2832"/>
      <c r="G37" s="2833"/>
      <c r="H37" s="2834"/>
      <c r="I37" s="2831"/>
      <c r="J37" s="2834"/>
      <c r="K37" s="959"/>
      <c r="L37" s="2357"/>
      <c r="M37" s="2358"/>
      <c r="N37" s="2345"/>
      <c r="O37" s="2358"/>
      <c r="P37" s="3673" t="str">
        <f>A37</f>
        <v>成交单价</v>
      </c>
      <c r="Q37" s="3673"/>
      <c r="R37" s="3794">
        <f>E37</f>
        <v>0</v>
      </c>
      <c r="S37" s="3794"/>
      <c r="T37" s="3794">
        <f>G37</f>
        <v>0</v>
      </c>
      <c r="U37" s="3794"/>
      <c r="V37" s="3794">
        <f>I37</f>
        <v>0</v>
      </c>
      <c r="W37" s="3794"/>
      <c r="X37" s="1304"/>
      <c r="Y37" s="1330"/>
      <c r="Z37" s="1304"/>
      <c r="AA37" s="1304"/>
      <c r="AB37" s="1304"/>
      <c r="AC37" s="1304"/>
    </row>
    <row r="38" spans="1:29" ht="15.75" thickBot="1">
      <c r="A38" s="826" t="s">
        <v>408</v>
      </c>
      <c r="B38" s="166" t="str">
        <f>B37</f>
        <v>元/车位</v>
      </c>
      <c r="C38" s="2835" t="e">
        <f>R39</f>
        <v>#DIV/0!</v>
      </c>
      <c r="D38" s="2836"/>
      <c r="E38" s="2837" t="e">
        <f>R38</f>
        <v>#DIV/0!</v>
      </c>
      <c r="F38" s="2837"/>
      <c r="G38" s="2835" t="e">
        <f>T38</f>
        <v>#DIV/0!</v>
      </c>
      <c r="H38" s="2836"/>
      <c r="I38" s="2837" t="e">
        <f>V38</f>
        <v>#DIV/0!</v>
      </c>
      <c r="J38" s="2836"/>
      <c r="K38" s="960"/>
      <c r="L38" s="2357"/>
      <c r="M38" s="2358"/>
      <c r="N38" s="2358"/>
      <c r="O38" s="2358"/>
      <c r="P38" s="3673" t="str">
        <f>A38</f>
        <v>比较价值（元/平方米）</v>
      </c>
      <c r="Q38" s="3673"/>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1304"/>
      <c r="Y38" s="1304"/>
      <c r="Z38" s="1304"/>
      <c r="AA38" s="1304"/>
      <c r="AB38" s="1304"/>
      <c r="AC38" s="1304"/>
    </row>
    <row r="39" spans="1:29" ht="15.75" thickBot="1">
      <c r="A39" s="832" t="s">
        <v>3018</v>
      </c>
      <c r="B39" s="833"/>
      <c r="C39" s="2839" t="e">
        <f>R39</f>
        <v>#DIV/0!</v>
      </c>
      <c r="D39" s="2839"/>
      <c r="E39" s="2839"/>
      <c r="F39" s="2839"/>
      <c r="G39" s="2839"/>
      <c r="H39" s="2839"/>
      <c r="I39" s="2839"/>
      <c r="J39" s="2839"/>
      <c r="K39" s="961"/>
      <c r="L39" s="2357"/>
      <c r="M39" s="2358"/>
      <c r="N39" s="2358"/>
      <c r="O39" s="2358"/>
      <c r="P39" s="3693" t="str">
        <f>A39</f>
        <v>估价对象XX用房的比较价值（楼面单价，元/平方米）</v>
      </c>
      <c r="Q39" s="3694"/>
      <c r="R39" s="3795" t="e">
        <f>IF(F1="售价",ROUND(AVERAGE(R38:V38),0),ROUND(AVERAGE(R38:V38),1))</f>
        <v>#DIV/0!</v>
      </c>
      <c r="S39" s="3795"/>
      <c r="T39" s="3795"/>
      <c r="U39" s="3795"/>
      <c r="V39" s="3795"/>
      <c r="W39" s="3795"/>
      <c r="X39" s="1304"/>
      <c r="Y39" s="1304"/>
      <c r="Z39" s="1304"/>
      <c r="AA39" s="1304"/>
      <c r="AB39" s="1304"/>
      <c r="AC39" s="1304"/>
    </row>
    <row r="40" spans="1:29">
      <c r="A40" s="2358"/>
      <c r="B40" s="2358"/>
      <c r="C40" s="2358"/>
      <c r="D40" s="2358"/>
      <c r="E40" s="2358"/>
      <c r="F40" s="2358"/>
      <c r="G40" s="2361"/>
      <c r="H40" s="2358"/>
      <c r="I40" s="2358"/>
      <c r="J40" s="2358"/>
      <c r="K40" s="2184"/>
      <c r="L40" s="2185"/>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37" t="s">
        <v>409</v>
      </c>
      <c r="D42" s="838"/>
      <c r="E42" s="839" t="e">
        <f>IF(E37&lt;E38,E38/E37-1,E37/E38-1)</f>
        <v>#DIV/0!</v>
      </c>
      <c r="F42" s="840" t="e">
        <f>IF(OR(E42&gt;=0.3,E42&lt;=-0.3),"超过30%","")</f>
        <v>#DIV/0!</v>
      </c>
      <c r="G42" s="839" t="e">
        <f>IF(G37&lt;G38,G38/G37-1,G37/G38-1)</f>
        <v>#DIV/0!</v>
      </c>
      <c r="H42" s="840" t="e">
        <f>IF(OR(G42&gt;=0.3,G42&lt;=-0.3),"超过30%","")</f>
        <v>#DIV/0!</v>
      </c>
      <c r="I42" s="839" t="e">
        <f>IF(I37&lt;I38,I38/I37-1,I37/I38-1)</f>
        <v>#DIV/0!</v>
      </c>
      <c r="J42" s="840" t="e">
        <f>IF(OR(I42&gt;=0.3,I42&lt;=-0.3),"超过30%","")</f>
        <v>#DIV/0!</v>
      </c>
      <c r="K42" s="2184"/>
      <c r="L42" s="2185"/>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37" t="s">
        <v>410</v>
      </c>
      <c r="D43" s="841"/>
      <c r="E43" s="839" t="e">
        <f>IF(E38&lt;G38,G38/E38-1,E38/G38-1)</f>
        <v>#DIV/0!</v>
      </c>
      <c r="F43" s="840" t="e">
        <f>IF(OR(E43&gt;=0.2,E43&lt;=-0.2),"超过20%","")</f>
        <v>#DIV/0!</v>
      </c>
      <c r="G43" s="839" t="e">
        <f>IF(G38&lt;I38,I38/G38-1,G38/I38-1)</f>
        <v>#DIV/0!</v>
      </c>
      <c r="H43" s="840" t="e">
        <f>IF(OR(G43&gt;=0.2,G43&lt;=-0.2),"超过20%","")</f>
        <v>#DIV/0!</v>
      </c>
      <c r="I43" s="839" t="e">
        <f>IF(I38&lt;E38,E38/I38-1,I38/E38-1)</f>
        <v>#DIV/0!</v>
      </c>
      <c r="J43" s="840" t="e">
        <f>IF(OR(I43&gt;=0.2,I43&lt;=-0.2),"超过20%","")</f>
        <v>#DIV/0!</v>
      </c>
      <c r="K43" s="2184"/>
      <c r="L43" s="2185"/>
      <c r="M43" s="2358"/>
      <c r="N43" s="2358"/>
      <c r="O43" s="2358"/>
      <c r="P43" s="2842"/>
      <c r="Q43" s="2358"/>
      <c r="R43" s="2358"/>
      <c r="S43" s="2358"/>
      <c r="T43" s="2358"/>
      <c r="U43" s="2358"/>
      <c r="V43" s="2358"/>
      <c r="W43" s="2358"/>
      <c r="X43" s="2358"/>
      <c r="Y43" s="2358"/>
      <c r="Z43" s="2358"/>
      <c r="AA43" s="2358"/>
      <c r="AB43" s="2358"/>
      <c r="AC43" s="2358"/>
    </row>
    <row r="44" spans="1:29" s="842" customFormat="1" ht="13.5" customHeight="1">
      <c r="A44" s="2359"/>
      <c r="B44" s="2359"/>
      <c r="C44" s="837" t="s">
        <v>411</v>
      </c>
      <c r="D44" s="841"/>
      <c r="E44" s="839" t="e">
        <f>IF(E37&lt;G37,G37/E37-1,E37/G37-1)</f>
        <v>#DIV/0!</v>
      </c>
      <c r="F44" s="840" t="e">
        <f>IF(OR(E44&gt;=0.3,E44&lt;=-0.3),"超过30%","")</f>
        <v>#DIV/0!</v>
      </c>
      <c r="G44" s="839" t="e">
        <f>IF(G37&lt;I37,I37/G37-1,G37/I37-1)</f>
        <v>#DIV/0!</v>
      </c>
      <c r="H44" s="840" t="e">
        <f>IF(OR(G44&gt;=0.3,G44&lt;=-0.3),"超过30%","")</f>
        <v>#DIV/0!</v>
      </c>
      <c r="I44" s="839" t="e">
        <f>IF(I37&lt;E37,E37/I37-1,I37/E37-1)</f>
        <v>#DIV/0!</v>
      </c>
      <c r="J44" s="840" t="e">
        <f>IF(OR(I44&gt;=0.3,I44&lt;=-0.3),"超过30%","")</f>
        <v>#DIV/0!</v>
      </c>
      <c r="K44" s="2362"/>
      <c r="L44" s="2363"/>
      <c r="M44" s="2359"/>
      <c r="N44" s="2359"/>
      <c r="O44" s="2359"/>
      <c r="P44" s="2843"/>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412</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48" customFormat="1" ht="15">
      <c r="A48" s="845" t="s">
        <v>2788</v>
      </c>
      <c r="B48" s="846"/>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0"/>
      <c r="Q48" s="2861"/>
      <c r="R48" s="2861"/>
      <c r="S48" s="2861"/>
      <c r="T48" s="2861"/>
      <c r="U48" s="2861"/>
      <c r="V48" s="2861"/>
      <c r="W48" s="2861"/>
      <c r="X48" s="2861"/>
      <c r="Y48" s="2861"/>
      <c r="Z48" s="2861"/>
      <c r="AA48" s="2861"/>
      <c r="AB48" s="2861"/>
      <c r="AC48" s="2861"/>
    </row>
    <row r="49" spans="1:29" s="407" customFormat="1" ht="15">
      <c r="A49" s="849"/>
      <c r="B49" s="850"/>
      <c r="C49" s="3026">
        <v>100</v>
      </c>
      <c r="D49" s="852"/>
      <c r="E49" s="852"/>
      <c r="F49" s="852"/>
      <c r="G49" s="852"/>
      <c r="H49" s="852"/>
      <c r="I49" s="852"/>
      <c r="J49" s="852"/>
      <c r="K49" s="852"/>
      <c r="L49" s="852"/>
      <c r="M49" s="853"/>
      <c r="N49" s="852"/>
      <c r="O49" s="853"/>
      <c r="P49" s="2850"/>
      <c r="Q49" s="2849"/>
      <c r="R49" s="2849"/>
      <c r="S49" s="2849"/>
      <c r="T49" s="2849"/>
      <c r="U49" s="2849"/>
      <c r="V49" s="2849"/>
      <c r="W49" s="2849"/>
      <c r="X49" s="2849"/>
      <c r="Y49" s="2849"/>
      <c r="Z49" s="2849"/>
      <c r="AA49" s="2849"/>
      <c r="AB49" s="2849"/>
      <c r="AC49" s="2849"/>
    </row>
    <row r="50" spans="1:29" s="407" customFormat="1" ht="15.75" thickBot="1">
      <c r="A50" s="855" t="s">
        <v>413</v>
      </c>
      <c r="B50" s="856"/>
      <c r="C50" s="857"/>
      <c r="D50" s="858"/>
      <c r="E50" s="858"/>
      <c r="F50" s="858"/>
      <c r="G50" s="858"/>
      <c r="H50" s="858"/>
      <c r="I50" s="858"/>
      <c r="J50" s="858"/>
      <c r="K50" s="858"/>
      <c r="L50" s="858"/>
      <c r="M50" s="859"/>
      <c r="N50" s="858"/>
      <c r="O50" s="859"/>
      <c r="P50" s="2850"/>
      <c r="Q50" s="2845"/>
      <c r="R50" s="2849"/>
      <c r="S50" s="2849"/>
      <c r="T50" s="2849"/>
      <c r="U50" s="2849"/>
      <c r="V50" s="2849"/>
      <c r="W50" s="2849"/>
      <c r="X50" s="2849"/>
      <c r="Y50" s="2849"/>
      <c r="Z50" s="2849"/>
      <c r="AA50" s="2849"/>
      <c r="AB50" s="2849"/>
      <c r="AC50" s="2849"/>
    </row>
    <row r="51" spans="1:29" s="407" customFormat="1" ht="15">
      <c r="A51" s="861" t="s">
        <v>397</v>
      </c>
      <c r="B51" s="850"/>
      <c r="C51" s="862" t="s">
        <v>414</v>
      </c>
      <c r="D51" s="863"/>
      <c r="E51" s="863"/>
      <c r="F51" s="863"/>
      <c r="G51" s="863"/>
      <c r="H51" s="863"/>
      <c r="I51" s="863"/>
      <c r="J51" s="863"/>
      <c r="K51" s="863"/>
      <c r="L51" s="864"/>
      <c r="M51" s="865"/>
      <c r="N51" s="2365"/>
      <c r="O51" s="2365"/>
      <c r="P51" s="2848"/>
      <c r="Q51" s="2845"/>
      <c r="R51" s="2849"/>
      <c r="S51" s="2849"/>
      <c r="T51" s="2849"/>
      <c r="U51" s="2849"/>
      <c r="V51" s="2849"/>
      <c r="W51" s="2849"/>
      <c r="X51" s="2849"/>
      <c r="Y51" s="2849"/>
      <c r="Z51" s="2849"/>
      <c r="AA51" s="2849"/>
      <c r="AB51" s="2849"/>
      <c r="AC51" s="2849"/>
    </row>
    <row r="52" spans="1:29" s="407" customFormat="1" ht="15.75" thickBot="1">
      <c r="A52" s="861"/>
      <c r="B52" s="850"/>
      <c r="C52" s="979">
        <v>100</v>
      </c>
      <c r="D52" s="852"/>
      <c r="E52" s="852"/>
      <c r="F52" s="852"/>
      <c r="G52" s="852"/>
      <c r="H52" s="852"/>
      <c r="I52" s="852"/>
      <c r="J52" s="852"/>
      <c r="K52" s="852"/>
      <c r="L52" s="852"/>
      <c r="M52" s="854"/>
      <c r="N52" s="2365"/>
      <c r="O52" s="2365"/>
      <c r="P52" s="2850"/>
      <c r="Q52" s="2845"/>
      <c r="R52" s="2849"/>
      <c r="S52" s="2849"/>
      <c r="T52" s="2849"/>
      <c r="U52" s="2849"/>
      <c r="V52" s="2849"/>
      <c r="W52" s="2849"/>
      <c r="X52" s="2849"/>
      <c r="Y52" s="2849"/>
      <c r="Z52" s="2849"/>
      <c r="AA52" s="2849"/>
      <c r="AB52" s="2849"/>
      <c r="AC52" s="2849"/>
    </row>
    <row r="53" spans="1:29">
      <c r="A53" s="867" t="s">
        <v>415</v>
      </c>
      <c r="B53" s="868" t="s">
        <v>416</v>
      </c>
      <c r="C53" s="869">
        <f>C9</f>
        <v>0</v>
      </c>
      <c r="D53" s="870"/>
      <c r="E53" s="870"/>
      <c r="F53" s="870"/>
      <c r="G53" s="870"/>
      <c r="H53" s="870"/>
      <c r="I53" s="870"/>
      <c r="J53" s="870"/>
      <c r="K53" s="871"/>
      <c r="L53" s="872"/>
      <c r="M53" s="873"/>
      <c r="N53" s="2366"/>
      <c r="O53" s="2366"/>
      <c r="P53" s="2851"/>
      <c r="Q53" s="2845"/>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1"/>
      <c r="Q54" s="2845"/>
      <c r="R54" s="2358"/>
      <c r="S54" s="2358"/>
      <c r="T54" s="2358"/>
      <c r="U54" s="2358"/>
      <c r="V54" s="2358"/>
      <c r="W54" s="2358"/>
      <c r="X54" s="2358"/>
      <c r="Y54" s="2358"/>
      <c r="Z54" s="2358"/>
      <c r="AA54" s="2358"/>
      <c r="AB54" s="2358"/>
      <c r="AC54" s="2358"/>
    </row>
    <row r="55" spans="1:29" ht="27.75" thickTop="1">
      <c r="A55" s="874"/>
      <c r="B55" s="878" t="s">
        <v>401</v>
      </c>
      <c r="C55" s="879" t="s">
        <v>417</v>
      </c>
      <c r="D55" s="879" t="s">
        <v>418</v>
      </c>
      <c r="E55" s="879" t="s">
        <v>419</v>
      </c>
      <c r="F55" s="879" t="s">
        <v>420</v>
      </c>
      <c r="G55" s="879" t="s">
        <v>435</v>
      </c>
      <c r="H55" s="879" t="s">
        <v>436</v>
      </c>
      <c r="I55" s="879" t="s">
        <v>437</v>
      </c>
      <c r="J55" s="879"/>
      <c r="K55" s="880"/>
      <c r="L55" s="881"/>
      <c r="M55" s="882"/>
      <c r="N55" s="2366"/>
      <c r="O55" s="2366"/>
      <c r="P55" s="2851"/>
      <c r="Q55" s="2845"/>
      <c r="R55" s="2358"/>
      <c r="S55" s="2358"/>
      <c r="T55" s="2358"/>
      <c r="U55" s="2358"/>
      <c r="V55" s="2358"/>
      <c r="W55" s="2358"/>
      <c r="X55" s="2358"/>
      <c r="Y55" s="2358"/>
      <c r="Z55" s="2358"/>
      <c r="AA55" s="2358"/>
      <c r="AB55" s="2358"/>
      <c r="AC55" s="2358"/>
    </row>
    <row r="56" spans="1:29" ht="15.75" thickBot="1">
      <c r="A56" s="874"/>
      <c r="B56" s="883"/>
      <c r="C56" s="884" t="s">
        <v>138</v>
      </c>
      <c r="D56" s="884" t="s">
        <v>139</v>
      </c>
      <c r="E56" s="884">
        <v>100</v>
      </c>
      <c r="F56" s="884">
        <f>E56-$K10</f>
        <v>100</v>
      </c>
      <c r="G56" s="884">
        <f>F56-$K10</f>
        <v>100</v>
      </c>
      <c r="H56" s="884">
        <f>G56-$K10</f>
        <v>100</v>
      </c>
      <c r="I56" s="884">
        <f>H56-$K10</f>
        <v>100</v>
      </c>
      <c r="J56" s="884"/>
      <c r="K56" s="884"/>
      <c r="L56" s="884"/>
      <c r="M56" s="885"/>
      <c r="N56" s="2367"/>
      <c r="O56" s="2367"/>
      <c r="P56" s="2851"/>
      <c r="Q56" s="2845"/>
      <c r="R56" s="2358"/>
      <c r="S56" s="2358"/>
      <c r="T56" s="2358"/>
      <c r="U56" s="2358"/>
      <c r="V56" s="2358"/>
      <c r="W56" s="2358"/>
      <c r="X56" s="2358"/>
      <c r="Y56" s="2358"/>
      <c r="Z56" s="2358"/>
      <c r="AA56" s="2358"/>
      <c r="AB56" s="2358"/>
      <c r="AC56" s="2358"/>
    </row>
    <row r="57" spans="1:29" ht="15.75" thickTop="1">
      <c r="A57" s="874"/>
      <c r="B57" s="1000">
        <f>B11</f>
        <v>111</v>
      </c>
      <c r="C57" s="889"/>
      <c r="D57" s="889"/>
      <c r="E57" s="889"/>
      <c r="F57" s="889"/>
      <c r="G57" s="889"/>
      <c r="H57" s="889"/>
      <c r="I57" s="889"/>
      <c r="J57" s="889"/>
      <c r="K57" s="890"/>
      <c r="L57" s="891"/>
      <c r="M57" s="892"/>
      <c r="N57" s="2366"/>
      <c r="O57" s="2366"/>
      <c r="P57" s="2851"/>
      <c r="Q57" s="2845"/>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1"/>
      <c r="Q58" s="2845"/>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2"/>
      <c r="Q59" s="2853"/>
      <c r="R59" s="2854"/>
      <c r="S59" s="2854"/>
      <c r="T59" s="2854"/>
      <c r="U59" s="2854"/>
      <c r="V59" s="2854"/>
      <c r="W59" s="2854"/>
      <c r="X59" s="2854"/>
      <c r="Y59" s="2854"/>
      <c r="Z59" s="2854"/>
      <c r="AA59" s="2854"/>
      <c r="AB59" s="2854"/>
      <c r="AC59" s="2854"/>
    </row>
    <row r="60" spans="1:29" s="811" customFormat="1" ht="15.75" thickBot="1">
      <c r="A60" s="893"/>
      <c r="B60" s="883"/>
      <c r="C60" s="900"/>
      <c r="D60" s="876"/>
      <c r="E60" s="876"/>
      <c r="F60" s="876"/>
      <c r="G60" s="876"/>
      <c r="H60" s="876"/>
      <c r="I60" s="876"/>
      <c r="J60" s="876"/>
      <c r="K60" s="876"/>
      <c r="L60" s="876"/>
      <c r="M60" s="877"/>
      <c r="N60" s="2367"/>
      <c r="O60" s="2367"/>
      <c r="P60" s="2852"/>
      <c r="Q60" s="2853"/>
      <c r="R60" s="2854"/>
      <c r="S60" s="2854"/>
      <c r="T60" s="2854"/>
      <c r="U60" s="2854"/>
      <c r="V60" s="2854"/>
      <c r="W60" s="2854"/>
      <c r="X60" s="2854"/>
      <c r="Y60" s="2854"/>
      <c r="Z60" s="2854"/>
      <c r="AA60" s="2854"/>
      <c r="AB60" s="2854"/>
      <c r="AC60" s="2854"/>
    </row>
    <row r="61" spans="1:29" s="811" customFormat="1" ht="15.75" thickTop="1">
      <c r="A61" s="893"/>
      <c r="B61" s="878">
        <f>B13</f>
        <v>111</v>
      </c>
      <c r="C61" s="894"/>
      <c r="D61" s="894"/>
      <c r="E61" s="894"/>
      <c r="F61" s="894"/>
      <c r="G61" s="894"/>
      <c r="H61" s="895"/>
      <c r="I61" s="895"/>
      <c r="J61" s="895"/>
      <c r="K61" s="895"/>
      <c r="L61" s="896"/>
      <c r="M61" s="897"/>
      <c r="N61" s="2368"/>
      <c r="O61" s="2368"/>
      <c r="P61" s="2855"/>
      <c r="Q61" s="2856"/>
      <c r="R61" s="2854"/>
      <c r="S61" s="2854"/>
      <c r="T61" s="2854"/>
      <c r="U61" s="2854"/>
      <c r="V61" s="2854"/>
      <c r="W61" s="2854"/>
      <c r="X61" s="2854"/>
      <c r="Y61" s="2854"/>
      <c r="Z61" s="2854"/>
      <c r="AA61" s="2854"/>
      <c r="AB61" s="2854"/>
      <c r="AC61" s="2854"/>
    </row>
    <row r="62" spans="1:29" s="811" customFormat="1" ht="15.75" thickBot="1">
      <c r="A62" s="893"/>
      <c r="B62" s="883"/>
      <c r="C62" s="900"/>
      <c r="D62" s="900"/>
      <c r="E62" s="900"/>
      <c r="F62" s="900"/>
      <c r="G62" s="900"/>
      <c r="H62" s="902"/>
      <c r="I62" s="902"/>
      <c r="J62" s="902"/>
      <c r="K62" s="902"/>
      <c r="L62" s="902"/>
      <c r="M62" s="903"/>
      <c r="N62" s="2368"/>
      <c r="O62" s="2368"/>
      <c r="P62" s="2852"/>
      <c r="Q62" s="2853"/>
      <c r="R62" s="2854"/>
      <c r="S62" s="2854"/>
      <c r="T62" s="2854"/>
      <c r="U62" s="2854"/>
      <c r="V62" s="2854"/>
      <c r="W62" s="2854"/>
      <c r="X62" s="2854"/>
      <c r="Y62" s="2854"/>
      <c r="Z62" s="2854"/>
      <c r="AA62" s="2854"/>
      <c r="AB62" s="2854"/>
      <c r="AC62" s="2854"/>
    </row>
    <row r="63" spans="1:29" ht="15" thickTop="1">
      <c r="A63" s="867" t="s">
        <v>403</v>
      </c>
      <c r="B63" s="868" t="s">
        <v>427</v>
      </c>
      <c r="C63" s="913" t="s">
        <v>422</v>
      </c>
      <c r="D63" s="913" t="s">
        <v>423</v>
      </c>
      <c r="E63" s="913" t="s">
        <v>424</v>
      </c>
      <c r="F63" s="913" t="s">
        <v>425</v>
      </c>
      <c r="G63" s="913" t="s">
        <v>426</v>
      </c>
      <c r="H63" s="869"/>
      <c r="I63" s="869"/>
      <c r="J63" s="869"/>
      <c r="K63" s="914"/>
      <c r="L63" s="915"/>
      <c r="M63" s="916"/>
      <c r="N63" s="2366"/>
      <c r="O63" s="2366"/>
      <c r="P63" s="2857"/>
      <c r="Q63" s="2845"/>
      <c r="R63" s="2358"/>
      <c r="S63" s="2358"/>
      <c r="T63" s="2358"/>
      <c r="U63" s="2358"/>
      <c r="V63" s="2358"/>
      <c r="W63" s="2358"/>
      <c r="X63" s="2358"/>
      <c r="Y63" s="2358"/>
      <c r="Z63" s="2358"/>
      <c r="AA63" s="2358"/>
      <c r="AB63" s="2358"/>
      <c r="AC63" s="2358"/>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7"/>
      <c r="O64" s="2367"/>
      <c r="P64" s="2851"/>
      <c r="Q64" s="2845"/>
      <c r="R64" s="2358"/>
      <c r="S64" s="2358"/>
      <c r="T64" s="2358"/>
      <c r="U64" s="2358"/>
      <c r="V64" s="2358"/>
      <c r="W64" s="2358"/>
      <c r="X64" s="2358"/>
      <c r="Y64" s="2358"/>
      <c r="Z64" s="2358"/>
      <c r="AA64" s="2358"/>
      <c r="AB64" s="2358"/>
      <c r="AC64" s="2358"/>
    </row>
    <row r="65" spans="1:29" ht="15.75" thickTop="1">
      <c r="A65" s="874"/>
      <c r="B65" s="1051" t="s">
        <v>2632</v>
      </c>
      <c r="C65" s="918" t="s">
        <v>422</v>
      </c>
      <c r="D65" s="918" t="s">
        <v>423</v>
      </c>
      <c r="E65" s="918" t="s">
        <v>424</v>
      </c>
      <c r="F65" s="918" t="s">
        <v>425</v>
      </c>
      <c r="G65" s="918" t="s">
        <v>426</v>
      </c>
      <c r="H65" s="879"/>
      <c r="I65" s="879"/>
      <c r="J65" s="879"/>
      <c r="K65" s="880"/>
      <c r="L65" s="881"/>
      <c r="M65" s="882"/>
      <c r="N65" s="2366"/>
      <c r="O65" s="2366"/>
      <c r="P65" s="2851"/>
      <c r="Q65" s="2845"/>
      <c r="R65" s="2358"/>
      <c r="S65" s="2358"/>
      <c r="T65" s="2358"/>
      <c r="U65" s="2358"/>
      <c r="V65" s="2358"/>
      <c r="W65" s="2358"/>
      <c r="X65" s="2358"/>
      <c r="Y65" s="2358"/>
      <c r="Z65" s="2358"/>
      <c r="AA65" s="2358"/>
      <c r="AB65" s="2358"/>
      <c r="AC65" s="2358"/>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7"/>
      <c r="O66" s="2367"/>
      <c r="P66" s="2851"/>
      <c r="Q66" s="2845"/>
      <c r="R66" s="2358"/>
      <c r="S66" s="2358"/>
      <c r="T66" s="2358"/>
      <c r="U66" s="2358"/>
      <c r="V66" s="2358"/>
      <c r="W66" s="2358"/>
      <c r="X66" s="2358"/>
      <c r="Y66" s="2358"/>
      <c r="Z66" s="2358"/>
      <c r="AA66" s="2358"/>
      <c r="AB66" s="2358"/>
      <c r="AC66" s="2358"/>
    </row>
    <row r="67" spans="1:29" ht="15.75" thickTop="1">
      <c r="A67" s="874"/>
      <c r="B67" s="1053" t="s">
        <v>2662</v>
      </c>
      <c r="C67" s="213" t="s">
        <v>2652</v>
      </c>
      <c r="D67" s="213" t="s">
        <v>2653</v>
      </c>
      <c r="E67" s="213" t="s">
        <v>2654</v>
      </c>
      <c r="F67" s="213" t="s">
        <v>2655</v>
      </c>
      <c r="G67" s="213" t="s">
        <v>2656</v>
      </c>
      <c r="H67" s="879"/>
      <c r="I67" s="879"/>
      <c r="J67" s="879"/>
      <c r="K67" s="879"/>
      <c r="L67" s="879"/>
      <c r="M67" s="2761"/>
      <c r="N67" s="2367"/>
      <c r="O67" s="2367"/>
      <c r="P67" s="2851"/>
      <c r="Q67" s="2845"/>
      <c r="R67" s="2358"/>
      <c r="S67" s="2358"/>
      <c r="T67" s="2358"/>
      <c r="U67" s="2358"/>
      <c r="V67" s="2358"/>
      <c r="W67" s="2358"/>
      <c r="X67" s="2358"/>
      <c r="Y67" s="2358"/>
      <c r="Z67" s="2358"/>
      <c r="AA67" s="2358"/>
      <c r="AB67" s="2358"/>
      <c r="AC67" s="2358"/>
    </row>
    <row r="68" spans="1:29" ht="15.75" thickBot="1">
      <c r="A68" s="874"/>
      <c r="B68" s="886"/>
      <c r="C68" s="884">
        <v>100</v>
      </c>
      <c r="D68" s="884">
        <f>C68-$K18</f>
        <v>100</v>
      </c>
      <c r="E68" s="884">
        <f>D68-$K18</f>
        <v>100</v>
      </c>
      <c r="F68" s="884">
        <f>E68-$K18</f>
        <v>100</v>
      </c>
      <c r="G68" s="884">
        <f>F68-$K18</f>
        <v>100</v>
      </c>
      <c r="H68" s="1000"/>
      <c r="I68" s="1000"/>
      <c r="J68" s="1000"/>
      <c r="K68" s="1000"/>
      <c r="L68" s="1000"/>
      <c r="M68" s="792"/>
      <c r="N68" s="2367"/>
      <c r="O68" s="2367"/>
      <c r="P68" s="2851"/>
      <c r="Q68" s="2845"/>
      <c r="R68" s="2358"/>
      <c r="S68" s="2358"/>
      <c r="T68" s="2358"/>
      <c r="U68" s="2358"/>
      <c r="V68" s="2358"/>
      <c r="W68" s="2358"/>
      <c r="X68" s="2358"/>
      <c r="Y68" s="2358"/>
      <c r="Z68" s="2358"/>
      <c r="AA68" s="2358"/>
      <c r="AB68" s="2358"/>
      <c r="AC68" s="2358"/>
    </row>
    <row r="69" spans="1:29" ht="15.75" thickTop="1">
      <c r="A69" s="874"/>
      <c r="B69" s="878" t="s">
        <v>429</v>
      </c>
      <c r="C69" s="918" t="s">
        <v>422</v>
      </c>
      <c r="D69" s="918" t="s">
        <v>423</v>
      </c>
      <c r="E69" s="918" t="s">
        <v>424</v>
      </c>
      <c r="F69" s="918" t="s">
        <v>425</v>
      </c>
      <c r="G69" s="918" t="s">
        <v>426</v>
      </c>
      <c r="H69" s="879"/>
      <c r="I69" s="879"/>
      <c r="J69" s="879"/>
      <c r="K69" s="880"/>
      <c r="L69" s="881"/>
      <c r="M69" s="882"/>
      <c r="N69" s="2366"/>
      <c r="O69" s="2366"/>
      <c r="P69" s="2851"/>
      <c r="Q69" s="2845"/>
      <c r="R69" s="2358"/>
      <c r="S69" s="2358"/>
      <c r="T69" s="2358"/>
      <c r="U69" s="2358"/>
      <c r="V69" s="2358"/>
      <c r="W69" s="2358"/>
      <c r="X69" s="2358"/>
      <c r="Y69" s="2358"/>
      <c r="Z69" s="2358"/>
      <c r="AA69" s="2358"/>
      <c r="AB69" s="2358"/>
      <c r="AC69" s="2358"/>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7"/>
      <c r="O70" s="2367"/>
      <c r="P70" s="2851"/>
      <c r="Q70" s="2845"/>
      <c r="R70" s="2358"/>
      <c r="S70" s="2358"/>
      <c r="T70" s="2358"/>
      <c r="U70" s="2358"/>
      <c r="V70" s="2358"/>
      <c r="W70" s="2358"/>
      <c r="X70" s="2358"/>
      <c r="Y70" s="2358"/>
      <c r="Z70" s="2358"/>
      <c r="AA70" s="2358"/>
      <c r="AB70" s="2358"/>
      <c r="AC70" s="2358"/>
    </row>
    <row r="71" spans="1:29" ht="15.75" thickTop="1">
      <c r="A71" s="874"/>
      <c r="B71" s="878" t="s">
        <v>430</v>
      </c>
      <c r="C71" s="894"/>
      <c r="D71" s="894"/>
      <c r="E71" s="894"/>
      <c r="F71" s="894"/>
      <c r="G71" s="894"/>
      <c r="H71" s="923"/>
      <c r="I71" s="923"/>
      <c r="J71" s="923"/>
      <c r="K71" s="924"/>
      <c r="L71" s="925"/>
      <c r="M71" s="926"/>
      <c r="N71" s="2366"/>
      <c r="O71" s="2366"/>
      <c r="P71" s="2851"/>
      <c r="Q71" s="2845"/>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1"/>
      <c r="Q72" s="2845"/>
      <c r="R72" s="2358"/>
      <c r="S72" s="2358"/>
      <c r="T72" s="2358"/>
      <c r="U72" s="2358"/>
      <c r="V72" s="2358"/>
      <c r="W72" s="2358"/>
      <c r="X72" s="2358"/>
      <c r="Y72" s="2358"/>
      <c r="Z72" s="2358"/>
      <c r="AA72" s="2358"/>
      <c r="AB72" s="2358"/>
      <c r="AC72" s="2358"/>
    </row>
    <row r="73" spans="1:29" s="407" customFormat="1" ht="15.75" thickTop="1">
      <c r="A73" s="919"/>
      <c r="B73" s="878">
        <f>B23</f>
        <v>111</v>
      </c>
      <c r="C73" s="889"/>
      <c r="D73" s="889"/>
      <c r="E73" s="889"/>
      <c r="F73" s="889"/>
      <c r="G73" s="894"/>
      <c r="H73" s="894"/>
      <c r="I73" s="894"/>
      <c r="J73" s="894"/>
      <c r="K73" s="894"/>
      <c r="L73" s="920"/>
      <c r="M73" s="921"/>
      <c r="N73" s="2365"/>
      <c r="O73" s="2365"/>
      <c r="P73" s="2851"/>
      <c r="Q73" s="2845"/>
      <c r="R73" s="2849"/>
      <c r="S73" s="2849"/>
      <c r="T73" s="2849"/>
      <c r="U73" s="2849"/>
      <c r="V73" s="2849"/>
      <c r="W73" s="2849"/>
      <c r="X73" s="2849"/>
      <c r="Y73" s="2849"/>
      <c r="Z73" s="2849"/>
      <c r="AA73" s="2849"/>
      <c r="AB73" s="2849"/>
      <c r="AC73" s="2849"/>
    </row>
    <row r="74" spans="1:29" s="407" customFormat="1" ht="15.75" thickBot="1">
      <c r="A74" s="919"/>
      <c r="B74" s="883"/>
      <c r="C74" s="900"/>
      <c r="D74" s="876"/>
      <c r="E74" s="876"/>
      <c r="F74" s="876"/>
      <c r="G74" s="876"/>
      <c r="H74" s="876"/>
      <c r="I74" s="876"/>
      <c r="J74" s="876"/>
      <c r="K74" s="876"/>
      <c r="L74" s="876"/>
      <c r="M74" s="877"/>
      <c r="N74" s="2367"/>
      <c r="O74" s="2367"/>
      <c r="P74" s="2851"/>
      <c r="Q74" s="2845"/>
      <c r="R74" s="2849"/>
      <c r="S74" s="2849"/>
      <c r="T74" s="2849"/>
      <c r="U74" s="2849"/>
      <c r="V74" s="2849"/>
      <c r="W74" s="2849"/>
      <c r="X74" s="2849"/>
      <c r="Y74" s="2849"/>
      <c r="Z74" s="2849"/>
      <c r="AA74" s="2849"/>
      <c r="AB74" s="2849"/>
      <c r="AC74" s="2849"/>
    </row>
    <row r="75" spans="1:29" s="407" customFormat="1" ht="15.75" thickTop="1">
      <c r="A75" s="919"/>
      <c r="B75" s="878">
        <f>B24</f>
        <v>111</v>
      </c>
      <c r="C75" s="889"/>
      <c r="D75" s="889"/>
      <c r="E75" s="889"/>
      <c r="F75" s="889"/>
      <c r="G75" s="894"/>
      <c r="H75" s="894"/>
      <c r="I75" s="894"/>
      <c r="J75" s="894"/>
      <c r="K75" s="894"/>
      <c r="L75" s="894"/>
      <c r="M75" s="921"/>
      <c r="N75" s="2365"/>
      <c r="O75" s="2365"/>
      <c r="P75" s="2851"/>
      <c r="Q75" s="2845"/>
      <c r="R75" s="2849"/>
      <c r="S75" s="2849"/>
      <c r="T75" s="2849"/>
      <c r="U75" s="2849"/>
      <c r="V75" s="2849"/>
      <c r="W75" s="2849"/>
      <c r="X75" s="2849"/>
      <c r="Y75" s="2849"/>
      <c r="Z75" s="2849"/>
      <c r="AA75" s="2849"/>
      <c r="AB75" s="2849"/>
      <c r="AC75" s="2849"/>
    </row>
    <row r="76" spans="1:29" s="407" customFormat="1" ht="15.75" thickBot="1">
      <c r="A76" s="919"/>
      <c r="B76" s="883"/>
      <c r="C76" s="900"/>
      <c r="D76" s="876"/>
      <c r="E76" s="876"/>
      <c r="F76" s="876"/>
      <c r="G76" s="876"/>
      <c r="H76" s="876"/>
      <c r="I76" s="876"/>
      <c r="J76" s="876"/>
      <c r="K76" s="876"/>
      <c r="L76" s="876"/>
      <c r="M76" s="877"/>
      <c r="N76" s="2367"/>
      <c r="O76" s="2367"/>
      <c r="P76" s="2851"/>
      <c r="Q76" s="2845"/>
      <c r="R76" s="2849"/>
      <c r="S76" s="2849"/>
      <c r="T76" s="2849"/>
      <c r="U76" s="2849"/>
      <c r="V76" s="2849"/>
      <c r="W76" s="2849"/>
      <c r="X76" s="2849"/>
      <c r="Y76" s="2849"/>
      <c r="Z76" s="2849"/>
      <c r="AA76" s="2849"/>
      <c r="AB76" s="2849"/>
      <c r="AC76" s="2849"/>
    </row>
    <row r="77" spans="1:29" s="811" customFormat="1" ht="15.75" thickTop="1">
      <c r="A77" s="893"/>
      <c r="B77" s="878">
        <f>B25</f>
        <v>111</v>
      </c>
      <c r="C77" s="894"/>
      <c r="D77" s="894"/>
      <c r="E77" s="894"/>
      <c r="F77" s="894"/>
      <c r="G77" s="894"/>
      <c r="H77" s="895"/>
      <c r="I77" s="895"/>
      <c r="J77" s="895"/>
      <c r="K77" s="895"/>
      <c r="L77" s="896"/>
      <c r="M77" s="897"/>
      <c r="N77" s="2368"/>
      <c r="O77" s="2368"/>
      <c r="P77" s="2852"/>
      <c r="Q77" s="2853"/>
      <c r="R77" s="2854"/>
      <c r="S77" s="2854"/>
      <c r="T77" s="2854"/>
      <c r="U77" s="2854"/>
      <c r="V77" s="2854"/>
      <c r="W77" s="2854"/>
      <c r="X77" s="2854"/>
      <c r="Y77" s="2854"/>
      <c r="Z77" s="2854"/>
      <c r="AA77" s="2854"/>
      <c r="AB77" s="2854"/>
      <c r="AC77" s="2854"/>
    </row>
    <row r="78" spans="1:29" s="811" customFormat="1" ht="15.75" thickBot="1">
      <c r="A78" s="893"/>
      <c r="B78" s="883"/>
      <c r="C78" s="900"/>
      <c r="D78" s="900"/>
      <c r="E78" s="900"/>
      <c r="F78" s="900"/>
      <c r="G78" s="876"/>
      <c r="H78" s="876"/>
      <c r="I78" s="876"/>
      <c r="J78" s="876"/>
      <c r="K78" s="876"/>
      <c r="L78" s="876"/>
      <c r="M78" s="877"/>
      <c r="N78" s="2368"/>
      <c r="O78" s="2368"/>
      <c r="P78" s="2852"/>
      <c r="Q78" s="2853"/>
      <c r="R78" s="2854"/>
      <c r="S78" s="2854"/>
      <c r="T78" s="2854"/>
      <c r="U78" s="2854"/>
      <c r="V78" s="2854"/>
      <c r="W78" s="2854"/>
      <c r="X78" s="2854"/>
      <c r="Y78" s="2854"/>
      <c r="Z78" s="2854"/>
      <c r="AA78" s="2854"/>
      <c r="AB78" s="2854"/>
      <c r="AC78" s="2854"/>
    </row>
    <row r="79" spans="1:29" ht="27.75" thickTop="1">
      <c r="A79" s="867" t="s">
        <v>405</v>
      </c>
      <c r="B79" s="868" t="s">
        <v>464</v>
      </c>
      <c r="C79" s="869">
        <f>C26</f>
        <v>0</v>
      </c>
      <c r="D79" s="870"/>
      <c r="E79" s="870"/>
      <c r="F79" s="870"/>
      <c r="G79" s="870"/>
      <c r="H79" s="870"/>
      <c r="I79" s="870"/>
      <c r="J79" s="870"/>
      <c r="K79" s="871"/>
      <c r="L79" s="872"/>
      <c r="M79" s="873"/>
      <c r="N79" s="2366"/>
      <c r="O79" s="2366"/>
      <c r="P79" s="2851"/>
      <c r="Q79" s="2845"/>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4"/>
      <c r="B81" s="878" t="s">
        <v>465</v>
      </c>
      <c r="C81" s="1001"/>
      <c r="D81" s="1001"/>
      <c r="E81" s="1001"/>
      <c r="F81" s="1001"/>
      <c r="G81" s="1001"/>
      <c r="H81" s="1001"/>
      <c r="I81" s="1001"/>
      <c r="J81" s="1001"/>
      <c r="K81" s="1002"/>
      <c r="L81" s="1003"/>
      <c r="M81" s="1004"/>
      <c r="N81" s="2365"/>
      <c r="O81" s="2365"/>
      <c r="P81" s="2851"/>
      <c r="Q81" s="2845"/>
      <c r="R81" s="2358"/>
      <c r="S81" s="2358"/>
      <c r="T81" s="2358"/>
      <c r="U81" s="2358"/>
      <c r="V81" s="2358"/>
      <c r="W81" s="2358"/>
      <c r="X81" s="2358"/>
      <c r="Y81" s="2358"/>
      <c r="Z81" s="2358"/>
      <c r="AA81" s="2358"/>
      <c r="AB81" s="2358"/>
      <c r="AC81" s="2358"/>
    </row>
    <row r="82" spans="1:29" s="811" customFormat="1" ht="15.75" thickBot="1">
      <c r="A82" s="893"/>
      <c r="B82" s="883"/>
      <c r="C82" s="900"/>
      <c r="D82" s="876"/>
      <c r="E82" s="876"/>
      <c r="F82" s="876"/>
      <c r="G82" s="876"/>
      <c r="H82" s="876"/>
      <c r="I82" s="876"/>
      <c r="J82" s="876"/>
      <c r="K82" s="876"/>
      <c r="L82" s="876"/>
      <c r="M82" s="877"/>
      <c r="N82" s="2367"/>
      <c r="O82" s="2367"/>
      <c r="P82" s="2852"/>
      <c r="Q82" s="2853"/>
      <c r="R82" s="2854"/>
      <c r="S82" s="2854"/>
      <c r="T82" s="2854"/>
      <c r="U82" s="2854"/>
      <c r="V82" s="2854"/>
      <c r="W82" s="2854"/>
      <c r="X82" s="2854"/>
      <c r="Y82" s="2854"/>
      <c r="Z82" s="2854"/>
      <c r="AA82" s="2854"/>
      <c r="AB82" s="2854"/>
      <c r="AC82" s="2854"/>
    </row>
    <row r="83" spans="1:29" ht="15" thickTop="1">
      <c r="A83" s="939"/>
      <c r="B83" s="878" t="s">
        <v>431</v>
      </c>
      <c r="C83" s="894"/>
      <c r="D83" s="894"/>
      <c r="E83" s="923"/>
      <c r="F83" s="923"/>
      <c r="G83" s="923"/>
      <c r="H83" s="923"/>
      <c r="I83" s="923"/>
      <c r="J83" s="923"/>
      <c r="K83" s="924"/>
      <c r="L83" s="925"/>
      <c r="M83" s="926"/>
      <c r="N83" s="2366"/>
      <c r="O83" s="2366"/>
      <c r="P83" s="2851"/>
      <c r="Q83" s="2845"/>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39"/>
      <c r="B85" s="878" t="s">
        <v>466</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1"/>
      <c r="Q85" s="2845"/>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1"/>
      <c r="Q86" s="2845"/>
      <c r="R86" s="2358"/>
      <c r="S86" s="2358"/>
      <c r="T86" s="2358"/>
      <c r="U86" s="2358"/>
      <c r="V86" s="2358"/>
      <c r="W86" s="2358"/>
      <c r="X86" s="2358"/>
      <c r="Y86" s="2358"/>
      <c r="Z86" s="2358"/>
      <c r="AA86" s="2358"/>
      <c r="AB86" s="2358"/>
      <c r="AC86" s="2358"/>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39"/>
      <c r="B88" s="886" t="s">
        <v>467</v>
      </c>
      <c r="C88" s="870"/>
      <c r="D88" s="870"/>
      <c r="E88" s="870"/>
      <c r="F88" s="870"/>
      <c r="G88" s="870"/>
      <c r="H88" s="870"/>
      <c r="I88" s="870"/>
      <c r="J88" s="870"/>
      <c r="K88" s="871"/>
      <c r="L88" s="872"/>
      <c r="M88" s="873"/>
      <c r="N88" s="2366"/>
      <c r="O88" s="2366"/>
      <c r="P88" s="2851"/>
      <c r="Q88" s="2845"/>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7"/>
      <c r="O89" s="2367"/>
      <c r="P89" s="2851"/>
      <c r="Q89" s="2845"/>
      <c r="R89" s="2358"/>
      <c r="S89" s="2358"/>
      <c r="T89" s="2358"/>
      <c r="U89" s="2358"/>
      <c r="V89" s="2358"/>
      <c r="W89" s="2358"/>
      <c r="X89" s="2358"/>
      <c r="Y89" s="2358"/>
      <c r="Z89" s="2358"/>
      <c r="AA89" s="2358"/>
      <c r="AB89" s="2358"/>
      <c r="AC89" s="2358"/>
    </row>
    <row r="90" spans="1:29" s="811" customFormat="1" ht="15" thickTop="1">
      <c r="A90" s="933"/>
      <c r="B90" s="878" t="s">
        <v>468</v>
      </c>
      <c r="C90" s="918" t="str">
        <f>C91&amp;"(含)"&amp;"-"&amp;D91</f>
        <v>(含)-</v>
      </c>
      <c r="D90" s="918" t="str">
        <f t="shared" ref="D90:L90" si="21">D91&amp;"(含)"&amp;"-"&amp;E91</f>
        <v>(含)-</v>
      </c>
      <c r="E90" s="918" t="str">
        <f t="shared" si="21"/>
        <v>(含)-</v>
      </c>
      <c r="F90" s="918" t="str">
        <f t="shared" si="21"/>
        <v>(含)-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68"/>
      <c r="O90" s="2368"/>
      <c r="P90" s="2852"/>
      <c r="Q90" s="2853"/>
      <c r="R90" s="2854"/>
      <c r="S90" s="2854"/>
      <c r="T90" s="2854"/>
      <c r="U90" s="2854"/>
      <c r="V90" s="2854"/>
      <c r="W90" s="2854"/>
      <c r="X90" s="2854"/>
      <c r="Y90" s="2854"/>
      <c r="Z90" s="2854"/>
      <c r="AA90" s="2854"/>
      <c r="AB90" s="2854"/>
      <c r="AC90" s="2854"/>
    </row>
    <row r="91" spans="1:29" s="811" customFormat="1">
      <c r="A91" s="933"/>
      <c r="B91" s="886"/>
      <c r="C91" s="935"/>
      <c r="D91" s="935"/>
      <c r="E91" s="935"/>
      <c r="F91" s="935"/>
      <c r="G91" s="935"/>
      <c r="H91" s="935"/>
      <c r="I91" s="935"/>
      <c r="J91" s="936"/>
      <c r="K91" s="936"/>
      <c r="L91" s="937"/>
      <c r="M91" s="938"/>
      <c r="N91" s="2368"/>
      <c r="O91" s="2368"/>
      <c r="P91" s="2852"/>
      <c r="Q91" s="2853"/>
      <c r="R91" s="2854"/>
      <c r="S91" s="2854"/>
      <c r="T91" s="2854"/>
      <c r="U91" s="2854"/>
      <c r="V91" s="2854"/>
      <c r="W91" s="2854"/>
      <c r="X91" s="2854"/>
      <c r="Y91" s="2854"/>
      <c r="Z91" s="2854"/>
      <c r="AA91" s="2854"/>
      <c r="AB91" s="2854"/>
      <c r="AC91" s="2854"/>
    </row>
    <row r="92" spans="1:29" s="811" customFormat="1" ht="15.75" thickBot="1">
      <c r="A92" s="893"/>
      <c r="B92" s="883"/>
      <c r="C92" s="900"/>
      <c r="D92" s="876"/>
      <c r="E92" s="876"/>
      <c r="F92" s="876"/>
      <c r="G92" s="876"/>
      <c r="H92" s="876"/>
      <c r="I92" s="876"/>
      <c r="J92" s="876"/>
      <c r="K92" s="876"/>
      <c r="L92" s="876"/>
      <c r="M92" s="877"/>
      <c r="N92" s="2368"/>
      <c r="O92" s="2368"/>
      <c r="P92" s="2852"/>
      <c r="Q92" s="2853"/>
      <c r="R92" s="2854"/>
      <c r="S92" s="2854"/>
      <c r="T92" s="2854"/>
      <c r="U92" s="2854"/>
      <c r="V92" s="2854"/>
      <c r="W92" s="2854"/>
      <c r="X92" s="2854"/>
      <c r="Y92" s="2854"/>
      <c r="Z92" s="2854"/>
      <c r="AA92" s="2854"/>
      <c r="AB92" s="2854"/>
      <c r="AC92" s="2854"/>
    </row>
    <row r="93" spans="1:29" ht="15" thickTop="1">
      <c r="A93" s="939"/>
      <c r="B93" s="878" t="s">
        <v>469</v>
      </c>
      <c r="C93" s="894"/>
      <c r="D93" s="894"/>
      <c r="E93" s="923"/>
      <c r="F93" s="923"/>
      <c r="G93" s="923"/>
      <c r="H93" s="923"/>
      <c r="I93" s="923"/>
      <c r="J93" s="923"/>
      <c r="K93" s="924"/>
      <c r="L93" s="925"/>
      <c r="M93" s="926"/>
      <c r="N93" s="2366"/>
      <c r="O93" s="2366"/>
      <c r="P93" s="2851"/>
      <c r="Q93" s="2845"/>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7"/>
      <c r="O94" s="2367"/>
      <c r="P94" s="2851"/>
      <c r="Q94" s="2845"/>
      <c r="R94" s="2358"/>
      <c r="S94" s="2358"/>
      <c r="T94" s="2358"/>
      <c r="U94" s="2358"/>
      <c r="V94" s="2358"/>
      <c r="W94" s="2358"/>
      <c r="X94" s="2358"/>
      <c r="Y94" s="2358"/>
      <c r="Z94" s="2358"/>
      <c r="AA94" s="2358"/>
      <c r="AB94" s="2358"/>
      <c r="AC94" s="2358"/>
    </row>
    <row r="95" spans="1:29" ht="15" thickTop="1">
      <c r="A95" s="939"/>
      <c r="B95" s="878" t="s">
        <v>470</v>
      </c>
      <c r="C95" s="870"/>
      <c r="D95" s="870"/>
      <c r="E95" s="870"/>
      <c r="F95" s="870"/>
      <c r="G95" s="870"/>
      <c r="H95" s="870"/>
      <c r="I95" s="870"/>
      <c r="J95" s="870"/>
      <c r="K95" s="871"/>
      <c r="L95" s="872"/>
      <c r="M95" s="873"/>
      <c r="N95" s="2366"/>
      <c r="O95" s="2366"/>
      <c r="P95" s="2851"/>
      <c r="Q95" s="2845"/>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1"/>
      <c r="Q96" s="2845"/>
      <c r="R96" s="2358"/>
      <c r="S96" s="2358"/>
      <c r="T96" s="2358"/>
      <c r="U96" s="2358"/>
      <c r="V96" s="2358"/>
      <c r="W96" s="2358"/>
      <c r="X96" s="2358"/>
      <c r="Y96" s="2358"/>
      <c r="Z96" s="2358"/>
      <c r="AA96" s="2358"/>
      <c r="AB96" s="2358"/>
      <c r="AC96" s="2358"/>
    </row>
    <row r="97" spans="1:29" ht="15" thickTop="1">
      <c r="A97" s="939"/>
      <c r="B97" s="976">
        <f>B34</f>
        <v>111</v>
      </c>
      <c r="C97" s="889"/>
      <c r="D97" s="889"/>
      <c r="E97" s="889"/>
      <c r="F97" s="889"/>
      <c r="G97" s="894"/>
      <c r="H97" s="895"/>
      <c r="I97" s="895"/>
      <c r="J97" s="895"/>
      <c r="K97" s="895"/>
      <c r="L97" s="896"/>
      <c r="M97" s="897"/>
      <c r="N97" s="2367"/>
      <c r="O97" s="2367"/>
      <c r="P97" s="2858"/>
      <c r="Q97" s="2859"/>
      <c r="R97" s="2358"/>
      <c r="S97" s="2358"/>
      <c r="T97" s="2358"/>
      <c r="U97" s="2358"/>
      <c r="V97" s="2358"/>
      <c r="W97" s="2358"/>
      <c r="X97" s="2358"/>
      <c r="Y97" s="2358"/>
      <c r="Z97" s="2358"/>
      <c r="AA97" s="2358"/>
      <c r="AB97" s="2358"/>
      <c r="AC97" s="2358"/>
    </row>
    <row r="98" spans="1:29" ht="15.75" thickBot="1">
      <c r="A98" s="874"/>
      <c r="B98" s="883"/>
      <c r="C98" s="900"/>
      <c r="D98" s="876"/>
      <c r="E98" s="876"/>
      <c r="F98" s="876"/>
      <c r="G98" s="900"/>
      <c r="H98" s="902"/>
      <c r="I98" s="902"/>
      <c r="J98" s="902"/>
      <c r="K98" s="902"/>
      <c r="L98" s="902"/>
      <c r="M98" s="903"/>
      <c r="N98" s="2367"/>
      <c r="O98" s="2367"/>
      <c r="P98" s="2851"/>
      <c r="Q98" s="2845"/>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2"/>
      <c r="Q99" s="2853"/>
      <c r="R99" s="2854"/>
      <c r="S99" s="2854"/>
      <c r="T99" s="2854"/>
      <c r="U99" s="2854"/>
      <c r="V99" s="2854"/>
      <c r="W99" s="2854"/>
      <c r="X99" s="2854"/>
      <c r="Y99" s="2854"/>
      <c r="Z99" s="2854"/>
      <c r="AA99" s="2854"/>
      <c r="AB99" s="2854"/>
      <c r="AC99" s="2854"/>
    </row>
    <row r="100" spans="1:29" s="811" customFormat="1" ht="15.75" thickBot="1">
      <c r="A100" s="893"/>
      <c r="B100" s="875"/>
      <c r="C100" s="900"/>
      <c r="D100" s="876"/>
      <c r="E100" s="876"/>
      <c r="F100" s="876"/>
      <c r="G100" s="900"/>
      <c r="H100" s="902"/>
      <c r="I100" s="902"/>
      <c r="J100" s="902"/>
      <c r="K100" s="902"/>
      <c r="L100" s="902"/>
      <c r="M100" s="903"/>
      <c r="N100" s="2368"/>
      <c r="O100" s="2368"/>
      <c r="P100" s="2852"/>
      <c r="Q100" s="2853"/>
      <c r="R100" s="2854"/>
      <c r="S100" s="2854"/>
      <c r="T100" s="2854"/>
      <c r="U100" s="2854"/>
      <c r="V100" s="2854"/>
      <c r="W100" s="2854"/>
      <c r="X100" s="2854"/>
      <c r="Y100" s="2854"/>
      <c r="Z100" s="2854"/>
      <c r="AA100" s="2854"/>
      <c r="AB100" s="2854"/>
      <c r="AC100" s="2854"/>
    </row>
    <row r="101" spans="1:29" ht="15" thickTop="1">
      <c r="A101" s="939"/>
      <c r="B101" s="878">
        <f>B36</f>
        <v>111</v>
      </c>
      <c r="C101" s="894"/>
      <c r="D101" s="894"/>
      <c r="E101" s="894"/>
      <c r="F101" s="894"/>
      <c r="G101" s="894"/>
      <c r="H101" s="895"/>
      <c r="I101" s="895"/>
      <c r="J101" s="895"/>
      <c r="K101" s="895"/>
      <c r="L101" s="896"/>
      <c r="M101" s="897"/>
      <c r="N101" s="2366"/>
      <c r="O101" s="2366"/>
      <c r="P101" s="2851"/>
      <c r="Q101" s="2845"/>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28"/>
      <c r="C1" s="3118" t="s">
        <v>441</v>
      </c>
      <c r="D1" s="3099"/>
      <c r="E1" s="3129"/>
      <c r="F1" s="3101"/>
      <c r="G1" s="3130" t="s">
        <v>442</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0" customFormat="1" ht="28.5" customHeight="1" thickTop="1">
      <c r="A2" s="3115" t="s">
        <v>443</v>
      </c>
      <c r="B2" s="2840" t="e">
        <f ca="1">IF(C2="——",ROUND(C37*D3/10000,0),ROUND(C37*D3/10000,0)-D2)</f>
        <v>#DIV/0!</v>
      </c>
      <c r="C2" s="3093"/>
      <c r="D2" s="2338" t="e">
        <f ca="1">SUMIF(INDIRECT("'"&amp;F2&amp;"'"&amp;"!A:A"),"承租人权益价值",INDIRECT("'"&amp;F2&amp;"'"&amp;"!c:c"))</f>
        <v>#REF!</v>
      </c>
      <c r="E2" s="3094" t="s">
        <v>862</v>
      </c>
      <c r="F2" s="3095"/>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40" customFormat="1" ht="28.5" customHeight="1" thickBot="1">
      <c r="A3" s="579" t="s">
        <v>444</v>
      </c>
      <c r="B3" s="949" t="e">
        <f ca="1">IF(C2="——",C37,ROUND(B2*10000/D3,0))</f>
        <v>#DIV/0!</v>
      </c>
      <c r="C3" s="742" t="s">
        <v>445</v>
      </c>
      <c r="D3" s="741">
        <f>SUMIF('数据-汇总表'!$C19:$C33,D1,'数据-汇总表'!$E19:$E33)</f>
        <v>0</v>
      </c>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29" ht="15">
      <c r="A4" s="743" t="s">
        <v>446</v>
      </c>
      <c r="B4" s="744"/>
      <c r="C4" s="3674" t="s">
        <v>447</v>
      </c>
      <c r="D4" s="3675"/>
      <c r="E4" s="3676" t="s">
        <v>448</v>
      </c>
      <c r="F4" s="3677"/>
      <c r="G4" s="3674" t="s">
        <v>449</v>
      </c>
      <c r="H4" s="3675"/>
      <c r="I4" s="3674" t="s">
        <v>450</v>
      </c>
      <c r="J4" s="3675"/>
      <c r="K4" s="950" t="s">
        <v>451</v>
      </c>
      <c r="L4" s="2344"/>
      <c r="M4" s="2345"/>
      <c r="N4" s="2345"/>
      <c r="O4" s="2345"/>
      <c r="P4" s="3678" t="s">
        <v>452</v>
      </c>
      <c r="Q4" s="3679"/>
      <c r="R4" s="3661" t="s">
        <v>448</v>
      </c>
      <c r="S4" s="3662"/>
      <c r="T4" s="3661" t="s">
        <v>449</v>
      </c>
      <c r="U4" s="3662"/>
      <c r="V4" s="3686" t="s">
        <v>450</v>
      </c>
      <c r="W4" s="3686"/>
      <c r="X4" s="1315"/>
      <c r="Y4" s="3661" t="s">
        <v>452</v>
      </c>
      <c r="Z4" s="3662"/>
      <c r="AA4" s="3656" t="s">
        <v>448</v>
      </c>
      <c r="AB4" s="3657" t="s">
        <v>449</v>
      </c>
      <c r="AC4" s="3656" t="s">
        <v>450</v>
      </c>
    </row>
    <row r="5" spans="1:29" ht="15">
      <c r="A5" s="746"/>
      <c r="B5" s="747"/>
      <c r="C5" s="3667" t="s">
        <v>1121</v>
      </c>
      <c r="D5" s="3668"/>
      <c r="E5" s="3665" t="s">
        <v>1122</v>
      </c>
      <c r="F5" s="3666"/>
      <c r="G5" s="3667" t="s">
        <v>61</v>
      </c>
      <c r="H5" s="3668"/>
      <c r="I5" s="3667" t="s">
        <v>1123</v>
      </c>
      <c r="J5" s="3668"/>
      <c r="K5" s="950"/>
      <c r="L5" s="2344"/>
      <c r="M5" s="2345"/>
      <c r="N5" s="2345"/>
      <c r="O5" s="2345"/>
      <c r="P5" s="3680"/>
      <c r="Q5" s="3681"/>
      <c r="R5" s="3663"/>
      <c r="S5" s="3664"/>
      <c r="T5" s="3663"/>
      <c r="U5" s="3664"/>
      <c r="V5" s="3686"/>
      <c r="W5" s="3686"/>
      <c r="X5" s="1315"/>
      <c r="Y5" s="3663"/>
      <c r="Z5" s="3664"/>
      <c r="AA5" s="3657"/>
      <c r="AB5" s="3657"/>
      <c r="AC5" s="3657"/>
    </row>
    <row r="6" spans="1:29" ht="15.75" thickBot="1">
      <c r="A6" s="748"/>
      <c r="B6" s="749"/>
      <c r="C6" s="3669" t="s">
        <v>1124</v>
      </c>
      <c r="D6" s="3670"/>
      <c r="E6" s="3671" t="s">
        <v>1124</v>
      </c>
      <c r="F6" s="3672"/>
      <c r="G6" s="3669" t="s">
        <v>1124</v>
      </c>
      <c r="H6" s="3670"/>
      <c r="I6" s="3669" t="s">
        <v>1124</v>
      </c>
      <c r="J6" s="3670"/>
      <c r="K6" s="950" t="s">
        <v>394</v>
      </c>
      <c r="L6" s="2344"/>
      <c r="M6" s="2345"/>
      <c r="N6" s="2345"/>
      <c r="O6" s="2345"/>
      <c r="P6" s="3682"/>
      <c r="Q6" s="3683"/>
      <c r="R6" s="3663"/>
      <c r="S6" s="3664"/>
      <c r="T6" s="3684"/>
      <c r="U6" s="3685"/>
      <c r="V6" s="3686"/>
      <c r="W6" s="3686"/>
      <c r="X6" s="1315"/>
      <c r="Y6" s="3684"/>
      <c r="Z6" s="3685"/>
      <c r="AA6" s="3658"/>
      <c r="AB6" s="3658"/>
      <c r="AC6" s="3658"/>
    </row>
    <row r="7" spans="1:29" s="407" customFormat="1" ht="15.75" thickBot="1">
      <c r="A7" s="750" t="s">
        <v>395</v>
      </c>
      <c r="B7" s="751"/>
      <c r="C7" s="752">
        <f>'数据-取费表'!B2</f>
        <v>42975</v>
      </c>
      <c r="D7" s="753">
        <v>100</v>
      </c>
      <c r="E7" s="1014"/>
      <c r="F7" s="755">
        <f>SUMIF(46:46,YEAR(E7)&amp;"-"&amp;MONTH(E7),47:47)</f>
        <v>0</v>
      </c>
      <c r="G7" s="1015"/>
      <c r="H7" s="753">
        <f>SUMIF(46:46,YEAR(G7)&amp;"-"&amp;MONTH(G7),47:47)</f>
        <v>0</v>
      </c>
      <c r="I7" s="1014"/>
      <c r="J7" s="753">
        <f>SUMIF(46:46,YEAR(I7)&amp;"-"&amp;MONTH(I7),47:47)</f>
        <v>0</v>
      </c>
      <c r="K7" s="951"/>
      <c r="L7" s="2346"/>
      <c r="M7" s="2347"/>
      <c r="N7" s="2347"/>
      <c r="O7" s="2347"/>
      <c r="P7" s="3659" t="s">
        <v>396</v>
      </c>
      <c r="Q7" s="3687"/>
      <c r="R7" s="1316" t="s">
        <v>65</v>
      </c>
      <c r="S7" s="1317">
        <f t="shared" ref="S7:S14" si="0">F7</f>
        <v>0</v>
      </c>
      <c r="T7" s="1316" t="s">
        <v>65</v>
      </c>
      <c r="U7" s="1317">
        <f t="shared" ref="U7:U14" si="1">H7</f>
        <v>0</v>
      </c>
      <c r="V7" s="1316" t="s">
        <v>65</v>
      </c>
      <c r="W7" s="1317">
        <f t="shared" ref="W7:W14" si="2">J7</f>
        <v>0</v>
      </c>
      <c r="X7" s="1318"/>
      <c r="Y7" s="3659" t="s">
        <v>396</v>
      </c>
      <c r="Z7" s="3660"/>
      <c r="AA7" s="1319" t="e">
        <f>D7/F7</f>
        <v>#DIV/0!</v>
      </c>
      <c r="AB7" s="1319" t="e">
        <f>D7/H7</f>
        <v>#DIV/0!</v>
      </c>
      <c r="AC7" s="1319" t="e">
        <f>D7/J7</f>
        <v>#DIV/0!</v>
      </c>
    </row>
    <row r="8" spans="1:29" s="407"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1"/>
      <c r="L8" s="2346"/>
      <c r="M8" s="2347"/>
      <c r="N8" s="2347"/>
      <c r="O8" s="2347"/>
      <c r="P8" s="3659" t="s">
        <v>432</v>
      </c>
      <c r="Q8" s="3660"/>
      <c r="R8" s="1316" t="s">
        <v>65</v>
      </c>
      <c r="S8" s="1317">
        <f t="shared" si="0"/>
        <v>0</v>
      </c>
      <c r="T8" s="1316" t="s">
        <v>65</v>
      </c>
      <c r="U8" s="1317">
        <f t="shared" si="1"/>
        <v>0</v>
      </c>
      <c r="V8" s="1316" t="s">
        <v>65</v>
      </c>
      <c r="W8" s="1317">
        <f t="shared" si="2"/>
        <v>0</v>
      </c>
      <c r="X8" s="1318"/>
      <c r="Y8" s="3659" t="s">
        <v>432</v>
      </c>
      <c r="Z8" s="3660"/>
      <c r="AA8" s="1319" t="e">
        <f t="shared" ref="AA8:AA34" si="3">D8/F8</f>
        <v>#DIV/0!</v>
      </c>
      <c r="AB8" s="1319" t="e">
        <f t="shared" ref="AB8:AB34" si="4">D8/H8</f>
        <v>#DIV/0!</v>
      </c>
      <c r="AC8" s="1319" t="e">
        <f t="shared" ref="AC8:AC34" si="5">D8/J8</f>
        <v>#DIV/0!</v>
      </c>
    </row>
    <row r="9" spans="1:29" s="407" customFormat="1">
      <c r="A9" s="757" t="s">
        <v>398</v>
      </c>
      <c r="B9" s="361" t="s">
        <v>416</v>
      </c>
      <c r="C9" s="1342"/>
      <c r="D9" s="425">
        <v>100</v>
      </c>
      <c r="E9" s="761"/>
      <c r="F9" s="760">
        <f>SUMIF(51:51,E9,52:52)-SUMIF(51:51,C9,52:52)+100</f>
        <v>100</v>
      </c>
      <c r="G9" s="761"/>
      <c r="H9" s="425">
        <f>SUMIF(51:51,G9,52:52)-SUMIF(51:51,C9,52:52)+100</f>
        <v>100</v>
      </c>
      <c r="I9" s="761"/>
      <c r="J9" s="425">
        <f>SUMIF(51:51,I9,52:52)-SUMIF(51:51,C9,52:52)+100</f>
        <v>100</v>
      </c>
      <c r="K9" s="951"/>
      <c r="L9" s="2346"/>
      <c r="M9" s="2347"/>
      <c r="N9" s="2347"/>
      <c r="O9" s="2348"/>
      <c r="P9" s="3673" t="s">
        <v>399</v>
      </c>
      <c r="Q9" s="296" t="str">
        <f t="shared" ref="Q9:Q14" si="6">B9</f>
        <v>用途</v>
      </c>
      <c r="R9" s="1316" t="s">
        <v>65</v>
      </c>
      <c r="S9" s="1317">
        <f t="shared" si="0"/>
        <v>100</v>
      </c>
      <c r="T9" s="1316" t="s">
        <v>65</v>
      </c>
      <c r="U9" s="1317">
        <f t="shared" si="1"/>
        <v>100</v>
      </c>
      <c r="V9" s="1316" t="s">
        <v>65</v>
      </c>
      <c r="W9" s="1317">
        <f t="shared" si="2"/>
        <v>100</v>
      </c>
      <c r="X9" s="1318"/>
      <c r="Y9" s="3634" t="s">
        <v>400</v>
      </c>
      <c r="Z9" s="344" t="str">
        <f t="shared" ref="Z9:Z14" si="7">Q9</f>
        <v>用途</v>
      </c>
      <c r="AA9" s="1319">
        <f t="shared" si="3"/>
        <v>1</v>
      </c>
      <c r="AB9" s="1319">
        <f t="shared" si="4"/>
        <v>1</v>
      </c>
      <c r="AC9" s="1319">
        <f t="shared" si="5"/>
        <v>1</v>
      </c>
    </row>
    <row r="10" spans="1:29" s="769" customFormat="1" ht="27">
      <c r="A10" s="763"/>
      <c r="B10" s="764" t="s">
        <v>401</v>
      </c>
      <c r="C10" s="765"/>
      <c r="D10" s="426">
        <v>100</v>
      </c>
      <c r="E10" s="765"/>
      <c r="F10" s="767">
        <f>SUMIF(53:53,E10,54:54)-SUMIF(53:53,C10,54:54)+100</f>
        <v>100</v>
      </c>
      <c r="G10" s="765"/>
      <c r="H10" s="426">
        <f>SUMIF(53:53,G10,54:54)-SUMIF(53:53,C10,54:54)+100</f>
        <v>100</v>
      </c>
      <c r="I10" s="765"/>
      <c r="J10" s="426">
        <f>SUMIF(53:53,I10,54:54)-SUMIF(53:53,C10,54:54)+100</f>
        <v>100</v>
      </c>
      <c r="K10" s="952"/>
      <c r="L10" s="2349"/>
      <c r="M10" s="2350"/>
      <c r="N10" s="2350"/>
      <c r="O10" s="2351"/>
      <c r="P10" s="3673"/>
      <c r="Q10" s="296" t="str">
        <f t="shared" si="6"/>
        <v>土地使用年限（年）</v>
      </c>
      <c r="R10" s="1316" t="s">
        <v>65</v>
      </c>
      <c r="S10" s="1317">
        <f t="shared" si="0"/>
        <v>100</v>
      </c>
      <c r="T10" s="1316" t="s">
        <v>65</v>
      </c>
      <c r="U10" s="1317">
        <f t="shared" si="1"/>
        <v>100</v>
      </c>
      <c r="V10" s="1316" t="s">
        <v>65</v>
      </c>
      <c r="W10" s="1317">
        <f t="shared" si="2"/>
        <v>100</v>
      </c>
      <c r="X10" s="1318"/>
      <c r="Y10" s="3634"/>
      <c r="Z10" s="344" t="str">
        <f t="shared" si="7"/>
        <v>土地使用年限（年）</v>
      </c>
      <c r="AA10" s="1319">
        <f t="shared" si="3"/>
        <v>1</v>
      </c>
      <c r="AB10" s="1319">
        <f t="shared" si="4"/>
        <v>1</v>
      </c>
      <c r="AC10" s="1319">
        <f t="shared" si="5"/>
        <v>1</v>
      </c>
    </row>
    <row r="11" spans="1:29" ht="15">
      <c r="A11" s="770"/>
      <c r="B11" s="1028">
        <v>111</v>
      </c>
      <c r="C11" s="1021"/>
      <c r="D11" s="426">
        <v>100</v>
      </c>
      <c r="E11" s="1354"/>
      <c r="F11" s="767">
        <f>SUMIF(55:55,E11,56:56)-SUMIF(55:55,C11,56:56)+100</f>
        <v>100</v>
      </c>
      <c r="G11" s="1354"/>
      <c r="H11" s="426">
        <f>SUMIF(55:55,G11,56:56)-SUMIF(55:55,C11,56:56)+100</f>
        <v>100</v>
      </c>
      <c r="I11" s="1354"/>
      <c r="J11" s="426">
        <f>SUMIF(55:55,I11,56:56)-SUMIF(55:55,C11,56:56)+100</f>
        <v>100</v>
      </c>
      <c r="K11" s="953"/>
      <c r="L11" s="2352"/>
      <c r="M11" s="2345"/>
      <c r="N11" s="2345"/>
      <c r="O11" s="2353"/>
      <c r="P11" s="3673"/>
      <c r="Q11" s="296">
        <f t="shared" si="6"/>
        <v>111</v>
      </c>
      <c r="R11" s="1316" t="s">
        <v>65</v>
      </c>
      <c r="S11" s="1317">
        <f t="shared" si="0"/>
        <v>100</v>
      </c>
      <c r="T11" s="1316" t="s">
        <v>65</v>
      </c>
      <c r="U11" s="1317">
        <f t="shared" si="1"/>
        <v>100</v>
      </c>
      <c r="V11" s="1316" t="s">
        <v>65</v>
      </c>
      <c r="W11" s="1317">
        <f t="shared" si="2"/>
        <v>100</v>
      </c>
      <c r="X11" s="1318"/>
      <c r="Y11" s="3634"/>
      <c r="Z11" s="344">
        <f t="shared" si="7"/>
        <v>111</v>
      </c>
      <c r="AA11" s="1319">
        <f t="shared" si="3"/>
        <v>1</v>
      </c>
      <c r="AB11" s="1319">
        <f t="shared" si="4"/>
        <v>1</v>
      </c>
      <c r="AC11" s="1319">
        <f t="shared" si="5"/>
        <v>1</v>
      </c>
    </row>
    <row r="12" spans="1:29" s="407" customFormat="1" ht="15">
      <c r="A12" s="773"/>
      <c r="B12" s="1028">
        <v>111</v>
      </c>
      <c r="C12" s="1021"/>
      <c r="D12" s="775">
        <v>100</v>
      </c>
      <c r="E12" s="1354"/>
      <c r="F12" s="767">
        <f>SUMIF(57:57,E12,58:58)-SUMIF(57:57,C12,58:58)+100</f>
        <v>100</v>
      </c>
      <c r="G12" s="1354"/>
      <c r="H12" s="426">
        <f>SUMIF(57:57,G12,58:58)-SUMIF(57:57,C12,58:58)+100</f>
        <v>100</v>
      </c>
      <c r="I12" s="1354"/>
      <c r="J12" s="426">
        <f>SUMIF(57:57,I12,58:58)-SUMIF(57:57,C12,58:58)+100</f>
        <v>100</v>
      </c>
      <c r="K12" s="953"/>
      <c r="L12" s="2346"/>
      <c r="M12" s="2347"/>
      <c r="N12" s="2347"/>
      <c r="O12" s="2348"/>
      <c r="P12" s="3673"/>
      <c r="Q12" s="296">
        <f t="shared" si="6"/>
        <v>111</v>
      </c>
      <c r="R12" s="1316" t="s">
        <v>65</v>
      </c>
      <c r="S12" s="1317">
        <f t="shared" si="0"/>
        <v>100</v>
      </c>
      <c r="T12" s="1316" t="s">
        <v>65</v>
      </c>
      <c r="U12" s="1317">
        <f t="shared" si="1"/>
        <v>100</v>
      </c>
      <c r="V12" s="1316" t="s">
        <v>65</v>
      </c>
      <c r="W12" s="1317">
        <f t="shared" si="2"/>
        <v>100</v>
      </c>
      <c r="X12" s="1318"/>
      <c r="Y12" s="3634"/>
      <c r="Z12" s="344">
        <f t="shared" si="7"/>
        <v>111</v>
      </c>
      <c r="AA12" s="1319">
        <f>D12/F12</f>
        <v>1</v>
      </c>
      <c r="AB12" s="1319">
        <f>D12/H12</f>
        <v>1</v>
      </c>
      <c r="AC12" s="1319">
        <f>D12/J12</f>
        <v>1</v>
      </c>
    </row>
    <row r="13" spans="1:29" ht="15.75" thickBot="1">
      <c r="A13" s="770"/>
      <c r="B13" s="1028">
        <v>111</v>
      </c>
      <c r="C13" s="93"/>
      <c r="D13" s="777">
        <v>100</v>
      </c>
      <c r="E13" s="1354"/>
      <c r="F13" s="767">
        <f>SUMIF(59:59,E13,60:60)-SUMIF(59:59,C13,60:60)+100</f>
        <v>100</v>
      </c>
      <c r="G13" s="1410"/>
      <c r="H13" s="780">
        <f>SUMIF(59:59,G13,60:60)-SUMIF(59:59,C13,60:60)+100</f>
        <v>100</v>
      </c>
      <c r="I13" s="1354"/>
      <c r="J13" s="777">
        <f>SUMIF(59:59,I13,60:60)-SUMIF(59:59,C13,60:60)+100</f>
        <v>100</v>
      </c>
      <c r="K13" s="953"/>
      <c r="L13" s="2354"/>
      <c r="M13" s="2345"/>
      <c r="N13" s="2345"/>
      <c r="O13" s="2353"/>
      <c r="P13" s="3673"/>
      <c r="Q13" s="296">
        <f t="shared" si="6"/>
        <v>111</v>
      </c>
      <c r="R13" s="1316" t="s">
        <v>65</v>
      </c>
      <c r="S13" s="1317">
        <f t="shared" si="0"/>
        <v>100</v>
      </c>
      <c r="T13" s="1316" t="s">
        <v>65</v>
      </c>
      <c r="U13" s="1317">
        <f t="shared" si="1"/>
        <v>100</v>
      </c>
      <c r="V13" s="1316" t="s">
        <v>65</v>
      </c>
      <c r="W13" s="1317">
        <f t="shared" si="2"/>
        <v>100</v>
      </c>
      <c r="X13" s="1318"/>
      <c r="Y13" s="3634"/>
      <c r="Z13" s="344">
        <f t="shared" si="7"/>
        <v>111</v>
      </c>
      <c r="AA13" s="1319">
        <f t="shared" si="3"/>
        <v>1</v>
      </c>
      <c r="AB13" s="1319">
        <f t="shared" si="4"/>
        <v>1</v>
      </c>
      <c r="AC13" s="1319">
        <f t="shared" si="5"/>
        <v>1</v>
      </c>
    </row>
    <row r="14" spans="1:29" ht="121.5">
      <c r="A14" s="782" t="s">
        <v>403</v>
      </c>
      <c r="B14" s="359" t="s">
        <v>453</v>
      </c>
      <c r="C14" s="212" t="str">
        <f>IF(B1="工业",估价对象房地状况!G4,估价对象房地状况!C6)</f>
        <v>估价对象周边道路密集度一般、周边有931、948路等公交线路经过，停车便捷程度较好，综合评价交通便捷度较差。</v>
      </c>
      <c r="D14" s="783">
        <v>100</v>
      </c>
      <c r="E14" s="95"/>
      <c r="F14" s="785">
        <f>SUMIF(61:61,E15,62:62)-SUMIF(61:61,C15,62:62)+100</f>
        <v>100</v>
      </c>
      <c r="G14" s="96"/>
      <c r="H14" s="783">
        <f>SUMIF(61:61,G15,62:62)-SUMIF(61:61,C15,62:62)+100</f>
        <v>100</v>
      </c>
      <c r="I14" s="95"/>
      <c r="J14" s="783">
        <f>SUMIF(61:61,I15,62:62)-SUMIF(61:61,C15,62:62)+100</f>
        <v>100</v>
      </c>
      <c r="K14" s="954"/>
      <c r="L14" s="2354"/>
      <c r="M14" s="2345"/>
      <c r="N14" s="2345"/>
      <c r="O14" s="2353"/>
      <c r="P14" s="3688" t="s">
        <v>404</v>
      </c>
      <c r="Q14" s="1320" t="str">
        <f t="shared" si="6"/>
        <v>交通便捷度</v>
      </c>
      <c r="R14" s="1321" t="s">
        <v>65</v>
      </c>
      <c r="S14" s="1322">
        <f t="shared" si="0"/>
        <v>100</v>
      </c>
      <c r="T14" s="1321" t="s">
        <v>65</v>
      </c>
      <c r="U14" s="1322">
        <f t="shared" si="1"/>
        <v>100</v>
      </c>
      <c r="V14" s="1321" t="s">
        <v>65</v>
      </c>
      <c r="W14" s="1322">
        <f t="shared" si="2"/>
        <v>100</v>
      </c>
      <c r="X14" s="1315"/>
      <c r="Y14" s="3688" t="s">
        <v>404</v>
      </c>
      <c r="Z14" s="1323" t="str">
        <f t="shared" si="7"/>
        <v>交通便捷度</v>
      </c>
      <c r="AA14" s="1324">
        <f t="shared" si="3"/>
        <v>1</v>
      </c>
      <c r="AB14" s="1324">
        <f t="shared" si="4"/>
        <v>1</v>
      </c>
      <c r="AC14" s="1324">
        <f t="shared" si="5"/>
        <v>1</v>
      </c>
    </row>
    <row r="15" spans="1:29" ht="15">
      <c r="A15" s="770"/>
      <c r="B15" s="788"/>
      <c r="C15" s="97"/>
      <c r="D15" s="790"/>
      <c r="E15" s="789"/>
      <c r="F15" s="791"/>
      <c r="G15" s="789"/>
      <c r="H15" s="792"/>
      <c r="I15" s="789"/>
      <c r="J15" s="790"/>
      <c r="K15" s="955"/>
      <c r="L15" s="2354"/>
      <c r="M15" s="2345"/>
      <c r="N15" s="2345"/>
      <c r="O15" s="2353"/>
      <c r="P15" s="3689"/>
      <c r="Q15" s="1320"/>
      <c r="R15" s="1321"/>
      <c r="S15" s="1322"/>
      <c r="T15" s="1321"/>
      <c r="U15" s="1322"/>
      <c r="V15" s="1321"/>
      <c r="W15" s="1322"/>
      <c r="X15" s="1315"/>
      <c r="Y15" s="3689"/>
      <c r="Z15" s="1323"/>
      <c r="AA15" s="1324">
        <v>1</v>
      </c>
      <c r="AB15" s="1324">
        <v>1</v>
      </c>
      <c r="AC15" s="1324">
        <v>1</v>
      </c>
    </row>
    <row r="16" spans="1:29" ht="121.5">
      <c r="A16" s="770"/>
      <c r="B16" s="1352" t="s">
        <v>2661</v>
      </c>
      <c r="C16" s="158" t="str">
        <f>IF(B1="工业",估价对象房地状况!G5,估价对象房地状况!C7)</f>
        <v>估价对象周边有银行、购物场所、餐饮等配套设施，基础设施水平较高；综合评价公用设施及基础设施水平较差。</v>
      </c>
      <c r="D16" s="797">
        <v>100</v>
      </c>
      <c r="E16" s="105"/>
      <c r="F16" s="800">
        <f>SUMIF(63:63,E17,64:64)-SUMIF(63:63,C17,64:64)+100</f>
        <v>100</v>
      </c>
      <c r="G16" s="106"/>
      <c r="H16" s="797">
        <f>SUMIF(63:63,G17,64:64)-SUMIF(63:63,C17,64:64)+100</f>
        <v>100</v>
      </c>
      <c r="I16" s="105"/>
      <c r="J16" s="797">
        <f>SUMIF(63:63,I17,64:64)-SUMIF(63:63,C17,64:64)+100</f>
        <v>100</v>
      </c>
      <c r="K16" s="954"/>
      <c r="L16" s="2354"/>
      <c r="M16" s="2345"/>
      <c r="N16" s="2345"/>
      <c r="O16" s="2353"/>
      <c r="P16" s="3689"/>
      <c r="Q16" s="1320" t="str">
        <f>B16</f>
        <v>公共配套设施</v>
      </c>
      <c r="R16" s="1321" t="s">
        <v>65</v>
      </c>
      <c r="S16" s="1322">
        <f>F16</f>
        <v>100</v>
      </c>
      <c r="T16" s="1321" t="s">
        <v>65</v>
      </c>
      <c r="U16" s="1322">
        <f>H16</f>
        <v>100</v>
      </c>
      <c r="V16" s="1321" t="s">
        <v>65</v>
      </c>
      <c r="W16" s="1322">
        <f>J16</f>
        <v>100</v>
      </c>
      <c r="X16" s="1315"/>
      <c r="Y16" s="3689"/>
      <c r="Z16" s="1323" t="str">
        <f>Q16</f>
        <v>公共配套设施</v>
      </c>
      <c r="AA16" s="1324">
        <f t="shared" si="3"/>
        <v>1</v>
      </c>
      <c r="AB16" s="1324">
        <f t="shared" si="4"/>
        <v>1</v>
      </c>
      <c r="AC16" s="1324">
        <f t="shared" si="5"/>
        <v>1</v>
      </c>
    </row>
    <row r="17" spans="1:29" ht="15">
      <c r="A17" s="770"/>
      <c r="B17" s="798"/>
      <c r="C17" s="102"/>
      <c r="D17" s="790"/>
      <c r="E17" s="789"/>
      <c r="F17" s="791"/>
      <c r="G17" s="789"/>
      <c r="H17" s="790"/>
      <c r="I17" s="789"/>
      <c r="J17" s="790"/>
      <c r="K17" s="955"/>
      <c r="L17" s="2354"/>
      <c r="M17" s="2345"/>
      <c r="N17" s="2345"/>
      <c r="O17" s="2353"/>
      <c r="P17" s="3689"/>
      <c r="Q17" s="1320"/>
      <c r="R17" s="1321"/>
      <c r="S17" s="1322"/>
      <c r="T17" s="1321"/>
      <c r="U17" s="1322"/>
      <c r="V17" s="1321"/>
      <c r="W17" s="1322"/>
      <c r="X17" s="1315"/>
      <c r="Y17" s="3689"/>
      <c r="Z17" s="1323"/>
      <c r="AA17" s="1324">
        <v>1</v>
      </c>
      <c r="AB17" s="1324">
        <v>1</v>
      </c>
      <c r="AC17" s="1324">
        <v>1</v>
      </c>
    </row>
    <row r="18" spans="1:29" ht="15">
      <c r="A18" s="770"/>
      <c r="B18" s="1408" t="s">
        <v>2663</v>
      </c>
      <c r="C18" s="158" t="str">
        <f>IF(B1="工业",估价对象房地状况!G6,估价对象房地状况!C8)</f>
        <v>七通</v>
      </c>
      <c r="D18" s="797">
        <v>100</v>
      </c>
      <c r="E18" s="100"/>
      <c r="F18" s="800">
        <f>SUMIF(65:65,E19,66:66)-SUMIF(65:65,C19,66:66)+100</f>
        <v>100</v>
      </c>
      <c r="G18" s="101"/>
      <c r="H18" s="797">
        <f>SUMIF(65:65,G19,66:66)-SUMIF(65:65,C19,66:66)+100</f>
        <v>100</v>
      </c>
      <c r="I18" s="105"/>
      <c r="J18" s="797">
        <f>SUMIF(65:65,I19,66:66)-SUMIF(65:65,C19,66:66)+100</f>
        <v>100</v>
      </c>
      <c r="K18" s="954"/>
      <c r="L18" s="2354"/>
      <c r="M18" s="2345"/>
      <c r="N18" s="2345"/>
      <c r="O18" s="2353"/>
      <c r="P18" s="3689"/>
      <c r="Q18" s="2745" t="str">
        <f>B18</f>
        <v>基础设施水平</v>
      </c>
      <c r="R18" s="1321" t="s">
        <v>65</v>
      </c>
      <c r="S18" s="1322">
        <f>F18</f>
        <v>100</v>
      </c>
      <c r="T18" s="1321" t="s">
        <v>65</v>
      </c>
      <c r="U18" s="1322">
        <f>H18</f>
        <v>100</v>
      </c>
      <c r="V18" s="1321" t="s">
        <v>65</v>
      </c>
      <c r="W18" s="1322">
        <f>J18</f>
        <v>100</v>
      </c>
      <c r="X18" s="2747"/>
      <c r="Y18" s="3689"/>
      <c r="Z18" s="2746" t="str">
        <f>Q18</f>
        <v>基础设施水平</v>
      </c>
      <c r="AA18" s="1324">
        <f t="shared" ref="AA18" si="8">D18/F18</f>
        <v>1</v>
      </c>
      <c r="AB18" s="1324">
        <f t="shared" ref="AB18" si="9">D18/H18</f>
        <v>1</v>
      </c>
      <c r="AC18" s="1324">
        <f t="shared" ref="AC18" si="10">D18/J18</f>
        <v>1</v>
      </c>
    </row>
    <row r="19" spans="1:29" ht="15">
      <c r="A19" s="770"/>
      <c r="B19" s="2765"/>
      <c r="C19" s="102"/>
      <c r="D19" s="792"/>
      <c r="E19" s="102"/>
      <c r="F19" s="795"/>
      <c r="G19" s="102"/>
      <c r="H19" s="790"/>
      <c r="I19" s="97"/>
      <c r="J19" s="790"/>
      <c r="K19" s="2763"/>
      <c r="L19" s="2354"/>
      <c r="M19" s="2345"/>
      <c r="N19" s="2345"/>
      <c r="O19" s="2353"/>
      <c r="P19" s="3689"/>
      <c r="Q19" s="2745"/>
      <c r="R19" s="1321"/>
      <c r="S19" s="1322"/>
      <c r="T19" s="1321"/>
      <c r="U19" s="1322"/>
      <c r="V19" s="1321"/>
      <c r="W19" s="1322"/>
      <c r="X19" s="2747"/>
      <c r="Y19" s="3689"/>
      <c r="Z19" s="2746"/>
      <c r="AA19" s="1324">
        <v>1</v>
      </c>
      <c r="AB19" s="1324">
        <v>1</v>
      </c>
      <c r="AC19" s="1324">
        <v>1</v>
      </c>
    </row>
    <row r="20" spans="1:29" ht="67.5">
      <c r="A20" s="770"/>
      <c r="B20" s="793" t="s">
        <v>454</v>
      </c>
      <c r="C20" s="158" t="str">
        <f>IF(B1="工业",估价对象房地状况!G7,估价对象房地状况!C9)</f>
        <v>临近潭柘寺景区、戒台寺景区，绿化率高，综合评价环境状况较好</v>
      </c>
      <c r="D20" s="797">
        <v>100</v>
      </c>
      <c r="E20" s="105"/>
      <c r="F20" s="800">
        <f>SUMIF(67:67,E21,68:68)-SUMIF(67:67,C21,68:68)+100</f>
        <v>100</v>
      </c>
      <c r="G20" s="106"/>
      <c r="H20" s="792">
        <f>SUMIF(67:67,G21,68:68)-SUMIF(67:67,C21,68:68)+100</f>
        <v>100</v>
      </c>
      <c r="I20" s="100"/>
      <c r="J20" s="792">
        <f>SUMIF(67:67,I21,68:68)-SUMIF(67:67,C21,68:68)+100</f>
        <v>100</v>
      </c>
      <c r="K20" s="954"/>
      <c r="L20" s="2354"/>
      <c r="M20" s="2345"/>
      <c r="N20" s="2345"/>
      <c r="O20" s="2353"/>
      <c r="P20" s="3689"/>
      <c r="Q20" s="1320" t="str">
        <f>B20</f>
        <v>自然及人文环境</v>
      </c>
      <c r="R20" s="1321" t="s">
        <v>65</v>
      </c>
      <c r="S20" s="1322">
        <f>F20</f>
        <v>100</v>
      </c>
      <c r="T20" s="1321" t="s">
        <v>65</v>
      </c>
      <c r="U20" s="1322">
        <f>H20</f>
        <v>100</v>
      </c>
      <c r="V20" s="1321" t="s">
        <v>65</v>
      </c>
      <c r="W20" s="1322">
        <f>J20</f>
        <v>100</v>
      </c>
      <c r="X20" s="1315"/>
      <c r="Y20" s="3689"/>
      <c r="Z20" s="1323" t="str">
        <f>Q20</f>
        <v>自然及人文环境</v>
      </c>
      <c r="AA20" s="1324">
        <f t="shared" si="3"/>
        <v>1</v>
      </c>
      <c r="AB20" s="1324">
        <f t="shared" si="4"/>
        <v>1</v>
      </c>
      <c r="AC20" s="1324">
        <f t="shared" si="5"/>
        <v>1</v>
      </c>
    </row>
    <row r="21" spans="1:29" ht="15">
      <c r="A21" s="770"/>
      <c r="B21" s="798"/>
      <c r="C21" s="789"/>
      <c r="D21" s="790"/>
      <c r="E21" s="789"/>
      <c r="F21" s="791"/>
      <c r="G21" s="789"/>
      <c r="H21" s="790"/>
      <c r="I21" s="789"/>
      <c r="J21" s="790"/>
      <c r="K21" s="955"/>
      <c r="L21" s="2354"/>
      <c r="M21" s="2345"/>
      <c r="N21" s="2345"/>
      <c r="O21" s="2353"/>
      <c r="P21" s="3689"/>
      <c r="Q21" s="1320"/>
      <c r="R21" s="1321"/>
      <c r="S21" s="1322"/>
      <c r="T21" s="1321"/>
      <c r="U21" s="1322"/>
      <c r="V21" s="1321"/>
      <c r="W21" s="1322"/>
      <c r="X21" s="1315"/>
      <c r="Y21" s="3689"/>
      <c r="Z21" s="1323"/>
      <c r="AA21" s="1324">
        <v>1</v>
      </c>
      <c r="AB21" s="1324">
        <v>1</v>
      </c>
      <c r="AC21" s="1324">
        <v>1</v>
      </c>
    </row>
    <row r="22" spans="1:29" ht="15">
      <c r="A22" s="770"/>
      <c r="B22" s="793" t="s">
        <v>455</v>
      </c>
      <c r="C22" s="956"/>
      <c r="D22" s="792">
        <v>100</v>
      </c>
      <c r="E22" s="956"/>
      <c r="F22" s="803">
        <f>SUMIF(69:69,E22,70:70)-SUMIF(69:69,C22,70:70)+100</f>
        <v>100</v>
      </c>
      <c r="G22" s="956"/>
      <c r="H22" s="777">
        <f>SUMIF(69:69,G22,70:70)-SUMIF(69:69,C22,70:70)+100</f>
        <v>100</v>
      </c>
      <c r="I22" s="956"/>
      <c r="J22" s="777">
        <f>SUMIF(69:69,I22,70:70)-SUMIF(69:69,C22,70:70)+100</f>
        <v>100</v>
      </c>
      <c r="K22" s="952"/>
      <c r="L22" s="2354"/>
      <c r="M22" s="2345"/>
      <c r="N22" s="2345"/>
      <c r="O22" s="2353"/>
      <c r="P22" s="3689"/>
      <c r="Q22" s="1320" t="str">
        <f>B22</f>
        <v>楼层</v>
      </c>
      <c r="R22" s="1321" t="s">
        <v>65</v>
      </c>
      <c r="S22" s="1322">
        <f>F22</f>
        <v>100</v>
      </c>
      <c r="T22" s="1321" t="s">
        <v>65</v>
      </c>
      <c r="U22" s="1322">
        <f>H22</f>
        <v>100</v>
      </c>
      <c r="V22" s="1321" t="s">
        <v>65</v>
      </c>
      <c r="W22" s="1322">
        <f>J22</f>
        <v>100</v>
      </c>
      <c r="X22" s="1315"/>
      <c r="Y22" s="3689"/>
      <c r="Z22" s="1323" t="str">
        <f>Q22</f>
        <v>楼层</v>
      </c>
      <c r="AA22" s="1324">
        <f t="shared" si="3"/>
        <v>1</v>
      </c>
      <c r="AB22" s="1324">
        <f t="shared" si="4"/>
        <v>1</v>
      </c>
      <c r="AC22" s="1324">
        <f t="shared" si="5"/>
        <v>1</v>
      </c>
    </row>
    <row r="23" spans="1:29" ht="15">
      <c r="A23" s="746"/>
      <c r="B23" s="1028">
        <v>111</v>
      </c>
      <c r="C23" s="1021"/>
      <c r="D23" s="777">
        <v>100</v>
      </c>
      <c r="E23" s="93"/>
      <c r="F23" s="803">
        <f>SUMIF(71:71,E23,72:72)-SUMIF(71:71,C23,72:72)+100</f>
        <v>100</v>
      </c>
      <c r="G23" s="93"/>
      <c r="H23" s="777">
        <f>SUMIF(71:71,G23,72:72)-SUMIF(71:71,C23,72:72)+100</f>
        <v>100</v>
      </c>
      <c r="I23" s="93"/>
      <c r="J23" s="777">
        <f>SUMIF(71:71,I23,72:72)-SUMIF(71:71,C23,72:72)+100</f>
        <v>100</v>
      </c>
      <c r="K23" s="953"/>
      <c r="L23" s="2354"/>
      <c r="M23" s="2345"/>
      <c r="N23" s="2345"/>
      <c r="O23" s="2353"/>
      <c r="P23" s="3689"/>
      <c r="Q23" s="1320">
        <f>B23</f>
        <v>111</v>
      </c>
      <c r="R23" s="1321" t="s">
        <v>65</v>
      </c>
      <c r="S23" s="1322">
        <f>F23</f>
        <v>100</v>
      </c>
      <c r="T23" s="1321" t="s">
        <v>65</v>
      </c>
      <c r="U23" s="1322">
        <f>H23</f>
        <v>100</v>
      </c>
      <c r="V23" s="1321" t="s">
        <v>65</v>
      </c>
      <c r="W23" s="1322">
        <f>J23</f>
        <v>100</v>
      </c>
      <c r="X23" s="1315"/>
      <c r="Y23" s="3689"/>
      <c r="Z23" s="1323">
        <f>Q23</f>
        <v>111</v>
      </c>
      <c r="AA23" s="1324">
        <f t="shared" si="3"/>
        <v>1</v>
      </c>
      <c r="AB23" s="1324">
        <f t="shared" si="4"/>
        <v>1</v>
      </c>
      <c r="AC23" s="1324">
        <f t="shared" si="5"/>
        <v>1</v>
      </c>
    </row>
    <row r="24" spans="1:29" ht="15">
      <c r="A24" s="770"/>
      <c r="B24" s="1028">
        <v>111</v>
      </c>
      <c r="C24" s="1021"/>
      <c r="D24" s="777">
        <v>100</v>
      </c>
      <c r="E24" s="93"/>
      <c r="F24" s="803">
        <f>SUMIF(73:73,E24,74:74)-SUMIF(73:73,C24,74:74)+100</f>
        <v>100</v>
      </c>
      <c r="G24" s="93"/>
      <c r="H24" s="777">
        <f>SUMIF(73:73,G24,74:74)-SUMIF(73:73,C24,74:74)+100</f>
        <v>100</v>
      </c>
      <c r="I24" s="93"/>
      <c r="J24" s="777">
        <f>SUMIF(73:73,I24,74:74)-SUMIF(73:73,C24,74:74)+100</f>
        <v>100</v>
      </c>
      <c r="K24" s="953"/>
      <c r="L24" s="2354"/>
      <c r="M24" s="2345"/>
      <c r="N24" s="2345"/>
      <c r="O24" s="2353"/>
      <c r="P24" s="3689"/>
      <c r="Q24" s="1320">
        <f t="shared" ref="Q24:Q34" si="11">B24</f>
        <v>111</v>
      </c>
      <c r="R24" s="1321" t="s">
        <v>65</v>
      </c>
      <c r="S24" s="1322">
        <f>F24</f>
        <v>100</v>
      </c>
      <c r="T24" s="1321" t="s">
        <v>65</v>
      </c>
      <c r="U24" s="1322">
        <f>H24</f>
        <v>100</v>
      </c>
      <c r="V24" s="1321" t="s">
        <v>65</v>
      </c>
      <c r="W24" s="1322">
        <f>J24</f>
        <v>100</v>
      </c>
      <c r="X24" s="1315"/>
      <c r="Y24" s="3689"/>
      <c r="Z24" s="1323">
        <f>Q24</f>
        <v>111</v>
      </c>
      <c r="AA24" s="1324">
        <f t="shared" si="3"/>
        <v>1</v>
      </c>
      <c r="AB24" s="1324">
        <f t="shared" si="4"/>
        <v>1</v>
      </c>
      <c r="AC24" s="1324">
        <f t="shared" si="5"/>
        <v>1</v>
      </c>
    </row>
    <row r="25" spans="1:29" s="407" customFormat="1" ht="15.75" thickBot="1">
      <c r="A25" s="773"/>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6"/>
      <c r="M25" s="2347"/>
      <c r="N25" s="2347"/>
      <c r="O25" s="2348"/>
      <c r="P25" s="3689"/>
      <c r="Q25" s="296">
        <f t="shared" si="11"/>
        <v>111</v>
      </c>
      <c r="R25" s="1316" t="s">
        <v>65</v>
      </c>
      <c r="S25" s="1317">
        <f>F25</f>
        <v>100</v>
      </c>
      <c r="T25" s="1316" t="s">
        <v>65</v>
      </c>
      <c r="U25" s="1317">
        <f>H25</f>
        <v>100</v>
      </c>
      <c r="V25" s="1316" t="s">
        <v>65</v>
      </c>
      <c r="W25" s="1317">
        <f>J25</f>
        <v>100</v>
      </c>
      <c r="X25" s="1318"/>
      <c r="Y25" s="3689"/>
      <c r="Z25" s="344">
        <f>Q25</f>
        <v>111</v>
      </c>
      <c r="AA25" s="1324">
        <f>D25/F25</f>
        <v>1</v>
      </c>
      <c r="AB25" s="1324">
        <f>D25/H25</f>
        <v>1</v>
      </c>
      <c r="AC25" s="1324">
        <f>D25/J25</f>
        <v>1</v>
      </c>
    </row>
    <row r="26" spans="1:29" ht="15">
      <c r="A26" s="806" t="s">
        <v>405</v>
      </c>
      <c r="B26" s="361" t="s">
        <v>458</v>
      </c>
      <c r="C26" s="197"/>
      <c r="D26" s="807">
        <v>100</v>
      </c>
      <c r="E26" s="197"/>
      <c r="F26" s="1007">
        <f>SUMIF(77:77,E26,78:78)-SUMIF(77:77,C26,78:78)+100</f>
        <v>100</v>
      </c>
      <c r="G26" s="197"/>
      <c r="H26" s="807">
        <f>SUMIF(77:77,G26,78:78)-SUMIF(77:77,C26,78:78)+100</f>
        <v>100</v>
      </c>
      <c r="I26" s="197"/>
      <c r="J26" s="807">
        <f>SUMIF(77:77,I26,78:78)-SUMIF(77:77,C26,78:78)+100</f>
        <v>100</v>
      </c>
      <c r="K26" s="952"/>
      <c r="L26" s="2354"/>
      <c r="M26" s="2345"/>
      <c r="N26" s="2345"/>
      <c r="O26" s="2353"/>
      <c r="P26" s="3690" t="s">
        <v>471</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91" t="s">
        <v>471</v>
      </c>
      <c r="Z26" s="1323" t="str">
        <f t="shared" ref="Z26:Z34" si="15">Q26</f>
        <v>公共部分装修</v>
      </c>
      <c r="AA26" s="1324">
        <f t="shared" si="3"/>
        <v>1</v>
      </c>
      <c r="AB26" s="1324">
        <f t="shared" si="4"/>
        <v>1</v>
      </c>
      <c r="AC26" s="1324">
        <f t="shared" si="5"/>
        <v>1</v>
      </c>
    </row>
    <row r="27" spans="1:29" s="811" customFormat="1" ht="15">
      <c r="A27" s="808"/>
      <c r="B27" s="764" t="s">
        <v>459</v>
      </c>
      <c r="C27" s="814"/>
      <c r="D27" s="426">
        <v>100</v>
      </c>
      <c r="E27" s="815"/>
      <c r="F27" s="803" t="e">
        <f>LOOKUP(E27,80:80,81:81)-LOOKUP(C27,80:80,81:81)+100</f>
        <v>#N/A</v>
      </c>
      <c r="G27" s="816"/>
      <c r="H27" s="777" t="e">
        <f>LOOKUP(G27,80:80,81:81)-LOOKUP(C27,80:80,81:81)+100</f>
        <v>#N/A</v>
      </c>
      <c r="I27" s="816"/>
      <c r="J27" s="777" t="e">
        <f>LOOKUP(I27,80:80,81:81)-LOOKUP(C27,80:80,81:81)+100</f>
        <v>#N/A</v>
      </c>
      <c r="K27" s="952"/>
      <c r="L27" s="2352"/>
      <c r="M27" s="2355"/>
      <c r="N27" s="2355"/>
      <c r="O27" s="2356"/>
      <c r="P27" s="3691"/>
      <c r="Q27" s="1325" t="str">
        <f t="shared" si="11"/>
        <v>成新率</v>
      </c>
      <c r="R27" s="1326" t="s">
        <v>65</v>
      </c>
      <c r="S27" s="1327" t="e">
        <f t="shared" si="12"/>
        <v>#N/A</v>
      </c>
      <c r="T27" s="1326" t="s">
        <v>65</v>
      </c>
      <c r="U27" s="1327" t="e">
        <f t="shared" si="13"/>
        <v>#N/A</v>
      </c>
      <c r="V27" s="1326" t="s">
        <v>65</v>
      </c>
      <c r="W27" s="1327" t="e">
        <f t="shared" si="14"/>
        <v>#N/A</v>
      </c>
      <c r="X27" s="1328"/>
      <c r="Y27" s="3691"/>
      <c r="Z27" s="1329" t="str">
        <f t="shared" si="15"/>
        <v>成新率</v>
      </c>
      <c r="AA27" s="1324" t="e">
        <f t="shared" si="3"/>
        <v>#N/A</v>
      </c>
      <c r="AB27" s="1324" t="e">
        <f t="shared" si="4"/>
        <v>#N/A</v>
      </c>
      <c r="AC27" s="1324" t="e">
        <f t="shared" si="5"/>
        <v>#N/A</v>
      </c>
    </row>
    <row r="28" spans="1:29" ht="15">
      <c r="A28" s="812"/>
      <c r="B28" s="764" t="s">
        <v>460</v>
      </c>
      <c r="C28" s="107"/>
      <c r="D28" s="777">
        <v>100</v>
      </c>
      <c r="E28" s="107"/>
      <c r="F28" s="803">
        <f>SUMIF(82:82,E28,83:83)-SUMIF(82:82,C28,83:83)+100</f>
        <v>100</v>
      </c>
      <c r="G28" s="107"/>
      <c r="H28" s="777">
        <f>SUMIF(82:82,G28,83:83)-SUMIF(82:82,C28,83:83)+100</f>
        <v>100</v>
      </c>
      <c r="I28" s="107"/>
      <c r="J28" s="777">
        <f>SUMIF(82:82,I28,83:83)-SUMIF(82:82,C28,83:83)+100</f>
        <v>100</v>
      </c>
      <c r="K28" s="952"/>
      <c r="L28" s="2354"/>
      <c r="M28" s="2345"/>
      <c r="N28" s="2345"/>
      <c r="O28" s="2353"/>
      <c r="P28" s="3691"/>
      <c r="Q28" s="1320" t="str">
        <f t="shared" si="11"/>
        <v>物业等级</v>
      </c>
      <c r="R28" s="1321" t="s">
        <v>65</v>
      </c>
      <c r="S28" s="1322">
        <f t="shared" si="12"/>
        <v>100</v>
      </c>
      <c r="T28" s="1321" t="s">
        <v>65</v>
      </c>
      <c r="U28" s="1322">
        <f t="shared" si="13"/>
        <v>100</v>
      </c>
      <c r="V28" s="1321" t="s">
        <v>65</v>
      </c>
      <c r="W28" s="1322">
        <f t="shared" si="14"/>
        <v>100</v>
      </c>
      <c r="X28" s="1315"/>
      <c r="Y28" s="3691"/>
      <c r="Z28" s="1323" t="str">
        <f t="shared" si="15"/>
        <v>物业等级</v>
      </c>
      <c r="AA28" s="1324">
        <f t="shared" si="3"/>
        <v>1</v>
      </c>
      <c r="AB28" s="1324">
        <f t="shared" si="4"/>
        <v>1</v>
      </c>
      <c r="AC28" s="1324">
        <f t="shared" si="5"/>
        <v>1</v>
      </c>
    </row>
    <row r="29" spans="1:29" ht="15">
      <c r="A29" s="812"/>
      <c r="B29" s="764" t="s">
        <v>472</v>
      </c>
      <c r="C29" s="1409"/>
      <c r="D29" s="777">
        <v>100</v>
      </c>
      <c r="E29" s="1409"/>
      <c r="F29" s="803">
        <f>SUMIF(84:84,E29,85:85)-SUMIF(84:84,C29,85:85)+100</f>
        <v>100</v>
      </c>
      <c r="G29" s="1409"/>
      <c r="H29" s="777">
        <f>SUMIF(84:84,G29,85:85)-SUMIF(84:84,C29,85:85)+100</f>
        <v>100</v>
      </c>
      <c r="I29" s="1409"/>
      <c r="J29" s="777">
        <f>SUMIF(84:84,I29,85:85)-SUMIF(84:84,C29,85:85)+100</f>
        <v>100</v>
      </c>
      <c r="K29" s="952"/>
      <c r="L29" s="2354"/>
      <c r="M29" s="2345"/>
      <c r="N29" s="2345"/>
      <c r="O29" s="2353"/>
      <c r="P29" s="3691"/>
      <c r="Q29" s="1320" t="str">
        <f t="shared" si="11"/>
        <v>有无电梯</v>
      </c>
      <c r="R29" s="1321" t="s">
        <v>65</v>
      </c>
      <c r="S29" s="1322">
        <f t="shared" si="12"/>
        <v>100</v>
      </c>
      <c r="T29" s="1321" t="s">
        <v>65</v>
      </c>
      <c r="U29" s="1322">
        <f t="shared" si="13"/>
        <v>100</v>
      </c>
      <c r="V29" s="1321" t="s">
        <v>65</v>
      </c>
      <c r="W29" s="1322">
        <f t="shared" si="14"/>
        <v>100</v>
      </c>
      <c r="X29" s="1315"/>
      <c r="Y29" s="3691"/>
      <c r="Z29" s="1323" t="str">
        <f t="shared" si="15"/>
        <v>有无电梯</v>
      </c>
      <c r="AA29" s="1324">
        <f t="shared" si="3"/>
        <v>1</v>
      </c>
      <c r="AB29" s="1324">
        <f t="shared" si="4"/>
        <v>1</v>
      </c>
      <c r="AC29" s="1324">
        <f t="shared" si="5"/>
        <v>1</v>
      </c>
    </row>
    <row r="30" spans="1:29" ht="15">
      <c r="A30" s="812"/>
      <c r="B30" s="764" t="s">
        <v>473</v>
      </c>
      <c r="C30" s="809"/>
      <c r="D30" s="777">
        <v>100</v>
      </c>
      <c r="E30" s="809"/>
      <c r="F30" s="803" t="e">
        <f>LOOKUP(E30,87:87,88:88)-LOOKUP(C30,87:87,88:88)+100</f>
        <v>#N/A</v>
      </c>
      <c r="G30" s="809"/>
      <c r="H30" s="777" t="e">
        <f>LOOKUP(G30,87:87,88:88)-LOOKUP(C30,87:87,88:88)+100</f>
        <v>#N/A</v>
      </c>
      <c r="I30" s="809"/>
      <c r="J30" s="777" t="e">
        <f>LOOKUP(I30,87:87,88:88)-LOOKUP(C30,87:87,88:88)+100</f>
        <v>#N/A</v>
      </c>
      <c r="K30" s="953"/>
      <c r="L30" s="2354"/>
      <c r="M30" s="2345"/>
      <c r="N30" s="2345"/>
      <c r="O30" s="2353"/>
      <c r="P30" s="3691"/>
      <c r="Q30" s="1320" t="str">
        <f t="shared" si="11"/>
        <v>建筑面积</v>
      </c>
      <c r="R30" s="1321" t="s">
        <v>65</v>
      </c>
      <c r="S30" s="1322" t="e">
        <f t="shared" si="12"/>
        <v>#N/A</v>
      </c>
      <c r="T30" s="1321" t="s">
        <v>65</v>
      </c>
      <c r="U30" s="1322" t="e">
        <f t="shared" si="13"/>
        <v>#N/A</v>
      </c>
      <c r="V30" s="1321" t="s">
        <v>65</v>
      </c>
      <c r="W30" s="1322" t="e">
        <f t="shared" si="14"/>
        <v>#N/A</v>
      </c>
      <c r="X30" s="1315"/>
      <c r="Y30" s="3691"/>
      <c r="Z30" s="1323" t="str">
        <f t="shared" si="15"/>
        <v>建筑面积</v>
      </c>
      <c r="AA30" s="1324" t="e">
        <f t="shared" si="3"/>
        <v>#N/A</v>
      </c>
      <c r="AB30" s="1324" t="e">
        <f t="shared" si="4"/>
        <v>#N/A</v>
      </c>
      <c r="AC30" s="1324" t="e">
        <f t="shared" si="5"/>
        <v>#N/A</v>
      </c>
    </row>
    <row r="31" spans="1:29" s="407" customFormat="1" ht="15">
      <c r="A31" s="813"/>
      <c r="B31" s="764" t="s">
        <v>474</v>
      </c>
      <c r="C31" s="1409"/>
      <c r="D31" s="426">
        <v>100</v>
      </c>
      <c r="E31" s="1409"/>
      <c r="F31" s="803">
        <f>SUMIF(89:89,E31,90:90)-SUMIF(89:89,C31,90:90)+100</f>
        <v>100</v>
      </c>
      <c r="G31" s="1409"/>
      <c r="H31" s="777">
        <f>SUMIF(89:89,G31,90:90)-SUMIF(89:89,C31,90:90)+100</f>
        <v>100</v>
      </c>
      <c r="I31" s="1409"/>
      <c r="J31" s="777">
        <f>SUMIF(89:89,I31,90:90)-SUMIF(89:89,C31,90:90)+100</f>
        <v>100</v>
      </c>
      <c r="K31" s="952"/>
      <c r="L31" s="2346"/>
      <c r="M31" s="2347"/>
      <c r="N31" s="2347"/>
      <c r="O31" s="2348"/>
      <c r="P31" s="3691"/>
      <c r="Q31" s="296" t="str">
        <f t="shared" si="11"/>
        <v>是否封闭</v>
      </c>
      <c r="R31" s="1316" t="s">
        <v>65</v>
      </c>
      <c r="S31" s="1317">
        <f t="shared" si="12"/>
        <v>100</v>
      </c>
      <c r="T31" s="1316" t="s">
        <v>65</v>
      </c>
      <c r="U31" s="1317">
        <f t="shared" si="13"/>
        <v>100</v>
      </c>
      <c r="V31" s="1316" t="s">
        <v>65</v>
      </c>
      <c r="W31" s="1317">
        <f t="shared" si="14"/>
        <v>100</v>
      </c>
      <c r="X31" s="1318"/>
      <c r="Y31" s="3691"/>
      <c r="Z31" s="344" t="str">
        <f t="shared" si="15"/>
        <v>是否封闭</v>
      </c>
      <c r="AA31" s="1319">
        <f t="shared" si="3"/>
        <v>1</v>
      </c>
      <c r="AB31" s="1319">
        <f t="shared" si="4"/>
        <v>1</v>
      </c>
      <c r="AC31" s="1319">
        <f t="shared" si="5"/>
        <v>1</v>
      </c>
    </row>
    <row r="32" spans="1:29" ht="15">
      <c r="A32" s="812"/>
      <c r="B32" s="1028">
        <v>111</v>
      </c>
      <c r="C32" s="1021"/>
      <c r="D32" s="777">
        <v>100</v>
      </c>
      <c r="E32" s="1354"/>
      <c r="F32" s="803">
        <f>SUMIF(91:91,E32,92:92)-SUMIF(91:91,C32,92:92)+100</f>
        <v>100</v>
      </c>
      <c r="G32" s="1354"/>
      <c r="H32" s="777">
        <f>SUMIF(91:91,G32,92:92)-SUMIF(91:91,C32,92:92)+100</f>
        <v>100</v>
      </c>
      <c r="I32" s="1354"/>
      <c r="J32" s="777">
        <f>SUMIF(91:91,I32,92:92)-SUMIF(91:91,C32,92:92)+100</f>
        <v>100</v>
      </c>
      <c r="K32" s="953"/>
      <c r="L32" s="2354"/>
      <c r="M32" s="2345"/>
      <c r="N32" s="2345"/>
      <c r="O32" s="2353"/>
      <c r="P32" s="3691" t="s">
        <v>406</v>
      </c>
      <c r="Q32" s="1320">
        <f t="shared" si="11"/>
        <v>111</v>
      </c>
      <c r="R32" s="1321" t="s">
        <v>65</v>
      </c>
      <c r="S32" s="1322">
        <f t="shared" si="12"/>
        <v>100</v>
      </c>
      <c r="T32" s="1321" t="s">
        <v>65</v>
      </c>
      <c r="U32" s="1322">
        <f t="shared" si="13"/>
        <v>100</v>
      </c>
      <c r="V32" s="1321" t="s">
        <v>65</v>
      </c>
      <c r="W32" s="1322">
        <f t="shared" si="14"/>
        <v>100</v>
      </c>
      <c r="X32" s="1315"/>
      <c r="Y32" s="3691" t="s">
        <v>406</v>
      </c>
      <c r="Z32" s="1323">
        <f t="shared" si="15"/>
        <v>111</v>
      </c>
      <c r="AA32" s="1324">
        <f t="shared" si="3"/>
        <v>1</v>
      </c>
      <c r="AB32" s="1324">
        <f t="shared" si="4"/>
        <v>1</v>
      </c>
      <c r="AC32" s="1324">
        <f t="shared" si="5"/>
        <v>1</v>
      </c>
    </row>
    <row r="33" spans="1:29" ht="15">
      <c r="A33" s="812"/>
      <c r="B33" s="1028">
        <v>111</v>
      </c>
      <c r="C33" s="1021"/>
      <c r="D33" s="777">
        <v>100</v>
      </c>
      <c r="E33" s="1354"/>
      <c r="F33" s="803">
        <f>SUMIF(93:93,E33,94:94)-SUMIF(93:93,C33,94:94)+100</f>
        <v>100</v>
      </c>
      <c r="G33" s="1354"/>
      <c r="H33" s="777">
        <f>SUMIF(93:93,G33,94:94)-SUMIF(93:93,C33,94:94)+100</f>
        <v>100</v>
      </c>
      <c r="I33" s="1354"/>
      <c r="J33" s="777">
        <f>SUMIF(93:93,I33,94:94)-SUMIF(93:93,C33,94:94)+100</f>
        <v>100</v>
      </c>
      <c r="K33" s="953"/>
      <c r="L33" s="2354"/>
      <c r="M33" s="2345"/>
      <c r="N33" s="2345"/>
      <c r="O33" s="2353"/>
      <c r="P33" s="3691"/>
      <c r="Q33" s="1320">
        <f t="shared" si="11"/>
        <v>111</v>
      </c>
      <c r="R33" s="1321" t="s">
        <v>65</v>
      </c>
      <c r="S33" s="1322">
        <f t="shared" si="12"/>
        <v>100</v>
      </c>
      <c r="T33" s="1321" t="s">
        <v>65</v>
      </c>
      <c r="U33" s="1322">
        <f t="shared" si="13"/>
        <v>100</v>
      </c>
      <c r="V33" s="1321" t="s">
        <v>65</v>
      </c>
      <c r="W33" s="1322">
        <f t="shared" si="14"/>
        <v>100</v>
      </c>
      <c r="X33" s="1315"/>
      <c r="Y33" s="3691"/>
      <c r="Z33" s="1323">
        <f t="shared" si="15"/>
        <v>111</v>
      </c>
      <c r="AA33" s="1324">
        <f t="shared" si="3"/>
        <v>1</v>
      </c>
      <c r="AB33" s="1324">
        <f t="shared" si="4"/>
        <v>1</v>
      </c>
      <c r="AC33" s="1324">
        <f t="shared" si="5"/>
        <v>1</v>
      </c>
    </row>
    <row r="34" spans="1:29" ht="15.75" thickBot="1">
      <c r="A34" s="818"/>
      <c r="B34" s="1029">
        <v>111</v>
      </c>
      <c r="C34" s="94"/>
      <c r="D34" s="780">
        <v>100</v>
      </c>
      <c r="E34" s="1410"/>
      <c r="F34" s="781">
        <f>SUMIF(95:95,E34,96:96)-SUMIF(95:95,C34,96:96)+100</f>
        <v>100</v>
      </c>
      <c r="G34" s="1410"/>
      <c r="H34" s="780">
        <f>SUMIF(95:95,G34,96:96)-SUMIF(95:95,C34,96:96)+100</f>
        <v>100</v>
      </c>
      <c r="I34" s="1410"/>
      <c r="J34" s="780">
        <f>SUMIF(95:95,I34,96:96)-SUMIF(95:95,C34,96:96)+100</f>
        <v>100</v>
      </c>
      <c r="K34" s="953"/>
      <c r="L34" s="2354"/>
      <c r="M34" s="2345"/>
      <c r="N34" s="2345"/>
      <c r="O34" s="2353"/>
      <c r="P34" s="3691"/>
      <c r="Q34" s="1320">
        <f t="shared" si="11"/>
        <v>111</v>
      </c>
      <c r="R34" s="1321" t="s">
        <v>65</v>
      </c>
      <c r="S34" s="1322">
        <f t="shared" si="12"/>
        <v>100</v>
      </c>
      <c r="T34" s="1321" t="s">
        <v>65</v>
      </c>
      <c r="U34" s="1322">
        <f t="shared" si="13"/>
        <v>100</v>
      </c>
      <c r="V34" s="1321" t="s">
        <v>65</v>
      </c>
      <c r="W34" s="1322">
        <f t="shared" si="14"/>
        <v>100</v>
      </c>
      <c r="X34" s="1315"/>
      <c r="Y34" s="3691"/>
      <c r="Z34" s="1323">
        <f t="shared" si="15"/>
        <v>111</v>
      </c>
      <c r="AA34" s="1324">
        <f t="shared" si="3"/>
        <v>1</v>
      </c>
      <c r="AB34" s="1324">
        <f t="shared" si="4"/>
        <v>1</v>
      </c>
      <c r="AC34" s="1324">
        <f t="shared" si="5"/>
        <v>1</v>
      </c>
    </row>
    <row r="35" spans="1:29" ht="15">
      <c r="A35" s="819" t="s">
        <v>407</v>
      </c>
      <c r="B35" s="820"/>
      <c r="C35" s="2829" t="s">
        <v>23</v>
      </c>
      <c r="D35" s="2830"/>
      <c r="E35" s="2831"/>
      <c r="F35" s="2832"/>
      <c r="G35" s="2833"/>
      <c r="H35" s="2834"/>
      <c r="I35" s="2831"/>
      <c r="J35" s="2834"/>
      <c r="K35" s="1396"/>
      <c r="L35" s="2357"/>
      <c r="M35" s="2358"/>
      <c r="N35" s="2345"/>
      <c r="O35" s="2358"/>
      <c r="P35" s="3673" t="str">
        <f>A35</f>
        <v>成交单价（元/平方米）</v>
      </c>
      <c r="Q35" s="3673"/>
      <c r="R35" s="3794">
        <f>E35</f>
        <v>0</v>
      </c>
      <c r="S35" s="3794"/>
      <c r="T35" s="3794">
        <f>G35</f>
        <v>0</v>
      </c>
      <c r="U35" s="3794"/>
      <c r="V35" s="3794">
        <f>I35</f>
        <v>0</v>
      </c>
      <c r="W35" s="3794"/>
      <c r="X35" s="1304"/>
      <c r="Y35" s="1330"/>
      <c r="Z35" s="1304"/>
      <c r="AA35" s="1304"/>
      <c r="AB35" s="1304"/>
      <c r="AC35" s="1304"/>
    </row>
    <row r="36" spans="1:29" ht="15.75" thickBot="1">
      <c r="A36" s="826" t="s">
        <v>408</v>
      </c>
      <c r="B36" s="827"/>
      <c r="C36" s="2835" t="e">
        <f>R37</f>
        <v>#DIV/0!</v>
      </c>
      <c r="D36" s="2836"/>
      <c r="E36" s="2837" t="e">
        <f>R36</f>
        <v>#DIV/0!</v>
      </c>
      <c r="F36" s="2837"/>
      <c r="G36" s="2835" t="e">
        <f>T36</f>
        <v>#DIV/0!</v>
      </c>
      <c r="H36" s="2836"/>
      <c r="I36" s="2837" t="e">
        <f>V36</f>
        <v>#DIV/0!</v>
      </c>
      <c r="J36" s="2836"/>
      <c r="K36" s="1397"/>
      <c r="L36" s="2357"/>
      <c r="M36" s="2358"/>
      <c r="N36" s="2345"/>
      <c r="O36" s="2358"/>
      <c r="P36" s="3673" t="str">
        <f>A36</f>
        <v>比较价值（元/平方米）</v>
      </c>
      <c r="Q36" s="3673"/>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1304"/>
      <c r="Y36" s="1304"/>
      <c r="Z36" s="1304"/>
      <c r="AA36" s="1304"/>
      <c r="AB36" s="1304"/>
      <c r="AC36" s="1304"/>
    </row>
    <row r="37" spans="1:29" ht="15.75" thickBot="1">
      <c r="A37" s="115" t="s">
        <v>3012</v>
      </c>
      <c r="B37" s="833"/>
      <c r="C37" s="2839" t="e">
        <f>R37</f>
        <v>#DIV/0!</v>
      </c>
      <c r="D37" s="2839"/>
      <c r="E37" s="2839"/>
      <c r="F37" s="2839"/>
      <c r="G37" s="2839"/>
      <c r="H37" s="2839"/>
      <c r="I37" s="2839"/>
      <c r="J37" s="2839"/>
      <c r="K37" s="1398"/>
      <c r="L37" s="2357"/>
      <c r="M37" s="2358"/>
      <c r="N37" s="2358"/>
      <c r="O37" s="2358"/>
      <c r="P37" s="3693" t="str">
        <f>A37</f>
        <v>估价对象XX用房的比较价值（楼面单价，元/平方米）</v>
      </c>
      <c r="Q37" s="3694"/>
      <c r="R37" s="3795" t="e">
        <f>IF(F1="售价",ROUND(AVERAGE(R36:V36),0),ROUND(AVERAGE(R36:V36),1))</f>
        <v>#DIV/0!</v>
      </c>
      <c r="S37" s="3795"/>
      <c r="T37" s="3795"/>
      <c r="U37" s="3795"/>
      <c r="V37" s="3795"/>
      <c r="W37" s="3795"/>
      <c r="X37" s="1304"/>
      <c r="Y37" s="1304"/>
      <c r="Z37" s="1304"/>
      <c r="AA37" s="1304"/>
      <c r="AB37" s="1304"/>
      <c r="AC37" s="1304"/>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7" t="s">
        <v>409</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4"/>
      <c r="L40" s="2185"/>
      <c r="M40" s="2358"/>
      <c r="N40" s="2358"/>
      <c r="O40" s="2358"/>
    </row>
    <row r="41" spans="1:29" ht="13.5" customHeight="1">
      <c r="A41" s="2358"/>
      <c r="B41" s="2358"/>
      <c r="C41" s="837" t="s">
        <v>410</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4"/>
      <c r="L41" s="2185"/>
      <c r="M41" s="2358"/>
      <c r="N41" s="2358"/>
      <c r="O41" s="2358"/>
    </row>
    <row r="42" spans="1:29" s="842" customFormat="1" ht="13.5" customHeight="1">
      <c r="A42" s="2359"/>
      <c r="B42" s="2359"/>
      <c r="C42" s="837" t="s">
        <v>411</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8" t="s">
        <v>412</v>
      </c>
      <c r="B45" s="1304"/>
      <c r="C45" s="1309"/>
      <c r="D45" s="1309"/>
      <c r="E45" s="1309"/>
      <c r="F45" s="1310"/>
      <c r="G45" s="1310"/>
      <c r="H45" s="1309"/>
      <c r="I45" s="1309"/>
      <c r="J45" s="1309"/>
      <c r="K45" s="1311"/>
      <c r="L45" s="1312"/>
      <c r="M45" s="1309"/>
      <c r="N45" s="1309"/>
      <c r="O45" s="1309"/>
      <c r="P45" s="843"/>
      <c r="Q45" s="844"/>
    </row>
    <row r="46" spans="1:29" s="848" customFormat="1" ht="15">
      <c r="A46" s="845" t="s">
        <v>395</v>
      </c>
      <c r="B46" s="846"/>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7"/>
    </row>
    <row r="47" spans="1:29" s="407" customFormat="1" ht="15">
      <c r="A47" s="849"/>
      <c r="B47" s="850"/>
      <c r="C47" s="3035">
        <v>100</v>
      </c>
      <c r="D47" s="852"/>
      <c r="E47" s="852"/>
      <c r="F47" s="852"/>
      <c r="G47" s="852"/>
      <c r="H47" s="852"/>
      <c r="I47" s="852"/>
      <c r="J47" s="852"/>
      <c r="K47" s="852"/>
      <c r="L47" s="852"/>
      <c r="M47" s="853"/>
      <c r="N47" s="852"/>
      <c r="O47" s="854"/>
      <c r="P47" s="844"/>
    </row>
    <row r="48" spans="1:29" s="407" customFormat="1" ht="15.75" thickBot="1">
      <c r="A48" s="855" t="s">
        <v>413</v>
      </c>
      <c r="B48" s="856"/>
      <c r="C48" s="857"/>
      <c r="D48" s="858"/>
      <c r="E48" s="858"/>
      <c r="F48" s="858"/>
      <c r="G48" s="858"/>
      <c r="H48" s="858"/>
      <c r="I48" s="858"/>
      <c r="J48" s="858"/>
      <c r="K48" s="858"/>
      <c r="L48" s="858"/>
      <c r="M48" s="859"/>
      <c r="N48" s="858"/>
      <c r="O48" s="860"/>
      <c r="P48" s="844"/>
      <c r="Q48" s="844"/>
    </row>
    <row r="49" spans="1:17" s="407" customFormat="1" ht="15">
      <c r="A49" s="861" t="s">
        <v>397</v>
      </c>
      <c r="B49" s="850"/>
      <c r="C49" s="862" t="s">
        <v>414</v>
      </c>
      <c r="D49" s="140"/>
      <c r="E49" s="140"/>
      <c r="F49" s="140"/>
      <c r="G49" s="140"/>
      <c r="H49" s="140"/>
      <c r="I49" s="140"/>
      <c r="J49" s="140"/>
      <c r="K49" s="140"/>
      <c r="L49" s="141"/>
      <c r="M49" s="1048"/>
      <c r="N49" s="2365"/>
      <c r="O49" s="2365"/>
      <c r="P49" s="866"/>
      <c r="Q49" s="844"/>
    </row>
    <row r="50" spans="1:17" s="407"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415</v>
      </c>
      <c r="B51" s="868" t="s">
        <v>416</v>
      </c>
      <c r="C51" s="869">
        <f>C9</f>
        <v>0</v>
      </c>
      <c r="D51" s="122"/>
      <c r="E51" s="122"/>
      <c r="F51" s="122"/>
      <c r="G51" s="122"/>
      <c r="H51" s="122"/>
      <c r="I51" s="122"/>
      <c r="J51" s="122"/>
      <c r="K51" s="123"/>
      <c r="L51" s="124"/>
      <c r="M51" s="125"/>
      <c r="N51" s="2366"/>
      <c r="O51" s="2366"/>
      <c r="P51" s="334"/>
      <c r="Q51" s="844"/>
    </row>
    <row r="52" spans="1:17" ht="15.75" thickBot="1">
      <c r="A52" s="874"/>
      <c r="B52" s="875"/>
      <c r="C52" s="876">
        <v>100</v>
      </c>
      <c r="D52" s="876"/>
      <c r="E52" s="876"/>
      <c r="F52" s="876"/>
      <c r="G52" s="876"/>
      <c r="H52" s="876"/>
      <c r="I52" s="876"/>
      <c r="J52" s="876"/>
      <c r="K52" s="876"/>
      <c r="L52" s="876"/>
      <c r="M52" s="877"/>
      <c r="N52" s="2367"/>
      <c r="O52" s="2367"/>
      <c r="P52" s="334"/>
      <c r="Q52" s="844"/>
    </row>
    <row r="53" spans="1:17" ht="27.75" thickTop="1">
      <c r="A53" s="874"/>
      <c r="B53" s="878" t="s">
        <v>401</v>
      </c>
      <c r="C53" s="879" t="s">
        <v>417</v>
      </c>
      <c r="D53" s="879" t="s">
        <v>418</v>
      </c>
      <c r="E53" s="879" t="s">
        <v>419</v>
      </c>
      <c r="F53" s="879" t="s">
        <v>420</v>
      </c>
      <c r="G53" s="879" t="s">
        <v>435</v>
      </c>
      <c r="H53" s="879" t="s">
        <v>436</v>
      </c>
      <c r="I53" s="879" t="s">
        <v>437</v>
      </c>
      <c r="J53" s="879"/>
      <c r="K53" s="880"/>
      <c r="L53" s="881"/>
      <c r="M53" s="882"/>
      <c r="N53" s="2366"/>
      <c r="O53" s="2366"/>
      <c r="P53" s="334"/>
      <c r="Q53" s="844"/>
    </row>
    <row r="54" spans="1:17" ht="15.75" thickBot="1">
      <c r="A54" s="874"/>
      <c r="B54" s="883"/>
      <c r="C54" s="884" t="s">
        <v>138</v>
      </c>
      <c r="D54" s="884" t="s">
        <v>139</v>
      </c>
      <c r="E54" s="884">
        <v>100</v>
      </c>
      <c r="F54" s="884">
        <f>E54-$K10</f>
        <v>100</v>
      </c>
      <c r="G54" s="884">
        <f>F54-$K10</f>
        <v>100</v>
      </c>
      <c r="H54" s="884">
        <f>G54-$K10</f>
        <v>100</v>
      </c>
      <c r="I54" s="884">
        <f>H54-$K10</f>
        <v>100</v>
      </c>
      <c r="J54" s="884"/>
      <c r="K54" s="884"/>
      <c r="L54" s="884"/>
      <c r="M54" s="885"/>
      <c r="N54" s="2367"/>
      <c r="O54" s="2367"/>
      <c r="P54" s="334"/>
      <c r="Q54" s="844"/>
    </row>
    <row r="55" spans="1:17" ht="15.75" thickTop="1">
      <c r="A55" s="874"/>
      <c r="B55" s="213">
        <f>B11</f>
        <v>111</v>
      </c>
      <c r="C55" s="126"/>
      <c r="D55" s="126"/>
      <c r="E55" s="126"/>
      <c r="F55" s="126"/>
      <c r="G55" s="126"/>
      <c r="H55" s="126"/>
      <c r="I55" s="126"/>
      <c r="J55" s="126"/>
      <c r="K55" s="127"/>
      <c r="L55" s="128"/>
      <c r="M55" s="129"/>
      <c r="N55" s="2366"/>
      <c r="O55" s="2366"/>
      <c r="P55" s="334"/>
      <c r="Q55" s="844"/>
    </row>
    <row r="56" spans="1:17" ht="15.75" thickBot="1">
      <c r="A56" s="874"/>
      <c r="B56" s="1050"/>
      <c r="C56" s="900"/>
      <c r="D56" s="876"/>
      <c r="E56" s="876"/>
      <c r="F56" s="876"/>
      <c r="G56" s="876"/>
      <c r="H56" s="876"/>
      <c r="I56" s="876"/>
      <c r="J56" s="876"/>
      <c r="K56" s="876"/>
      <c r="L56" s="876"/>
      <c r="M56" s="877"/>
      <c r="N56" s="2367"/>
      <c r="O56" s="2367"/>
      <c r="P56" s="334"/>
      <c r="Q56" s="844"/>
    </row>
    <row r="57" spans="1:17" s="811" customFormat="1" ht="15.75" thickTop="1">
      <c r="A57" s="893"/>
      <c r="B57" s="1051">
        <f>B12</f>
        <v>111</v>
      </c>
      <c r="C57" s="126"/>
      <c r="D57" s="126"/>
      <c r="E57" s="126"/>
      <c r="F57" s="126"/>
      <c r="G57" s="139"/>
      <c r="H57" s="1056"/>
      <c r="I57" s="1056"/>
      <c r="J57" s="1056"/>
      <c r="K57" s="1056"/>
      <c r="L57" s="1057"/>
      <c r="M57" s="1058"/>
      <c r="N57" s="2368"/>
      <c r="O57" s="2368"/>
      <c r="P57" s="898"/>
      <c r="Q57" s="899"/>
    </row>
    <row r="58" spans="1:17" s="811" customFormat="1" ht="15.75" thickBot="1">
      <c r="A58" s="893"/>
      <c r="B58" s="1052"/>
      <c r="C58" s="900"/>
      <c r="D58" s="876"/>
      <c r="E58" s="876"/>
      <c r="F58" s="876"/>
      <c r="G58" s="876"/>
      <c r="H58" s="876"/>
      <c r="I58" s="876"/>
      <c r="J58" s="876"/>
      <c r="K58" s="876"/>
      <c r="L58" s="876"/>
      <c r="M58" s="877"/>
      <c r="N58" s="2367"/>
      <c r="O58" s="2367"/>
      <c r="P58" s="898"/>
      <c r="Q58" s="899"/>
    </row>
    <row r="59" spans="1:17" s="811" customFormat="1" ht="15.75" thickTop="1">
      <c r="A59" s="893"/>
      <c r="B59" s="1051">
        <f>B13</f>
        <v>111</v>
      </c>
      <c r="C59" s="126"/>
      <c r="D59" s="126"/>
      <c r="E59" s="126"/>
      <c r="F59" s="126"/>
      <c r="G59" s="139"/>
      <c r="H59" s="1056"/>
      <c r="I59" s="1056"/>
      <c r="J59" s="1056"/>
      <c r="K59" s="1056"/>
      <c r="L59" s="1057"/>
      <c r="M59" s="1058"/>
      <c r="N59" s="2368"/>
      <c r="O59" s="2368"/>
      <c r="P59" s="810"/>
      <c r="Q59" s="901"/>
    </row>
    <row r="60" spans="1:17" s="811" customFormat="1" ht="15.75" thickBot="1">
      <c r="A60" s="893"/>
      <c r="B60" s="1052"/>
      <c r="C60" s="900"/>
      <c r="D60" s="900"/>
      <c r="E60" s="900"/>
      <c r="F60" s="900"/>
      <c r="G60" s="900"/>
      <c r="H60" s="902"/>
      <c r="I60" s="902"/>
      <c r="J60" s="902"/>
      <c r="K60" s="902"/>
      <c r="L60" s="902"/>
      <c r="M60" s="903"/>
      <c r="N60" s="2368"/>
      <c r="O60" s="2368"/>
      <c r="P60" s="898"/>
      <c r="Q60" s="899"/>
    </row>
    <row r="61" spans="1:17" ht="15" thickTop="1">
      <c r="A61" s="867" t="s">
        <v>403</v>
      </c>
      <c r="B61" s="868" t="s">
        <v>427</v>
      </c>
      <c r="C61" s="913" t="s">
        <v>422</v>
      </c>
      <c r="D61" s="913" t="s">
        <v>423</v>
      </c>
      <c r="E61" s="913" t="s">
        <v>424</v>
      </c>
      <c r="F61" s="913" t="s">
        <v>425</v>
      </c>
      <c r="G61" s="913" t="s">
        <v>426</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4"/>
      <c r="Q62" s="844"/>
    </row>
    <row r="63" spans="1:17" ht="27.75" thickTop="1">
      <c r="A63" s="874"/>
      <c r="B63" s="878" t="s">
        <v>428</v>
      </c>
      <c r="C63" s="918" t="s">
        <v>422</v>
      </c>
      <c r="D63" s="918" t="s">
        <v>423</v>
      </c>
      <c r="E63" s="918" t="s">
        <v>424</v>
      </c>
      <c r="F63" s="918" t="s">
        <v>425</v>
      </c>
      <c r="G63" s="918" t="s">
        <v>426</v>
      </c>
      <c r="H63" s="879"/>
      <c r="I63" s="879"/>
      <c r="J63" s="879"/>
      <c r="K63" s="880"/>
      <c r="L63" s="881"/>
      <c r="M63" s="882"/>
      <c r="N63" s="2366"/>
      <c r="O63" s="2366"/>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4"/>
      <c r="Q64" s="844"/>
    </row>
    <row r="65" spans="1:17" ht="15.75" thickTop="1">
      <c r="A65" s="874"/>
      <c r="B65" s="1053" t="s">
        <v>2662</v>
      </c>
      <c r="C65" s="213" t="s">
        <v>2652</v>
      </c>
      <c r="D65" s="213" t="s">
        <v>2653</v>
      </c>
      <c r="E65" s="213" t="s">
        <v>2654</v>
      </c>
      <c r="F65" s="213" t="s">
        <v>2655</v>
      </c>
      <c r="G65" s="213" t="s">
        <v>2656</v>
      </c>
      <c r="H65" s="879"/>
      <c r="I65" s="879"/>
      <c r="J65" s="879"/>
      <c r="K65" s="879"/>
      <c r="L65" s="879"/>
      <c r="M65" s="2761"/>
      <c r="N65" s="2367"/>
      <c r="O65" s="2367"/>
      <c r="P65" s="334"/>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2"/>
      <c r="N66" s="2367"/>
      <c r="O66" s="2367"/>
      <c r="P66" s="334"/>
      <c r="Q66" s="844"/>
    </row>
    <row r="67" spans="1:17" ht="15.75" thickTop="1">
      <c r="A67" s="874"/>
      <c r="B67" s="878" t="s">
        <v>429</v>
      </c>
      <c r="C67" s="918" t="s">
        <v>422</v>
      </c>
      <c r="D67" s="918" t="s">
        <v>423</v>
      </c>
      <c r="E67" s="918" t="s">
        <v>424</v>
      </c>
      <c r="F67" s="918" t="s">
        <v>425</v>
      </c>
      <c r="G67" s="918" t="s">
        <v>426</v>
      </c>
      <c r="H67" s="879"/>
      <c r="I67" s="879"/>
      <c r="J67" s="879"/>
      <c r="K67" s="880"/>
      <c r="L67" s="881"/>
      <c r="M67" s="882"/>
      <c r="N67" s="2366"/>
      <c r="O67" s="2366"/>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4"/>
      <c r="Q68" s="844"/>
    </row>
    <row r="69" spans="1:17" ht="15.75" thickTop="1">
      <c r="A69" s="874"/>
      <c r="B69" s="878" t="s">
        <v>430</v>
      </c>
      <c r="C69" s="139"/>
      <c r="D69" s="139"/>
      <c r="E69" s="139"/>
      <c r="F69" s="139"/>
      <c r="G69" s="139"/>
      <c r="H69" s="131"/>
      <c r="I69" s="131"/>
      <c r="J69" s="131"/>
      <c r="K69" s="132"/>
      <c r="L69" s="133"/>
      <c r="M69" s="134"/>
      <c r="N69" s="2366"/>
      <c r="O69" s="2366"/>
      <c r="P69" s="334"/>
      <c r="Q69" s="844"/>
    </row>
    <row r="70" spans="1:17" ht="15.75" thickBot="1">
      <c r="A70" s="874"/>
      <c r="B70" s="883"/>
      <c r="C70" s="884">
        <v>100</v>
      </c>
      <c r="D70" s="884">
        <f>C70-$K22</f>
        <v>100</v>
      </c>
      <c r="E70" s="884"/>
      <c r="F70" s="884"/>
      <c r="G70" s="884"/>
      <c r="H70" s="884"/>
      <c r="I70" s="884"/>
      <c r="J70" s="884"/>
      <c r="K70" s="884"/>
      <c r="L70" s="884"/>
      <c r="M70" s="885"/>
      <c r="N70" s="2367"/>
      <c r="O70" s="2367"/>
      <c r="P70" s="334"/>
      <c r="Q70" s="844"/>
    </row>
    <row r="71" spans="1:17" s="407" customFormat="1" ht="15.75" thickTop="1">
      <c r="A71" s="919"/>
      <c r="B71" s="1051">
        <f>B23</f>
        <v>111</v>
      </c>
      <c r="C71" s="126"/>
      <c r="D71" s="126"/>
      <c r="E71" s="126"/>
      <c r="F71" s="126"/>
      <c r="G71" s="139"/>
      <c r="H71" s="139"/>
      <c r="I71" s="139"/>
      <c r="J71" s="139"/>
      <c r="K71" s="139"/>
      <c r="L71" s="1380"/>
      <c r="M71" s="1381"/>
      <c r="N71" s="2365"/>
      <c r="O71" s="2365"/>
      <c r="P71" s="334"/>
      <c r="Q71" s="844"/>
    </row>
    <row r="72" spans="1:17" s="407" customFormat="1" ht="15.75" thickBot="1">
      <c r="A72" s="919"/>
      <c r="B72" s="1052"/>
      <c r="C72" s="900"/>
      <c r="D72" s="876"/>
      <c r="E72" s="876"/>
      <c r="F72" s="876"/>
      <c r="G72" s="876"/>
      <c r="H72" s="876"/>
      <c r="I72" s="876"/>
      <c r="J72" s="876"/>
      <c r="K72" s="876"/>
      <c r="L72" s="876"/>
      <c r="M72" s="877"/>
      <c r="N72" s="2367"/>
      <c r="O72" s="2367"/>
      <c r="P72" s="334"/>
      <c r="Q72" s="844"/>
    </row>
    <row r="73" spans="1:17" s="407" customFormat="1" ht="15.75" thickTop="1">
      <c r="A73" s="919"/>
      <c r="B73" s="1051">
        <f>B24</f>
        <v>111</v>
      </c>
      <c r="C73" s="126"/>
      <c r="D73" s="126"/>
      <c r="E73" s="126"/>
      <c r="F73" s="126"/>
      <c r="G73" s="139"/>
      <c r="H73" s="139"/>
      <c r="I73" s="139"/>
      <c r="J73" s="139"/>
      <c r="K73" s="139"/>
      <c r="L73" s="139"/>
      <c r="M73" s="1381"/>
      <c r="N73" s="2365"/>
      <c r="O73" s="2365"/>
      <c r="P73" s="334"/>
      <c r="Q73" s="844"/>
    </row>
    <row r="74" spans="1:17" s="407" customFormat="1" ht="15.75" thickBot="1">
      <c r="A74" s="919"/>
      <c r="B74" s="1052"/>
      <c r="C74" s="900"/>
      <c r="D74" s="876"/>
      <c r="E74" s="876"/>
      <c r="F74" s="876"/>
      <c r="G74" s="876"/>
      <c r="H74" s="876"/>
      <c r="I74" s="876"/>
      <c r="J74" s="876"/>
      <c r="K74" s="876"/>
      <c r="L74" s="876"/>
      <c r="M74" s="877"/>
      <c r="N74" s="2367"/>
      <c r="O74" s="2367"/>
      <c r="P74" s="334"/>
      <c r="Q74" s="844"/>
    </row>
    <row r="75" spans="1:17" s="811" customFormat="1" ht="15.75" thickTop="1">
      <c r="A75" s="893"/>
      <c r="B75" s="1051">
        <f>B25</f>
        <v>111</v>
      </c>
      <c r="C75" s="126"/>
      <c r="D75" s="126"/>
      <c r="E75" s="126"/>
      <c r="F75" s="126"/>
      <c r="G75" s="139"/>
      <c r="H75" s="1056"/>
      <c r="I75" s="1056"/>
      <c r="J75" s="1056"/>
      <c r="K75" s="1056"/>
      <c r="L75" s="1057"/>
      <c r="M75" s="1058"/>
      <c r="N75" s="2368"/>
      <c r="O75" s="2368"/>
      <c r="P75" s="898"/>
      <c r="Q75" s="899"/>
    </row>
    <row r="76" spans="1:17" s="811" customFormat="1" ht="15.75" thickBot="1">
      <c r="A76" s="893"/>
      <c r="B76" s="1052"/>
      <c r="C76" s="900"/>
      <c r="D76" s="900"/>
      <c r="E76" s="900"/>
      <c r="F76" s="900"/>
      <c r="G76" s="876"/>
      <c r="H76" s="876"/>
      <c r="I76" s="876"/>
      <c r="J76" s="876"/>
      <c r="K76" s="876"/>
      <c r="L76" s="876"/>
      <c r="M76" s="877"/>
      <c r="N76" s="2368"/>
      <c r="O76" s="2368"/>
      <c r="P76" s="898"/>
      <c r="Q76" s="899"/>
    </row>
    <row r="77" spans="1:17" ht="15" thickTop="1">
      <c r="A77" s="867" t="s">
        <v>405</v>
      </c>
      <c r="B77" s="868" t="s">
        <v>431</v>
      </c>
      <c r="C77" s="139"/>
      <c r="D77" s="139"/>
      <c r="E77" s="122"/>
      <c r="F77" s="122"/>
      <c r="G77" s="122"/>
      <c r="H77" s="122"/>
      <c r="I77" s="122"/>
      <c r="J77" s="122"/>
      <c r="K77" s="123"/>
      <c r="L77" s="124"/>
      <c r="M77" s="125"/>
      <c r="N77" s="2366"/>
      <c r="O77" s="2366"/>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4"/>
      <c r="Q78" s="844"/>
    </row>
    <row r="79" spans="1:17" ht="15.75" thickTop="1">
      <c r="A79" s="874"/>
      <c r="B79" s="878" t="s">
        <v>466</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4"/>
      <c r="Q79" s="844"/>
    </row>
    <row r="80" spans="1:17" ht="15">
      <c r="A80" s="874"/>
      <c r="B80" s="886"/>
      <c r="C80" s="943">
        <v>0.5</v>
      </c>
      <c r="D80" s="943">
        <v>0.6</v>
      </c>
      <c r="E80" s="943">
        <v>0.7</v>
      </c>
      <c r="F80" s="943">
        <v>0.8</v>
      </c>
      <c r="G80" s="943">
        <v>0.9</v>
      </c>
      <c r="H80" s="943">
        <v>1.0001</v>
      </c>
      <c r="I80" s="1000"/>
      <c r="J80" s="1000"/>
      <c r="K80" s="1008"/>
      <c r="L80" s="1009"/>
      <c r="M80" s="1010"/>
      <c r="N80" s="2365"/>
      <c r="O80" s="2365"/>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467</v>
      </c>
      <c r="C82" s="139"/>
      <c r="D82" s="139"/>
      <c r="E82" s="131"/>
      <c r="F82" s="131"/>
      <c r="G82" s="131"/>
      <c r="H82" s="131"/>
      <c r="I82" s="131"/>
      <c r="J82" s="131"/>
      <c r="K82" s="132"/>
      <c r="L82" s="133"/>
      <c r="M82" s="134"/>
      <c r="N82" s="2366"/>
      <c r="O82" s="2366"/>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4"/>
      <c r="Q83" s="844"/>
    </row>
    <row r="84" spans="1:17" ht="15" thickTop="1">
      <c r="A84" s="939"/>
      <c r="B84" s="878" t="s">
        <v>475</v>
      </c>
      <c r="C84" s="139"/>
      <c r="D84" s="139"/>
      <c r="E84" s="139"/>
      <c r="F84" s="139"/>
      <c r="G84" s="139"/>
      <c r="H84" s="139"/>
      <c r="I84" s="131"/>
      <c r="J84" s="131"/>
      <c r="K84" s="132"/>
      <c r="L84" s="133"/>
      <c r="M84" s="134"/>
      <c r="N84" s="2366"/>
      <c r="O84" s="2366"/>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4"/>
      <c r="Q85" s="844"/>
    </row>
    <row r="86" spans="1:17" ht="15" thickTop="1">
      <c r="A86" s="939"/>
      <c r="B86" s="886" t="s">
        <v>476</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4"/>
      <c r="Q86" s="844"/>
    </row>
    <row r="87" spans="1:17">
      <c r="A87" s="939"/>
      <c r="B87" s="886"/>
      <c r="C87" s="935"/>
      <c r="D87" s="935"/>
      <c r="E87" s="935"/>
      <c r="F87" s="935"/>
      <c r="G87" s="935"/>
      <c r="H87" s="935"/>
      <c r="I87" s="935"/>
      <c r="J87" s="936"/>
      <c r="K87" s="936"/>
      <c r="L87" s="937"/>
      <c r="M87" s="938"/>
      <c r="N87" s="2366"/>
      <c r="O87" s="2366"/>
      <c r="P87" s="334"/>
      <c r="Q87" s="844"/>
    </row>
    <row r="88" spans="1:17" ht="15.75" thickBot="1">
      <c r="A88" s="874"/>
      <c r="B88" s="883"/>
      <c r="C88" s="900"/>
      <c r="D88" s="876"/>
      <c r="E88" s="876"/>
      <c r="F88" s="876"/>
      <c r="G88" s="876"/>
      <c r="H88" s="876"/>
      <c r="I88" s="876"/>
      <c r="J88" s="876"/>
      <c r="K88" s="876"/>
      <c r="L88" s="876"/>
      <c r="M88" s="876"/>
      <c r="N88" s="2367"/>
      <c r="O88" s="2367"/>
      <c r="P88" s="334"/>
      <c r="Q88" s="844"/>
    </row>
    <row r="89" spans="1:17" s="811" customFormat="1" ht="15" thickTop="1">
      <c r="A89" s="933"/>
      <c r="B89" s="878" t="s">
        <v>477</v>
      </c>
      <c r="C89" s="139"/>
      <c r="D89" s="139"/>
      <c r="E89" s="139"/>
      <c r="F89" s="139"/>
      <c r="G89" s="139"/>
      <c r="H89" s="139"/>
      <c r="I89" s="139"/>
      <c r="J89" s="139"/>
      <c r="K89" s="139"/>
      <c r="L89" s="139"/>
      <c r="M89" s="1381"/>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1">
        <f>B32</f>
        <v>111</v>
      </c>
      <c r="C91" s="126"/>
      <c r="D91" s="126"/>
      <c r="E91" s="126"/>
      <c r="F91" s="126"/>
      <c r="G91" s="139"/>
      <c r="H91" s="1056"/>
      <c r="I91" s="1056"/>
      <c r="J91" s="1056"/>
      <c r="K91" s="1056"/>
      <c r="L91" s="1057"/>
      <c r="M91" s="1058"/>
      <c r="N91" s="2366"/>
      <c r="O91" s="2366"/>
      <c r="P91" s="334"/>
      <c r="Q91" s="844"/>
    </row>
    <row r="92" spans="1:17" ht="15.75" thickBot="1">
      <c r="A92" s="874"/>
      <c r="B92" s="1052"/>
      <c r="C92" s="900"/>
      <c r="D92" s="876"/>
      <c r="E92" s="876"/>
      <c r="F92" s="876"/>
      <c r="G92" s="900"/>
      <c r="H92" s="902"/>
      <c r="I92" s="902"/>
      <c r="J92" s="902"/>
      <c r="K92" s="902"/>
      <c r="L92" s="902"/>
      <c r="M92" s="903"/>
      <c r="N92" s="2367"/>
      <c r="O92" s="2367"/>
      <c r="P92" s="334"/>
      <c r="Q92" s="844"/>
    </row>
    <row r="93" spans="1:17" ht="15" thickTop="1">
      <c r="A93" s="939"/>
      <c r="B93" s="1051">
        <f>B33</f>
        <v>111</v>
      </c>
      <c r="C93" s="126"/>
      <c r="D93" s="126"/>
      <c r="E93" s="126"/>
      <c r="F93" s="126"/>
      <c r="G93" s="139"/>
      <c r="H93" s="1056"/>
      <c r="I93" s="1056"/>
      <c r="J93" s="1056"/>
      <c r="K93" s="1056"/>
      <c r="L93" s="1057"/>
      <c r="M93" s="1058"/>
      <c r="N93" s="2366"/>
      <c r="O93" s="2366"/>
      <c r="P93" s="334"/>
      <c r="Q93" s="844"/>
    </row>
    <row r="94" spans="1:17" ht="15.75" thickBot="1">
      <c r="A94" s="874"/>
      <c r="B94" s="1052"/>
      <c r="C94" s="900"/>
      <c r="D94" s="876"/>
      <c r="E94" s="876"/>
      <c r="F94" s="876"/>
      <c r="G94" s="900"/>
      <c r="H94" s="902"/>
      <c r="I94" s="902"/>
      <c r="J94" s="902"/>
      <c r="K94" s="902"/>
      <c r="L94" s="902"/>
      <c r="M94" s="903"/>
      <c r="N94" s="2367"/>
      <c r="O94" s="2367"/>
      <c r="P94" s="334"/>
      <c r="Q94" s="844"/>
    </row>
    <row r="95" spans="1:17" ht="15" thickTop="1">
      <c r="A95" s="939"/>
      <c r="B95" s="211">
        <f>B34</f>
        <v>111</v>
      </c>
      <c r="C95" s="126"/>
      <c r="D95" s="126"/>
      <c r="E95" s="126"/>
      <c r="F95" s="126"/>
      <c r="G95" s="139"/>
      <c r="H95" s="1056"/>
      <c r="I95" s="1056"/>
      <c r="J95" s="1056"/>
      <c r="K95" s="1056"/>
      <c r="L95" s="1057"/>
      <c r="M95" s="1058"/>
      <c r="N95" s="2367"/>
      <c r="O95" s="2367"/>
      <c r="P95" s="977"/>
      <c r="Q95" s="978"/>
    </row>
    <row r="96" spans="1:17" ht="15.75" thickBot="1">
      <c r="A96" s="874"/>
      <c r="B96" s="1052"/>
      <c r="C96" s="900"/>
      <c r="D96" s="900"/>
      <c r="E96" s="900"/>
      <c r="F96" s="900"/>
      <c r="G96" s="900"/>
      <c r="H96" s="902"/>
      <c r="I96" s="902"/>
      <c r="J96" s="902"/>
      <c r="K96" s="902"/>
      <c r="L96" s="902"/>
      <c r="M96" s="903"/>
      <c r="N96" s="2367"/>
      <c r="O96" s="2367"/>
      <c r="P96" s="334"/>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0" customFormat="1" ht="28.5" customHeight="1">
      <c r="A2" s="577" t="s">
        <v>342</v>
      </c>
      <c r="B2" s="1077" t="e">
        <f>F61</f>
        <v>#DIV/0!</v>
      </c>
      <c r="C2" s="2339"/>
      <c r="D2" s="2339"/>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40" customFormat="1" ht="28.5" customHeight="1" thickBot="1">
      <c r="A3" s="579" t="s">
        <v>343</v>
      </c>
      <c r="B3" s="949" t="e">
        <f>ROUND(IF(D3="",B2*10000/'数据-汇总表'!E3,B2*10000/D3),0)</f>
        <v>#DIV/0!</v>
      </c>
      <c r="C3" s="579" t="s">
        <v>2881</v>
      </c>
      <c r="D3" s="3049"/>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29" ht="15">
      <c r="A4" s="743" t="s">
        <v>387</v>
      </c>
      <c r="B4" s="744"/>
      <c r="C4" s="3674" t="s">
        <v>388</v>
      </c>
      <c r="D4" s="3675"/>
      <c r="E4" s="3676" t="s">
        <v>389</v>
      </c>
      <c r="F4" s="3677"/>
      <c r="G4" s="3674" t="s">
        <v>390</v>
      </c>
      <c r="H4" s="3675"/>
      <c r="I4" s="3674" t="s">
        <v>391</v>
      </c>
      <c r="J4" s="3675"/>
      <c r="K4" s="950" t="s">
        <v>392</v>
      </c>
      <c r="L4" s="2344"/>
      <c r="M4" s="2345"/>
      <c r="N4" s="2345"/>
      <c r="O4" s="2345"/>
      <c r="P4" s="3678" t="s">
        <v>393</v>
      </c>
      <c r="Q4" s="3679"/>
      <c r="R4" s="3661" t="s">
        <v>389</v>
      </c>
      <c r="S4" s="3662"/>
      <c r="T4" s="3661" t="s">
        <v>390</v>
      </c>
      <c r="U4" s="3662"/>
      <c r="V4" s="3686" t="s">
        <v>391</v>
      </c>
      <c r="W4" s="3686"/>
      <c r="X4" s="1315"/>
      <c r="Y4" s="3661" t="s">
        <v>393</v>
      </c>
      <c r="Z4" s="3662"/>
      <c r="AA4" s="3656" t="s">
        <v>389</v>
      </c>
      <c r="AB4" s="3657" t="s">
        <v>390</v>
      </c>
      <c r="AC4" s="3656" t="s">
        <v>391</v>
      </c>
    </row>
    <row r="5" spans="1:29" ht="15">
      <c r="A5" s="746"/>
      <c r="B5" s="747"/>
      <c r="C5" s="3667" t="s">
        <v>1121</v>
      </c>
      <c r="D5" s="3668"/>
      <c r="E5" s="3665" t="s">
        <v>1122</v>
      </c>
      <c r="F5" s="3666"/>
      <c r="G5" s="3667" t="s">
        <v>1125</v>
      </c>
      <c r="H5" s="3668"/>
      <c r="I5" s="3667" t="s">
        <v>1123</v>
      </c>
      <c r="J5" s="3668"/>
      <c r="K5" s="950"/>
      <c r="L5" s="2344"/>
      <c r="M5" s="2345"/>
      <c r="N5" s="2345"/>
      <c r="O5" s="2345"/>
      <c r="P5" s="3680"/>
      <c r="Q5" s="3681"/>
      <c r="R5" s="3663"/>
      <c r="S5" s="3664"/>
      <c r="T5" s="3663"/>
      <c r="U5" s="3664"/>
      <c r="V5" s="3686"/>
      <c r="W5" s="3686"/>
      <c r="X5" s="1315"/>
      <c r="Y5" s="3663"/>
      <c r="Z5" s="3664"/>
      <c r="AA5" s="3657"/>
      <c r="AB5" s="3657"/>
      <c r="AC5" s="3657"/>
    </row>
    <row r="6" spans="1:29" ht="15.75" thickBot="1">
      <c r="A6" s="748"/>
      <c r="B6" s="749"/>
      <c r="C6" s="3796" t="s">
        <v>1124</v>
      </c>
      <c r="D6" s="3797"/>
      <c r="E6" s="3798" t="s">
        <v>1124</v>
      </c>
      <c r="F6" s="3799"/>
      <c r="G6" s="3796" t="s">
        <v>1124</v>
      </c>
      <c r="H6" s="3797"/>
      <c r="I6" s="3796" t="s">
        <v>1124</v>
      </c>
      <c r="J6" s="3797"/>
      <c r="K6" s="950" t="s">
        <v>394</v>
      </c>
      <c r="L6" s="2344"/>
      <c r="M6" s="2345"/>
      <c r="N6" s="2345"/>
      <c r="O6" s="2345"/>
      <c r="P6" s="3682"/>
      <c r="Q6" s="3683"/>
      <c r="R6" s="3663"/>
      <c r="S6" s="3664"/>
      <c r="T6" s="3684"/>
      <c r="U6" s="3685"/>
      <c r="V6" s="3686"/>
      <c r="W6" s="3686"/>
      <c r="X6" s="1315"/>
      <c r="Y6" s="3684"/>
      <c r="Z6" s="3685"/>
      <c r="AA6" s="3658"/>
      <c r="AB6" s="3658"/>
      <c r="AC6" s="3658"/>
    </row>
    <row r="7" spans="1:29" s="407" customFormat="1" ht="15.75" thickBot="1">
      <c r="A7" s="750" t="s">
        <v>395</v>
      </c>
      <c r="B7" s="751"/>
      <c r="C7" s="752">
        <f>'数据-取费表'!B2</f>
        <v>42975</v>
      </c>
      <c r="D7" s="753">
        <v>100</v>
      </c>
      <c r="E7" s="1014"/>
      <c r="F7" s="755">
        <f>SUMIF(65:65,YEAR(E7)&amp;"-"&amp;INT((MONTH(E7)+2)/3),66:66)</f>
        <v>0</v>
      </c>
      <c r="G7" s="1015"/>
      <c r="H7" s="753">
        <f>SUMIF(65:65,YEAR(G7)&amp;"-"&amp;INT((MONTH(G7)+2)/3),66:66)</f>
        <v>0</v>
      </c>
      <c r="I7" s="1015"/>
      <c r="J7" s="753">
        <f>SUMIF(65:65,YEAR(I7)&amp;"-"&amp;INT((MONTH(I7)+2)/3),66:66)</f>
        <v>0</v>
      </c>
      <c r="K7" s="951"/>
      <c r="L7" s="2346"/>
      <c r="M7" s="2347"/>
      <c r="N7" s="2347"/>
      <c r="O7" s="2347"/>
      <c r="P7" s="3659" t="s">
        <v>396</v>
      </c>
      <c r="Q7" s="3687"/>
      <c r="R7" s="1316" t="s">
        <v>65</v>
      </c>
      <c r="S7" s="1317">
        <f t="shared" ref="S7:S15" si="0">F7</f>
        <v>0</v>
      </c>
      <c r="T7" s="1316" t="s">
        <v>65</v>
      </c>
      <c r="U7" s="1317">
        <f t="shared" ref="U7:U15" si="1">H7</f>
        <v>0</v>
      </c>
      <c r="V7" s="1316" t="s">
        <v>65</v>
      </c>
      <c r="W7" s="1317">
        <f t="shared" ref="W7:W15" si="2">J7</f>
        <v>0</v>
      </c>
      <c r="X7" s="1318"/>
      <c r="Y7" s="3659" t="s">
        <v>396</v>
      </c>
      <c r="Z7" s="3660"/>
      <c r="AA7" s="1319" t="e">
        <f>D7/F7</f>
        <v>#DIV/0!</v>
      </c>
      <c r="AB7" s="1319" t="e">
        <f>D7/H7</f>
        <v>#DIV/0!</v>
      </c>
      <c r="AC7" s="1319" t="e">
        <f>D7/J7</f>
        <v>#DIV/0!</v>
      </c>
    </row>
    <row r="8" spans="1:29" s="407" customFormat="1" ht="15.75" thickBot="1">
      <c r="A8" s="750" t="s">
        <v>397</v>
      </c>
      <c r="B8" s="751"/>
      <c r="C8" s="1017" t="s">
        <v>155</v>
      </c>
      <c r="D8" s="753">
        <v>100</v>
      </c>
      <c r="E8" s="1017"/>
      <c r="F8" s="755">
        <f>SUMIF(68:68,E8,69:69)-SUMIF(68:68,C8,69:69)+100</f>
        <v>0</v>
      </c>
      <c r="G8" s="1017"/>
      <c r="H8" s="753">
        <f>SUMIF(68:68,G8,69:69)-SUMIF(68:68,C8,69:69)+100</f>
        <v>0</v>
      </c>
      <c r="I8" s="1017"/>
      <c r="J8" s="753">
        <f>SUMIF(68:68,I8,69:69)-SUMIF(68:68,C8,69:69)+100</f>
        <v>0</v>
      </c>
      <c r="K8" s="951"/>
      <c r="L8" s="2346"/>
      <c r="M8" s="2347"/>
      <c r="N8" s="2347"/>
      <c r="O8" s="2347"/>
      <c r="P8" s="3659" t="s">
        <v>432</v>
      </c>
      <c r="Q8" s="3660"/>
      <c r="R8" s="1316" t="s">
        <v>65</v>
      </c>
      <c r="S8" s="1317">
        <f t="shared" si="0"/>
        <v>0</v>
      </c>
      <c r="T8" s="1316" t="s">
        <v>65</v>
      </c>
      <c r="U8" s="1317">
        <f t="shared" si="1"/>
        <v>0</v>
      </c>
      <c r="V8" s="1316" t="s">
        <v>65</v>
      </c>
      <c r="W8" s="1317">
        <f t="shared" si="2"/>
        <v>0</v>
      </c>
      <c r="X8" s="1318"/>
      <c r="Y8" s="3659" t="s">
        <v>432</v>
      </c>
      <c r="Z8" s="3660"/>
      <c r="AA8" s="1319" t="e">
        <f t="shared" ref="AA8:AA40" si="3">D8/F8</f>
        <v>#DIV/0!</v>
      </c>
      <c r="AB8" s="1319" t="e">
        <f t="shared" ref="AB8:AB40" si="4">D8/H8</f>
        <v>#DIV/0!</v>
      </c>
      <c r="AC8" s="1319" t="e">
        <f t="shared" ref="AC8:AC40" si="5">D8/J8</f>
        <v>#DIV/0!</v>
      </c>
    </row>
    <row r="9" spans="1:29" s="407" customFormat="1">
      <c r="A9" s="757" t="s">
        <v>398</v>
      </c>
      <c r="B9" s="361" t="s">
        <v>416</v>
      </c>
      <c r="C9" s="1019"/>
      <c r="D9" s="425">
        <v>100</v>
      </c>
      <c r="E9" s="1019"/>
      <c r="F9" s="425">
        <f>SUMIF(70:70,E9,71:71)-SUMIF(70:70,C9,71:71)+100</f>
        <v>100</v>
      </c>
      <c r="G9" s="1019"/>
      <c r="H9" s="425">
        <f>SUMIF(70:70,G9,71:71)-SUMIF(70:70,C9,71:71)+100</f>
        <v>100</v>
      </c>
      <c r="I9" s="1019"/>
      <c r="J9" s="425">
        <f>SUMIF(70:70,I9,71:71)-SUMIF(70:70,C9,71:71)+100</f>
        <v>100</v>
      </c>
      <c r="K9" s="951"/>
      <c r="L9" s="2346"/>
      <c r="M9" s="2347"/>
      <c r="N9" s="2347"/>
      <c r="O9" s="2348"/>
      <c r="P9" s="3673" t="s">
        <v>399</v>
      </c>
      <c r="Q9" s="296" t="str">
        <f t="shared" ref="Q9:Q15" si="6">B9</f>
        <v>用途</v>
      </c>
      <c r="R9" s="1316" t="s">
        <v>65</v>
      </c>
      <c r="S9" s="1317">
        <f t="shared" si="0"/>
        <v>100</v>
      </c>
      <c r="T9" s="1316" t="s">
        <v>65</v>
      </c>
      <c r="U9" s="1317">
        <f t="shared" si="1"/>
        <v>100</v>
      </c>
      <c r="V9" s="1316" t="s">
        <v>65</v>
      </c>
      <c r="W9" s="1317">
        <f t="shared" si="2"/>
        <v>100</v>
      </c>
      <c r="X9" s="1318"/>
      <c r="Y9" s="3634" t="s">
        <v>400</v>
      </c>
      <c r="Z9" s="344" t="str">
        <f t="shared" ref="Z9:Z15" si="7">Q9</f>
        <v>用途</v>
      </c>
      <c r="AA9" s="1319">
        <f t="shared" si="3"/>
        <v>1</v>
      </c>
      <c r="AB9" s="1319">
        <f t="shared" si="4"/>
        <v>1</v>
      </c>
      <c r="AC9" s="1319">
        <f t="shared" si="5"/>
        <v>1</v>
      </c>
    </row>
    <row r="10" spans="1:29" s="769" customFormat="1" ht="27">
      <c r="A10" s="763"/>
      <c r="B10" s="764" t="s">
        <v>401</v>
      </c>
      <c r="C10" s="1021"/>
      <c r="D10" s="426">
        <v>100</v>
      </c>
      <c r="E10" s="1021"/>
      <c r="F10" s="426">
        <f>ROUND(100/'数据-取费表'!G16,0)</f>
        <v>101</v>
      </c>
      <c r="G10" s="1021"/>
      <c r="H10" s="426">
        <f>ROUND(100/'数据-取费表'!G16,0)</f>
        <v>101</v>
      </c>
      <c r="I10" s="1021"/>
      <c r="J10" s="426">
        <f>ROUND(100/'数据-取费表'!G16,0)</f>
        <v>101</v>
      </c>
      <c r="K10" s="1078"/>
      <c r="L10" s="2349"/>
      <c r="M10" s="2350"/>
      <c r="N10" s="2350"/>
      <c r="O10" s="2351"/>
      <c r="P10" s="3673"/>
      <c r="Q10" s="296" t="str">
        <f t="shared" si="6"/>
        <v>土地使用年限（年）</v>
      </c>
      <c r="R10" s="1316" t="s">
        <v>65</v>
      </c>
      <c r="S10" s="1317">
        <f t="shared" si="0"/>
        <v>101</v>
      </c>
      <c r="T10" s="1316" t="s">
        <v>65</v>
      </c>
      <c r="U10" s="1317">
        <f t="shared" si="1"/>
        <v>101</v>
      </c>
      <c r="V10" s="1316" t="s">
        <v>65</v>
      </c>
      <c r="W10" s="1317">
        <f t="shared" si="2"/>
        <v>101</v>
      </c>
      <c r="X10" s="1318"/>
      <c r="Y10" s="3634"/>
      <c r="Z10" s="344" t="str">
        <f t="shared" si="7"/>
        <v>土地使用年限（年）</v>
      </c>
      <c r="AA10" s="1319">
        <f t="shared" si="3"/>
        <v>0.99009900990099009</v>
      </c>
      <c r="AB10" s="1319">
        <f t="shared" si="4"/>
        <v>0.99009900990099009</v>
      </c>
      <c r="AC10" s="1319">
        <f t="shared" si="5"/>
        <v>0.99009900990099009</v>
      </c>
    </row>
    <row r="11" spans="1:29" ht="15">
      <c r="A11" s="770"/>
      <c r="B11" s="764" t="s">
        <v>402</v>
      </c>
      <c r="C11" s="771"/>
      <c r="D11" s="426">
        <v>100</v>
      </c>
      <c r="E11" s="771"/>
      <c r="F11" s="426" t="e">
        <f>LOOKUP(E11,75:75,76:76)-LOOKUP(C11,75:75,76:76)+100</f>
        <v>#N/A</v>
      </c>
      <c r="G11" s="772"/>
      <c r="H11" s="426" t="e">
        <f>LOOKUP(G11,75:75,76:76)-LOOKUP(C11,75:75,76:76)+100</f>
        <v>#N/A</v>
      </c>
      <c r="I11" s="771"/>
      <c r="J11" s="426" t="e">
        <f>LOOKUP(I11,75:75,76:76)-LOOKUP(C11,75:75,76:76)+100</f>
        <v>#N/A</v>
      </c>
      <c r="K11" s="1079"/>
      <c r="L11" s="2352"/>
      <c r="M11" s="2345"/>
      <c r="N11" s="2345"/>
      <c r="O11" s="2353"/>
      <c r="P11" s="3673"/>
      <c r="Q11" s="296" t="str">
        <f t="shared" si="6"/>
        <v>容积率</v>
      </c>
      <c r="R11" s="1316" t="s">
        <v>65</v>
      </c>
      <c r="S11" s="1317" t="e">
        <f t="shared" si="0"/>
        <v>#N/A</v>
      </c>
      <c r="T11" s="1316" t="s">
        <v>65</v>
      </c>
      <c r="U11" s="1317" t="e">
        <f t="shared" si="1"/>
        <v>#N/A</v>
      </c>
      <c r="V11" s="1316" t="s">
        <v>65</v>
      </c>
      <c r="W11" s="1317" t="e">
        <f t="shared" si="2"/>
        <v>#N/A</v>
      </c>
      <c r="X11" s="1318"/>
      <c r="Y11" s="3634"/>
      <c r="Z11" s="344" t="str">
        <f t="shared" si="7"/>
        <v>容积率</v>
      </c>
      <c r="AA11" s="1319" t="e">
        <f t="shared" si="3"/>
        <v>#N/A</v>
      </c>
      <c r="AB11" s="1319" t="e">
        <f t="shared" si="4"/>
        <v>#N/A</v>
      </c>
      <c r="AC11" s="1319" t="e">
        <f t="shared" si="5"/>
        <v>#N/A</v>
      </c>
    </row>
    <row r="12" spans="1:29" s="407" customFormat="1" ht="15">
      <c r="A12" s="773"/>
      <c r="B12" s="1028">
        <v>111</v>
      </c>
      <c r="C12" s="1021"/>
      <c r="D12" s="775">
        <v>100</v>
      </c>
      <c r="E12" s="126"/>
      <c r="F12" s="426">
        <f>SUMIF(77:77,E12,78:78)-SUMIF(77:77,C12,78:78)+100</f>
        <v>100</v>
      </c>
      <c r="G12" s="203"/>
      <c r="H12" s="426">
        <f>SUMIF(77:77,G12,78:78)-SUMIF(77:77,C12,78:78)+100</f>
        <v>100</v>
      </c>
      <c r="I12" s="126"/>
      <c r="J12" s="426">
        <f>SUMIF(77:77,I12,78:78)-SUMIF(77:77,C12,78:78)+100</f>
        <v>100</v>
      </c>
      <c r="K12" s="1078"/>
      <c r="L12" s="2346"/>
      <c r="M12" s="2347"/>
      <c r="N12" s="2347"/>
      <c r="O12" s="2348"/>
      <c r="P12" s="3673"/>
      <c r="Q12" s="296">
        <f t="shared" si="6"/>
        <v>111</v>
      </c>
      <c r="R12" s="1316" t="s">
        <v>65</v>
      </c>
      <c r="S12" s="1317">
        <f t="shared" si="0"/>
        <v>100</v>
      </c>
      <c r="T12" s="1316" t="s">
        <v>65</v>
      </c>
      <c r="U12" s="1317">
        <f t="shared" si="1"/>
        <v>100</v>
      </c>
      <c r="V12" s="1316" t="s">
        <v>65</v>
      </c>
      <c r="W12" s="1317">
        <f t="shared" si="2"/>
        <v>100</v>
      </c>
      <c r="X12" s="1318"/>
      <c r="Y12" s="3634"/>
      <c r="Z12" s="344">
        <f t="shared" si="7"/>
        <v>111</v>
      </c>
      <c r="AA12" s="1319">
        <f>D12/F12</f>
        <v>1</v>
      </c>
      <c r="AB12" s="1319">
        <f>D12/H12</f>
        <v>1</v>
      </c>
      <c r="AC12" s="1319">
        <f>D12/J12</f>
        <v>1</v>
      </c>
    </row>
    <row r="13" spans="1:29" ht="15">
      <c r="A13" s="770"/>
      <c r="B13" s="1028">
        <v>111</v>
      </c>
      <c r="C13" s="93"/>
      <c r="D13" s="777">
        <v>100</v>
      </c>
      <c r="E13" s="126"/>
      <c r="F13" s="426">
        <f>SUMIF(79:79,E13,80:80)-SUMIF(79:79,C13,80:80)+100</f>
        <v>100</v>
      </c>
      <c r="G13" s="203"/>
      <c r="H13" s="777">
        <f>SUMIF(79:79,G13,80:80)-SUMIF(79:79,C13,80:80)+100</f>
        <v>100</v>
      </c>
      <c r="I13" s="126"/>
      <c r="J13" s="777">
        <f>SUMIF(79:79,I13,80:80)-SUMIF(79:79,C13,80:80)+100</f>
        <v>100</v>
      </c>
      <c r="K13" s="1078"/>
      <c r="L13" s="2354"/>
      <c r="M13" s="2345"/>
      <c r="N13" s="2345"/>
      <c r="O13" s="2353"/>
      <c r="P13" s="3673"/>
      <c r="Q13" s="296">
        <f t="shared" si="6"/>
        <v>111</v>
      </c>
      <c r="R13" s="1316" t="s">
        <v>65</v>
      </c>
      <c r="S13" s="1317">
        <f t="shared" si="0"/>
        <v>100</v>
      </c>
      <c r="T13" s="1316" t="s">
        <v>65</v>
      </c>
      <c r="U13" s="1317">
        <f t="shared" si="1"/>
        <v>100</v>
      </c>
      <c r="V13" s="1316" t="s">
        <v>65</v>
      </c>
      <c r="W13" s="1317">
        <f t="shared" si="2"/>
        <v>100</v>
      </c>
      <c r="X13" s="1318"/>
      <c r="Y13" s="3634"/>
      <c r="Z13" s="344">
        <f t="shared" si="7"/>
        <v>111</v>
      </c>
      <c r="AA13" s="1319">
        <f t="shared" si="3"/>
        <v>1</v>
      </c>
      <c r="AB13" s="1319">
        <f t="shared" si="4"/>
        <v>1</v>
      </c>
      <c r="AC13" s="1319">
        <f t="shared" si="5"/>
        <v>1</v>
      </c>
    </row>
    <row r="14" spans="1:29" ht="15.75" thickBot="1">
      <c r="A14" s="778"/>
      <c r="B14" s="1029">
        <v>111</v>
      </c>
      <c r="C14" s="94"/>
      <c r="D14" s="780">
        <v>100</v>
      </c>
      <c r="E14" s="126"/>
      <c r="F14" s="780">
        <f>SUMIF(81:81,E14,82:82)-SUMIF(81:81,C14,82:82)+100</f>
        <v>100</v>
      </c>
      <c r="G14" s="203"/>
      <c r="H14" s="780">
        <f>SUMIF(81:81,G14,82:82)-SUMIF(81:81,C14,82:82)+100</f>
        <v>100</v>
      </c>
      <c r="I14" s="126"/>
      <c r="J14" s="780">
        <f>SUMIF(81:81,I14,82:82)-SUMIF(81:81,C14,82:82)+100</f>
        <v>100</v>
      </c>
      <c r="K14" s="1078"/>
      <c r="L14" s="2354"/>
      <c r="M14" s="2345"/>
      <c r="N14" s="2345"/>
      <c r="O14" s="2353"/>
      <c r="P14" s="3673"/>
      <c r="Q14" s="296">
        <f t="shared" si="6"/>
        <v>111</v>
      </c>
      <c r="R14" s="1316" t="s">
        <v>65</v>
      </c>
      <c r="S14" s="1317">
        <f t="shared" si="0"/>
        <v>100</v>
      </c>
      <c r="T14" s="1316" t="s">
        <v>65</v>
      </c>
      <c r="U14" s="1317">
        <f t="shared" si="1"/>
        <v>100</v>
      </c>
      <c r="V14" s="1316" t="s">
        <v>65</v>
      </c>
      <c r="W14" s="1317">
        <f t="shared" si="2"/>
        <v>100</v>
      </c>
      <c r="X14" s="1318"/>
      <c r="Y14" s="3634"/>
      <c r="Z14" s="344">
        <f t="shared" si="7"/>
        <v>111</v>
      </c>
      <c r="AA14" s="1319">
        <f t="shared" si="3"/>
        <v>1</v>
      </c>
      <c r="AB14" s="1319">
        <f t="shared" si="4"/>
        <v>1</v>
      </c>
      <c r="AC14" s="1319">
        <f t="shared" si="5"/>
        <v>1</v>
      </c>
    </row>
    <row r="15" spans="1:29" ht="67.5">
      <c r="A15" s="782" t="s">
        <v>403</v>
      </c>
      <c r="B15" s="969"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79"/>
      <c r="L15" s="2354"/>
      <c r="M15" s="2345"/>
      <c r="N15" s="2345"/>
      <c r="O15" s="2353"/>
      <c r="P15" s="3688" t="s">
        <v>404</v>
      </c>
      <c r="Q15" s="1320" t="str">
        <f t="shared" si="6"/>
        <v>产业集聚程度</v>
      </c>
      <c r="R15" s="1321" t="s">
        <v>65</v>
      </c>
      <c r="S15" s="1322">
        <f t="shared" si="0"/>
        <v>100</v>
      </c>
      <c r="T15" s="1321" t="s">
        <v>65</v>
      </c>
      <c r="U15" s="1322">
        <f t="shared" si="1"/>
        <v>100</v>
      </c>
      <c r="V15" s="1321" t="s">
        <v>65</v>
      </c>
      <c r="W15" s="1322">
        <f t="shared" si="2"/>
        <v>100</v>
      </c>
      <c r="X15" s="1315"/>
      <c r="Y15" s="3688" t="s">
        <v>404</v>
      </c>
      <c r="Z15" s="1323" t="str">
        <f t="shared" si="7"/>
        <v>产业集聚程度</v>
      </c>
      <c r="AA15" s="1324">
        <f t="shared" si="3"/>
        <v>1</v>
      </c>
      <c r="AB15" s="1324">
        <f t="shared" si="4"/>
        <v>1</v>
      </c>
      <c r="AC15" s="1324">
        <f t="shared" si="5"/>
        <v>1</v>
      </c>
    </row>
    <row r="16" spans="1:29" ht="15">
      <c r="A16" s="770"/>
      <c r="B16" s="970"/>
      <c r="C16" s="97"/>
      <c r="D16" s="790"/>
      <c r="E16" s="192"/>
      <c r="F16" s="790"/>
      <c r="G16" s="192"/>
      <c r="H16" s="792"/>
      <c r="I16" s="192"/>
      <c r="J16" s="790"/>
      <c r="K16" s="1078"/>
      <c r="L16" s="2354"/>
      <c r="M16" s="2345"/>
      <c r="N16" s="2345"/>
      <c r="O16" s="2353"/>
      <c r="P16" s="3689"/>
      <c r="Q16" s="1320"/>
      <c r="R16" s="1321"/>
      <c r="S16" s="1322"/>
      <c r="T16" s="1321"/>
      <c r="U16" s="1322"/>
      <c r="V16" s="1321"/>
      <c r="W16" s="1322"/>
      <c r="X16" s="1315"/>
      <c r="Y16" s="3689"/>
      <c r="Z16" s="1323"/>
      <c r="AA16" s="1324">
        <v>1</v>
      </c>
      <c r="AB16" s="1324">
        <v>1</v>
      </c>
      <c r="AC16" s="1324">
        <v>1</v>
      </c>
    </row>
    <row r="17" spans="1:29" ht="94.5">
      <c r="A17" s="770"/>
      <c r="B17" s="971"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79"/>
      <c r="L17" s="2354"/>
      <c r="M17" s="2345"/>
      <c r="N17" s="2345"/>
      <c r="O17" s="2353"/>
      <c r="P17" s="3689"/>
      <c r="Q17" s="1320" t="str">
        <f>B17</f>
        <v>交通便捷度</v>
      </c>
      <c r="R17" s="1321" t="s">
        <v>65</v>
      </c>
      <c r="S17" s="1322">
        <f>F17</f>
        <v>100</v>
      </c>
      <c r="T17" s="1321" t="s">
        <v>65</v>
      </c>
      <c r="U17" s="1322">
        <f>H17</f>
        <v>100</v>
      </c>
      <c r="V17" s="1321" t="s">
        <v>65</v>
      </c>
      <c r="W17" s="1322">
        <f>J17</f>
        <v>100</v>
      </c>
      <c r="X17" s="1315"/>
      <c r="Y17" s="3689"/>
      <c r="Z17" s="1323" t="str">
        <f>Q17</f>
        <v>交通便捷度</v>
      </c>
      <c r="AA17" s="1324">
        <f t="shared" si="3"/>
        <v>1</v>
      </c>
      <c r="AB17" s="1324">
        <f t="shared" si="4"/>
        <v>1</v>
      </c>
      <c r="AC17" s="1324">
        <f t="shared" si="5"/>
        <v>1</v>
      </c>
    </row>
    <row r="18" spans="1:29" ht="15">
      <c r="A18" s="770"/>
      <c r="B18" s="972"/>
      <c r="C18" s="97"/>
      <c r="D18" s="790"/>
      <c r="E18" s="98"/>
      <c r="F18" s="790"/>
      <c r="G18" s="98"/>
      <c r="H18" s="790"/>
      <c r="I18" s="99"/>
      <c r="J18" s="790"/>
      <c r="K18" s="1078"/>
      <c r="L18" s="2354"/>
      <c r="M18" s="2345"/>
      <c r="N18" s="2345"/>
      <c r="O18" s="2353"/>
      <c r="P18" s="3689"/>
      <c r="Q18" s="1320"/>
      <c r="R18" s="1321"/>
      <c r="S18" s="1322"/>
      <c r="T18" s="1321"/>
      <c r="U18" s="1322"/>
      <c r="V18" s="1321"/>
      <c r="W18" s="1322"/>
      <c r="X18" s="1315"/>
      <c r="Y18" s="3689"/>
      <c r="Z18" s="1323"/>
      <c r="AA18" s="1324">
        <v>1</v>
      </c>
      <c r="AB18" s="1324">
        <v>1</v>
      </c>
      <c r="AC18" s="1324">
        <v>1</v>
      </c>
    </row>
    <row r="19" spans="1:29" ht="27">
      <c r="A19" s="770"/>
      <c r="B19" s="971" t="s">
        <v>1843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79"/>
      <c r="L19" s="2354"/>
      <c r="M19" s="2345"/>
      <c r="N19" s="2345"/>
      <c r="O19" s="2353"/>
      <c r="P19" s="3689"/>
      <c r="Q19" s="1320" t="str">
        <f t="shared" ref="Q19:Q33" si="8">B19</f>
        <v>区域土地利用方向</v>
      </c>
      <c r="R19" s="1321" t="s">
        <v>65</v>
      </c>
      <c r="S19" s="1322">
        <f>F19</f>
        <v>100</v>
      </c>
      <c r="T19" s="1321" t="s">
        <v>65</v>
      </c>
      <c r="U19" s="1322">
        <f>H19</f>
        <v>100</v>
      </c>
      <c r="V19" s="1321" t="s">
        <v>65</v>
      </c>
      <c r="W19" s="1322">
        <f>J19</f>
        <v>100</v>
      </c>
      <c r="X19" s="1315"/>
      <c r="Y19" s="3689"/>
      <c r="Z19" s="1323" t="str">
        <f>Q19</f>
        <v>区域土地利用方向</v>
      </c>
      <c r="AA19" s="1324">
        <f t="shared" si="3"/>
        <v>1</v>
      </c>
      <c r="AB19" s="1324">
        <f t="shared" si="4"/>
        <v>1</v>
      </c>
      <c r="AC19" s="1324">
        <f t="shared" si="5"/>
        <v>1</v>
      </c>
    </row>
    <row r="20" spans="1:29" ht="15">
      <c r="A20" s="746"/>
      <c r="B20" s="972"/>
      <c r="C20" s="97"/>
      <c r="D20" s="790"/>
      <c r="E20" s="98"/>
      <c r="F20" s="790"/>
      <c r="G20" s="98"/>
      <c r="H20" s="790"/>
      <c r="I20" s="98"/>
      <c r="J20" s="790"/>
      <c r="K20" s="1482"/>
      <c r="L20" s="2354"/>
      <c r="M20" s="2345"/>
      <c r="N20" s="2345"/>
      <c r="O20" s="2353"/>
      <c r="P20" s="3689"/>
      <c r="Q20" s="1466"/>
      <c r="R20" s="1321"/>
      <c r="S20" s="1322"/>
      <c r="T20" s="1321"/>
      <c r="U20" s="1322"/>
      <c r="V20" s="1321"/>
      <c r="W20" s="1322"/>
      <c r="X20" s="1465"/>
      <c r="Y20" s="3689"/>
      <c r="Z20" s="1467"/>
      <c r="AA20" s="1324"/>
      <c r="AB20" s="1324"/>
      <c r="AC20" s="1324"/>
    </row>
    <row r="21" spans="1:29" ht="81">
      <c r="A21" s="746"/>
      <c r="B21" s="971"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79"/>
      <c r="L21" s="2354"/>
      <c r="M21" s="2345"/>
      <c r="N21" s="2345"/>
      <c r="O21" s="2353"/>
      <c r="P21" s="3689"/>
      <c r="Q21" s="1320" t="str">
        <f t="shared" si="8"/>
        <v>环境状况</v>
      </c>
      <c r="R21" s="1321" t="s">
        <v>65</v>
      </c>
      <c r="S21" s="1322">
        <f>F21</f>
        <v>100</v>
      </c>
      <c r="T21" s="1321" t="s">
        <v>65</v>
      </c>
      <c r="U21" s="1322">
        <f>H21</f>
        <v>100</v>
      </c>
      <c r="V21" s="1321" t="s">
        <v>65</v>
      </c>
      <c r="W21" s="1322">
        <f>J21</f>
        <v>100</v>
      </c>
      <c r="X21" s="1315"/>
      <c r="Y21" s="3689"/>
      <c r="Z21" s="1323" t="str">
        <f>Q21</f>
        <v>环境状况</v>
      </c>
      <c r="AA21" s="1324">
        <f t="shared" si="3"/>
        <v>1</v>
      </c>
      <c r="AB21" s="1324">
        <f t="shared" si="4"/>
        <v>1</v>
      </c>
      <c r="AC21" s="1324">
        <f t="shared" si="5"/>
        <v>1</v>
      </c>
    </row>
    <row r="22" spans="1:29" ht="15">
      <c r="A22" s="746"/>
      <c r="B22" s="972"/>
      <c r="C22" s="97"/>
      <c r="D22" s="790"/>
      <c r="E22" s="192"/>
      <c r="F22" s="790"/>
      <c r="G22" s="192"/>
      <c r="H22" s="790"/>
      <c r="I22" s="97"/>
      <c r="J22" s="790"/>
      <c r="K22" s="1078"/>
      <c r="L22" s="2354"/>
      <c r="M22" s="2345"/>
      <c r="N22" s="2345"/>
      <c r="O22" s="2353"/>
      <c r="P22" s="3689"/>
      <c r="Q22" s="1320"/>
      <c r="R22" s="1321"/>
      <c r="S22" s="1322"/>
      <c r="T22" s="1321"/>
      <c r="U22" s="1322"/>
      <c r="V22" s="1321"/>
      <c r="W22" s="1322"/>
      <c r="X22" s="1315"/>
      <c r="Y22" s="3689"/>
      <c r="Z22" s="1323"/>
      <c r="AA22" s="1324">
        <v>1</v>
      </c>
      <c r="AB22" s="1324">
        <v>1</v>
      </c>
      <c r="AC22" s="1324">
        <v>1</v>
      </c>
    </row>
    <row r="23" spans="1:29" s="407" customFormat="1" ht="40.5">
      <c r="A23" s="989"/>
      <c r="B23" s="1033" t="s">
        <v>2664</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79"/>
      <c r="L23" s="2346"/>
      <c r="M23" s="2347"/>
      <c r="N23" s="2347"/>
      <c r="O23" s="2348"/>
      <c r="P23" s="3689"/>
      <c r="Q23" s="296" t="str">
        <f t="shared" si="8"/>
        <v>公共配套设施</v>
      </c>
      <c r="R23" s="1316" t="s">
        <v>65</v>
      </c>
      <c r="S23" s="1317">
        <f>F23</f>
        <v>100</v>
      </c>
      <c r="T23" s="1316" t="s">
        <v>65</v>
      </c>
      <c r="U23" s="1317">
        <f>H23</f>
        <v>100</v>
      </c>
      <c r="V23" s="1316" t="s">
        <v>65</v>
      </c>
      <c r="W23" s="1317">
        <f>J23</f>
        <v>100</v>
      </c>
      <c r="X23" s="1318"/>
      <c r="Y23" s="3689"/>
      <c r="Z23" s="344" t="str">
        <f>Q23</f>
        <v>公共配套设施</v>
      </c>
      <c r="AA23" s="1324">
        <f>D23/F23</f>
        <v>1</v>
      </c>
      <c r="AB23" s="1324">
        <f>D23/H23</f>
        <v>1</v>
      </c>
      <c r="AC23" s="1324">
        <f>D23/J23</f>
        <v>1</v>
      </c>
    </row>
    <row r="24" spans="1:29" s="407" customFormat="1" ht="15">
      <c r="A24" s="989"/>
      <c r="B24" s="972"/>
      <c r="C24" s="2771"/>
      <c r="D24" s="790"/>
      <c r="E24" s="192"/>
      <c r="F24" s="790"/>
      <c r="G24" s="192"/>
      <c r="H24" s="790"/>
      <c r="I24" s="97"/>
      <c r="J24" s="790"/>
      <c r="K24" s="1078"/>
      <c r="L24" s="2346"/>
      <c r="M24" s="2347"/>
      <c r="N24" s="2347"/>
      <c r="O24" s="2348"/>
      <c r="P24" s="3689"/>
      <c r="Q24" s="296"/>
      <c r="R24" s="1316"/>
      <c r="S24" s="1317"/>
      <c r="T24" s="1316"/>
      <c r="U24" s="1317"/>
      <c r="V24" s="1316"/>
      <c r="W24" s="1317"/>
      <c r="X24" s="1318"/>
      <c r="Y24" s="3689"/>
      <c r="Z24" s="344"/>
      <c r="AA24" s="1319">
        <v>1</v>
      </c>
      <c r="AB24" s="1319">
        <v>1</v>
      </c>
      <c r="AC24" s="1319">
        <v>1</v>
      </c>
    </row>
    <row r="25" spans="1:29" s="407" customFormat="1" ht="40.5">
      <c r="A25" s="989"/>
      <c r="B25" s="1033" t="s">
        <v>2665</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79"/>
      <c r="L25" s="2346"/>
      <c r="M25" s="2347"/>
      <c r="N25" s="2347"/>
      <c r="O25" s="2348"/>
      <c r="P25" s="3689"/>
      <c r="Q25" s="2740" t="str">
        <f t="shared" ref="Q25" si="9">B25</f>
        <v>基础设施水平</v>
      </c>
      <c r="R25" s="1316" t="s">
        <v>65</v>
      </c>
      <c r="S25" s="1317">
        <f>F25</f>
        <v>100</v>
      </c>
      <c r="T25" s="1316" t="s">
        <v>65</v>
      </c>
      <c r="U25" s="1317">
        <f>H25</f>
        <v>100</v>
      </c>
      <c r="V25" s="1316" t="s">
        <v>65</v>
      </c>
      <c r="W25" s="1317">
        <f>J25</f>
        <v>100</v>
      </c>
      <c r="X25" s="1318"/>
      <c r="Y25" s="3689"/>
      <c r="Z25" s="344" t="str">
        <f>Q25</f>
        <v>基础设施水平</v>
      </c>
      <c r="AA25" s="1324">
        <f>D25/F25</f>
        <v>1</v>
      </c>
      <c r="AB25" s="1324">
        <f>D25/H25</f>
        <v>1</v>
      </c>
      <c r="AC25" s="1324">
        <f>D25/J25</f>
        <v>1</v>
      </c>
    </row>
    <row r="26" spans="1:29" s="407" customFormat="1" ht="15">
      <c r="A26" s="989"/>
      <c r="B26" s="972"/>
      <c r="C26" s="2771"/>
      <c r="D26" s="790"/>
      <c r="E26" s="1034"/>
      <c r="F26" s="790"/>
      <c r="G26" s="1034"/>
      <c r="H26" s="790"/>
      <c r="I26" s="1034"/>
      <c r="J26" s="790"/>
      <c r="K26" s="1078"/>
      <c r="L26" s="2346"/>
      <c r="M26" s="2347"/>
      <c r="N26" s="2347"/>
      <c r="O26" s="2348"/>
      <c r="P26" s="3689"/>
      <c r="Q26" s="2740"/>
      <c r="R26" s="1316"/>
      <c r="S26" s="1317"/>
      <c r="T26" s="1316"/>
      <c r="U26" s="1317"/>
      <c r="V26" s="1316"/>
      <c r="W26" s="1317"/>
      <c r="X26" s="1318"/>
      <c r="Y26" s="3689"/>
      <c r="Z26" s="344"/>
      <c r="AA26" s="1319">
        <v>1</v>
      </c>
      <c r="AB26" s="1319">
        <v>1</v>
      </c>
      <c r="AC26" s="1319">
        <v>1</v>
      </c>
    </row>
    <row r="27" spans="1:29" ht="15">
      <c r="A27" s="770"/>
      <c r="B27" s="972" t="s">
        <v>434</v>
      </c>
      <c r="C27" s="182"/>
      <c r="D27" s="777">
        <v>100</v>
      </c>
      <c r="E27" s="195"/>
      <c r="F27" s="777">
        <f>SUMIF(95:95,E27,96:96)-SUMIF(95:95,C27,96:96)+100</f>
        <v>100</v>
      </c>
      <c r="G27" s="195"/>
      <c r="H27" s="777">
        <f>SUMIF(95:95,G27,96:96)-SUMIF(95:95,C27,96:96)+100</f>
        <v>100</v>
      </c>
      <c r="I27" s="195"/>
      <c r="J27" s="777">
        <f>SUMIF(95:95,I27,96:96)-SUMIF(95:95,C27,96:96)+100</f>
        <v>100</v>
      </c>
      <c r="K27" s="1079"/>
      <c r="L27" s="2354"/>
      <c r="M27" s="2345"/>
      <c r="N27" s="2345"/>
      <c r="O27" s="2353"/>
      <c r="P27" s="3689"/>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89"/>
      <c r="Z27" s="1323" t="str">
        <f t="shared" ref="Z27:Z40" si="13">Q27</f>
        <v>临街状况</v>
      </c>
      <c r="AA27" s="1324">
        <f t="shared" si="3"/>
        <v>1</v>
      </c>
      <c r="AB27" s="1324">
        <f t="shared" si="4"/>
        <v>1</v>
      </c>
      <c r="AC27" s="1324">
        <f t="shared" si="5"/>
        <v>1</v>
      </c>
    </row>
    <row r="28" spans="1:29" ht="27">
      <c r="A28" s="770"/>
      <c r="B28" s="973" t="s">
        <v>439</v>
      </c>
      <c r="C28" s="2772">
        <f>估价对象房地状况!G22</f>
        <v>0</v>
      </c>
      <c r="D28" s="792">
        <v>100</v>
      </c>
      <c r="E28" s="100"/>
      <c r="F28" s="792">
        <f>SUMIF(97:97,E29,98:98)-SUMIF(97:97,C29,98:98)+100</f>
        <v>100</v>
      </c>
      <c r="G28" s="100"/>
      <c r="H28" s="792">
        <f>SUMIF(97:97,G29,98:98)-SUMIF(97:97,C29,98:98)+100</f>
        <v>100</v>
      </c>
      <c r="I28" s="101"/>
      <c r="J28" s="792">
        <f>SUMIF(97:97,I29,98:98)-SUMIF(97:97,C29,98:98)+100</f>
        <v>100</v>
      </c>
      <c r="K28" s="1079"/>
      <c r="L28" s="2354"/>
      <c r="M28" s="2345"/>
      <c r="N28" s="2345"/>
      <c r="O28" s="2353"/>
      <c r="P28" s="3689"/>
      <c r="Q28" s="1320" t="str">
        <f t="shared" si="8"/>
        <v>毗邻道路的类型与等级</v>
      </c>
      <c r="R28" s="1321" t="s">
        <v>65</v>
      </c>
      <c r="S28" s="1322">
        <f t="shared" si="10"/>
        <v>100</v>
      </c>
      <c r="T28" s="1321" t="s">
        <v>65</v>
      </c>
      <c r="U28" s="1322">
        <f t="shared" si="11"/>
        <v>100</v>
      </c>
      <c r="V28" s="1321" t="s">
        <v>65</v>
      </c>
      <c r="W28" s="1322">
        <f t="shared" si="12"/>
        <v>100</v>
      </c>
      <c r="X28" s="1315"/>
      <c r="Y28" s="3689"/>
      <c r="Z28" s="1323" t="str">
        <f t="shared" si="13"/>
        <v>毗邻道路的类型与等级</v>
      </c>
      <c r="AA28" s="1324">
        <f t="shared" si="3"/>
        <v>1</v>
      </c>
      <c r="AB28" s="1324">
        <f t="shared" si="4"/>
        <v>1</v>
      </c>
      <c r="AC28" s="1324">
        <f t="shared" si="5"/>
        <v>1</v>
      </c>
    </row>
    <row r="29" spans="1:29" ht="15">
      <c r="A29" s="770"/>
      <c r="B29" s="972"/>
      <c r="C29" s="97"/>
      <c r="D29" s="790"/>
      <c r="E29" s="192"/>
      <c r="F29" s="790"/>
      <c r="G29" s="192"/>
      <c r="H29" s="790"/>
      <c r="I29" s="192"/>
      <c r="J29" s="790"/>
      <c r="K29" s="953"/>
      <c r="L29" s="2354"/>
      <c r="M29" s="2345"/>
      <c r="N29" s="2345"/>
      <c r="O29" s="2353"/>
      <c r="P29" s="3689"/>
      <c r="Q29" s="1320"/>
      <c r="R29" s="1321"/>
      <c r="S29" s="1322"/>
      <c r="T29" s="1321"/>
      <c r="U29" s="1322"/>
      <c r="V29" s="1321"/>
      <c r="W29" s="1322"/>
      <c r="X29" s="1315"/>
      <c r="Y29" s="3689"/>
      <c r="Z29" s="1323"/>
      <c r="AA29" s="1324">
        <v>1</v>
      </c>
      <c r="AB29" s="1324">
        <v>1</v>
      </c>
      <c r="AC29" s="1324">
        <v>1</v>
      </c>
    </row>
    <row r="30" spans="1:29" ht="15">
      <c r="A30" s="770"/>
      <c r="B30" s="994" t="s">
        <v>482</v>
      </c>
      <c r="C30" s="2773">
        <f>估价对象房地状况!G23</f>
        <v>0</v>
      </c>
      <c r="D30" s="777">
        <v>100</v>
      </c>
      <c r="E30" s="974"/>
      <c r="F30" s="777">
        <f>SUMIF(99:99,E30,100:100)-SUMIF(99:99,C30,100:100)+100</f>
        <v>100</v>
      </c>
      <c r="G30" s="974"/>
      <c r="H30" s="777">
        <f>SUMIF(99:99,G30,100:100)-SUMIF(99:99,C30,100:100)+100</f>
        <v>100</v>
      </c>
      <c r="I30" s="974"/>
      <c r="J30" s="777">
        <f>SUMIF(99:99,I30,100:100)-SUMIF(99:99,C30,100:100)+100</f>
        <v>100</v>
      </c>
      <c r="K30" s="952"/>
      <c r="L30" s="2354"/>
      <c r="M30" s="2345"/>
      <c r="N30" s="2345"/>
      <c r="O30" s="2353"/>
      <c r="P30" s="3689"/>
      <c r="Q30" s="1320" t="str">
        <f t="shared" si="8"/>
        <v>土地级别</v>
      </c>
      <c r="R30" s="1321" t="s">
        <v>65</v>
      </c>
      <c r="S30" s="1322">
        <f t="shared" si="10"/>
        <v>100</v>
      </c>
      <c r="T30" s="1321" t="s">
        <v>65</v>
      </c>
      <c r="U30" s="1322">
        <f t="shared" si="11"/>
        <v>100</v>
      </c>
      <c r="V30" s="1321" t="s">
        <v>65</v>
      </c>
      <c r="W30" s="1322">
        <f t="shared" si="12"/>
        <v>100</v>
      </c>
      <c r="X30" s="1315"/>
      <c r="Y30" s="3689"/>
      <c r="Z30" s="1323" t="str">
        <f t="shared" si="13"/>
        <v>土地级别</v>
      </c>
      <c r="AA30" s="1324">
        <f t="shared" si="3"/>
        <v>1</v>
      </c>
      <c r="AB30" s="1324">
        <f t="shared" si="4"/>
        <v>1</v>
      </c>
      <c r="AC30" s="1324">
        <f t="shared" si="5"/>
        <v>1</v>
      </c>
    </row>
    <row r="31" spans="1:29" ht="15">
      <c r="A31" s="746"/>
      <c r="B31" s="1035">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3"/>
      <c r="L31" s="2354"/>
      <c r="M31" s="2345"/>
      <c r="N31" s="2345"/>
      <c r="O31" s="2353"/>
      <c r="P31" s="3689"/>
      <c r="Q31" s="1320">
        <f t="shared" si="8"/>
        <v>111</v>
      </c>
      <c r="R31" s="1321" t="s">
        <v>65</v>
      </c>
      <c r="S31" s="1322">
        <f t="shared" si="10"/>
        <v>100</v>
      </c>
      <c r="T31" s="1321" t="s">
        <v>65</v>
      </c>
      <c r="U31" s="1322">
        <f t="shared" si="11"/>
        <v>100</v>
      </c>
      <c r="V31" s="1321" t="s">
        <v>65</v>
      </c>
      <c r="W31" s="1322">
        <f t="shared" si="12"/>
        <v>100</v>
      </c>
      <c r="X31" s="1315"/>
      <c r="Y31" s="3689"/>
      <c r="Z31" s="1323">
        <f t="shared" si="13"/>
        <v>111</v>
      </c>
      <c r="AA31" s="1324">
        <f t="shared" si="3"/>
        <v>1</v>
      </c>
      <c r="AB31" s="1324">
        <f t="shared" si="4"/>
        <v>1</v>
      </c>
      <c r="AC31" s="1324">
        <f t="shared" si="5"/>
        <v>1</v>
      </c>
    </row>
    <row r="32" spans="1:29" ht="15">
      <c r="A32" s="1081"/>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3"/>
      <c r="L32" s="2354"/>
      <c r="M32" s="2345"/>
      <c r="N32" s="2345"/>
      <c r="O32" s="2353"/>
      <c r="P32" s="3690" t="s">
        <v>406</v>
      </c>
      <c r="Q32" s="1320">
        <f t="shared" si="8"/>
        <v>111</v>
      </c>
      <c r="R32" s="1321" t="s">
        <v>65</v>
      </c>
      <c r="S32" s="1322">
        <f t="shared" si="10"/>
        <v>100</v>
      </c>
      <c r="T32" s="1321" t="s">
        <v>65</v>
      </c>
      <c r="U32" s="1322">
        <f t="shared" si="11"/>
        <v>100</v>
      </c>
      <c r="V32" s="1321" t="s">
        <v>65</v>
      </c>
      <c r="W32" s="1322">
        <f t="shared" si="12"/>
        <v>100</v>
      </c>
      <c r="X32" s="1315"/>
      <c r="Y32" s="3691" t="s">
        <v>406</v>
      </c>
      <c r="Z32" s="1323">
        <f t="shared" si="13"/>
        <v>111</v>
      </c>
      <c r="AA32" s="1324">
        <f t="shared" si="3"/>
        <v>1</v>
      </c>
      <c r="AB32" s="1324">
        <f t="shared" si="4"/>
        <v>1</v>
      </c>
      <c r="AC32" s="1324">
        <f t="shared" si="5"/>
        <v>1</v>
      </c>
    </row>
    <row r="33" spans="1:29" s="811" customFormat="1" ht="15.75" thickBot="1">
      <c r="A33" s="1082"/>
      <c r="B33" s="3290">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3"/>
      <c r="L33" s="2352"/>
      <c r="M33" s="2355"/>
      <c r="N33" s="2355"/>
      <c r="O33" s="2356"/>
      <c r="P33" s="3691"/>
      <c r="Q33" s="1320">
        <f t="shared" si="8"/>
        <v>111</v>
      </c>
      <c r="R33" s="1326" t="s">
        <v>65</v>
      </c>
      <c r="S33" s="1327">
        <f t="shared" si="10"/>
        <v>100</v>
      </c>
      <c r="T33" s="1326" t="s">
        <v>65</v>
      </c>
      <c r="U33" s="1327">
        <f t="shared" si="11"/>
        <v>100</v>
      </c>
      <c r="V33" s="1326" t="s">
        <v>65</v>
      </c>
      <c r="W33" s="1327">
        <f t="shared" si="12"/>
        <v>100</v>
      </c>
      <c r="X33" s="1328"/>
      <c r="Y33" s="3691"/>
      <c r="Z33" s="1329">
        <f t="shared" si="13"/>
        <v>111</v>
      </c>
      <c r="AA33" s="1324">
        <f t="shared" si="3"/>
        <v>1</v>
      </c>
      <c r="AB33" s="1324">
        <f t="shared" si="4"/>
        <v>1</v>
      </c>
      <c r="AC33" s="1324">
        <f t="shared" si="5"/>
        <v>1</v>
      </c>
    </row>
    <row r="34" spans="1:29" ht="15">
      <c r="A34" s="782" t="s">
        <v>2789</v>
      </c>
      <c r="B34" s="798" t="s">
        <v>483</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54"/>
      <c r="M34" s="2345"/>
      <c r="N34" s="2345"/>
      <c r="O34" s="2353"/>
      <c r="P34" s="3691"/>
      <c r="Q34" s="1320" t="str">
        <f>B34</f>
        <v>宗地面积</v>
      </c>
      <c r="R34" s="1321" t="s">
        <v>65</v>
      </c>
      <c r="S34" s="1322" t="e">
        <f t="shared" si="10"/>
        <v>#N/A</v>
      </c>
      <c r="T34" s="1321" t="s">
        <v>65</v>
      </c>
      <c r="U34" s="1322" t="e">
        <f t="shared" si="11"/>
        <v>#N/A</v>
      </c>
      <c r="V34" s="1321" t="s">
        <v>65</v>
      </c>
      <c r="W34" s="1322" t="e">
        <f t="shared" si="12"/>
        <v>#N/A</v>
      </c>
      <c r="X34" s="1315"/>
      <c r="Y34" s="3691"/>
      <c r="Z34" s="1323" t="str">
        <f t="shared" si="13"/>
        <v>宗地面积</v>
      </c>
      <c r="AA34" s="1324" t="e">
        <f t="shared" si="3"/>
        <v>#N/A</v>
      </c>
      <c r="AB34" s="1324" t="e">
        <f t="shared" si="4"/>
        <v>#N/A</v>
      </c>
      <c r="AC34" s="1324" t="e">
        <f t="shared" si="5"/>
        <v>#N/A</v>
      </c>
    </row>
    <row r="35" spans="1:29" ht="15">
      <c r="A35" s="812"/>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2"/>
      <c r="L35" s="2354"/>
      <c r="M35" s="2345"/>
      <c r="N35" s="2345"/>
      <c r="O35" s="2353"/>
      <c r="P35" s="3691"/>
      <c r="Q35" s="1320" t="str">
        <f t="shared" ref="Q35:Q40" si="14">B35</f>
        <v>宗地形状</v>
      </c>
      <c r="R35" s="1321" t="s">
        <v>65</v>
      </c>
      <c r="S35" s="1322">
        <f t="shared" si="10"/>
        <v>100</v>
      </c>
      <c r="T35" s="1321" t="s">
        <v>65</v>
      </c>
      <c r="U35" s="1322">
        <f t="shared" si="11"/>
        <v>100</v>
      </c>
      <c r="V35" s="1321" t="s">
        <v>65</v>
      </c>
      <c r="W35" s="1322">
        <f t="shared" si="12"/>
        <v>100</v>
      </c>
      <c r="X35" s="1315"/>
      <c r="Y35" s="3691"/>
      <c r="Z35" s="1323" t="str">
        <f t="shared" si="13"/>
        <v>宗地形状</v>
      </c>
      <c r="AA35" s="1324">
        <f t="shared" si="3"/>
        <v>1</v>
      </c>
      <c r="AB35" s="1324">
        <f t="shared" si="4"/>
        <v>1</v>
      </c>
      <c r="AC35" s="1324">
        <f t="shared" si="5"/>
        <v>1</v>
      </c>
    </row>
    <row r="36" spans="1:29" s="407" customFormat="1" ht="15">
      <c r="A36" s="813"/>
      <c r="B36" s="2606" t="s">
        <v>2497</v>
      </c>
      <c r="C36" s="1039"/>
      <c r="D36" s="426">
        <v>100</v>
      </c>
      <c r="E36" s="1039"/>
      <c r="F36" s="777">
        <f>SUMIF(112:112,E36,113:113)-SUMIF(112:112,C36,113:113)+100</f>
        <v>100</v>
      </c>
      <c r="G36" s="1039"/>
      <c r="H36" s="777">
        <f>SUMIF(112:112,G36,113:113)-SUMIF(112:112,C36,113:113)+100</f>
        <v>100</v>
      </c>
      <c r="I36" s="1039"/>
      <c r="J36" s="777">
        <f>SUMIF(112:112,I36,113:113)-SUMIF(112:112,C36,113:113)+100</f>
        <v>100</v>
      </c>
      <c r="K36" s="952"/>
      <c r="L36" s="2346"/>
      <c r="M36" s="2347"/>
      <c r="N36" s="2347"/>
      <c r="O36" s="2348"/>
      <c r="P36" s="3691"/>
      <c r="Q36" s="1320" t="str">
        <f t="shared" si="14"/>
        <v>宗地开发程度</v>
      </c>
      <c r="R36" s="1316" t="s">
        <v>65</v>
      </c>
      <c r="S36" s="1317">
        <f t="shared" si="10"/>
        <v>100</v>
      </c>
      <c r="T36" s="1316" t="s">
        <v>65</v>
      </c>
      <c r="U36" s="1317">
        <f t="shared" si="11"/>
        <v>100</v>
      </c>
      <c r="V36" s="1316" t="s">
        <v>65</v>
      </c>
      <c r="W36" s="1317">
        <f t="shared" si="12"/>
        <v>100</v>
      </c>
      <c r="X36" s="1318"/>
      <c r="Y36" s="3691"/>
      <c r="Z36" s="344" t="str">
        <f t="shared" si="13"/>
        <v>宗地开发程度</v>
      </c>
      <c r="AA36" s="1319">
        <f t="shared" si="3"/>
        <v>1</v>
      </c>
      <c r="AB36" s="1319">
        <f t="shared" si="4"/>
        <v>1</v>
      </c>
      <c r="AC36" s="1319">
        <f t="shared" si="5"/>
        <v>1</v>
      </c>
    </row>
    <row r="37" spans="1:29" ht="15">
      <c r="A37" s="812"/>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2"/>
      <c r="L37" s="2354"/>
      <c r="M37" s="2345"/>
      <c r="N37" s="2345"/>
      <c r="O37" s="2353"/>
      <c r="P37" s="3691" t="s">
        <v>517</v>
      </c>
      <c r="Q37" s="1320" t="str">
        <f t="shared" si="14"/>
        <v>工程地质条件</v>
      </c>
      <c r="R37" s="1321" t="s">
        <v>65</v>
      </c>
      <c r="S37" s="1322">
        <f t="shared" si="10"/>
        <v>100</v>
      </c>
      <c r="T37" s="1321" t="s">
        <v>65</v>
      </c>
      <c r="U37" s="1322">
        <f t="shared" si="11"/>
        <v>100</v>
      </c>
      <c r="V37" s="1321" t="s">
        <v>65</v>
      </c>
      <c r="W37" s="1322">
        <f t="shared" si="12"/>
        <v>100</v>
      </c>
      <c r="X37" s="1315"/>
      <c r="Y37" s="3691" t="s">
        <v>517</v>
      </c>
      <c r="Z37" s="1323" t="str">
        <f t="shared" si="13"/>
        <v>工程地质条件</v>
      </c>
      <c r="AA37" s="1324">
        <f t="shared" si="3"/>
        <v>1</v>
      </c>
      <c r="AB37" s="1324">
        <f t="shared" si="4"/>
        <v>1</v>
      </c>
      <c r="AC37" s="1324">
        <f t="shared" si="5"/>
        <v>1</v>
      </c>
    </row>
    <row r="38" spans="1:29" ht="15">
      <c r="A38" s="812"/>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3"/>
      <c r="L38" s="2354"/>
      <c r="M38" s="2345"/>
      <c r="N38" s="2345"/>
      <c r="O38" s="2353"/>
      <c r="P38" s="3691"/>
      <c r="Q38" s="1320">
        <f t="shared" si="14"/>
        <v>111</v>
      </c>
      <c r="R38" s="1321" t="s">
        <v>65</v>
      </c>
      <c r="S38" s="1322">
        <f t="shared" si="10"/>
        <v>100</v>
      </c>
      <c r="T38" s="1321" t="s">
        <v>65</v>
      </c>
      <c r="U38" s="1322">
        <f t="shared" si="11"/>
        <v>100</v>
      </c>
      <c r="V38" s="1321" t="s">
        <v>65</v>
      </c>
      <c r="W38" s="1322">
        <f t="shared" si="12"/>
        <v>100</v>
      </c>
      <c r="X38" s="1315"/>
      <c r="Y38" s="3691"/>
      <c r="Z38" s="1323">
        <f t="shared" si="13"/>
        <v>111</v>
      </c>
      <c r="AA38" s="1324">
        <f t="shared" si="3"/>
        <v>1</v>
      </c>
      <c r="AB38" s="1324">
        <f t="shared" si="4"/>
        <v>1</v>
      </c>
      <c r="AC38" s="1324">
        <f t="shared" si="5"/>
        <v>1</v>
      </c>
    </row>
    <row r="39" spans="1:29" ht="15">
      <c r="A39" s="812"/>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3"/>
      <c r="L39" s="2354"/>
      <c r="M39" s="2345"/>
      <c r="N39" s="2345"/>
      <c r="O39" s="2353"/>
      <c r="P39" s="3691"/>
      <c r="Q39" s="1320">
        <f t="shared" si="14"/>
        <v>111</v>
      </c>
      <c r="R39" s="1321" t="s">
        <v>65</v>
      </c>
      <c r="S39" s="1322">
        <f t="shared" si="10"/>
        <v>100</v>
      </c>
      <c r="T39" s="1321" t="s">
        <v>65</v>
      </c>
      <c r="U39" s="1322">
        <f t="shared" si="11"/>
        <v>100</v>
      </c>
      <c r="V39" s="1321" t="s">
        <v>65</v>
      </c>
      <c r="W39" s="1322">
        <f t="shared" si="12"/>
        <v>100</v>
      </c>
      <c r="X39" s="1315"/>
      <c r="Y39" s="3691"/>
      <c r="Z39" s="1323">
        <f t="shared" si="13"/>
        <v>111</v>
      </c>
      <c r="AA39" s="1324">
        <f t="shared" si="3"/>
        <v>1</v>
      </c>
      <c r="AB39" s="1324">
        <f t="shared" si="4"/>
        <v>1</v>
      </c>
      <c r="AC39" s="1324">
        <f t="shared" si="5"/>
        <v>1</v>
      </c>
    </row>
    <row r="40" spans="1:29" s="811" customFormat="1" ht="15.75" thickBot="1">
      <c r="A40" s="808"/>
      <c r="B40" s="206">
        <v>111</v>
      </c>
      <c r="C40" s="1041"/>
      <c r="D40" s="427">
        <v>100</v>
      </c>
      <c r="E40" s="203"/>
      <c r="F40" s="780">
        <f>SUMIF(120:120,E40,121:121)-SUMIF(120:120,C40,121:121)+100</f>
        <v>100</v>
      </c>
      <c r="G40" s="203"/>
      <c r="H40" s="780">
        <f>SUMIF(120:120,G40,121:121)-SUMIF(120:120,C40,121:121)+100</f>
        <v>100</v>
      </c>
      <c r="I40" s="126"/>
      <c r="J40" s="780">
        <f>SUMIF(120:120,I40,121:121)-SUMIF(120:120,C40,121:121)+100</f>
        <v>100</v>
      </c>
      <c r="K40" s="1087"/>
      <c r="L40" s="2352"/>
      <c r="M40" s="2355"/>
      <c r="N40" s="2355"/>
      <c r="O40" s="2356"/>
      <c r="P40" s="3691"/>
      <c r="Q40" s="1320">
        <f t="shared" si="14"/>
        <v>111</v>
      </c>
      <c r="R40" s="1326" t="s">
        <v>65</v>
      </c>
      <c r="S40" s="1327">
        <f t="shared" si="10"/>
        <v>100</v>
      </c>
      <c r="T40" s="1326" t="s">
        <v>65</v>
      </c>
      <c r="U40" s="1327">
        <f t="shared" si="11"/>
        <v>100</v>
      </c>
      <c r="V40" s="1326" t="s">
        <v>65</v>
      </c>
      <c r="W40" s="1327">
        <f t="shared" si="12"/>
        <v>100</v>
      </c>
      <c r="X40" s="1328"/>
      <c r="Y40" s="3691"/>
      <c r="Z40" s="1329">
        <f t="shared" si="13"/>
        <v>111</v>
      </c>
      <c r="AA40" s="1324">
        <f t="shared" si="3"/>
        <v>1</v>
      </c>
      <c r="AB40" s="1324">
        <f t="shared" si="4"/>
        <v>1</v>
      </c>
      <c r="AC40" s="1324">
        <f t="shared" si="5"/>
        <v>1</v>
      </c>
    </row>
    <row r="41" spans="1:29" ht="15">
      <c r="A41" s="819" t="s">
        <v>487</v>
      </c>
      <c r="B41" s="207" t="s">
        <v>3019</v>
      </c>
      <c r="C41" s="1088" t="s">
        <v>23</v>
      </c>
      <c r="D41" s="821"/>
      <c r="E41" s="822"/>
      <c r="F41" s="823"/>
      <c r="G41" s="824"/>
      <c r="H41" s="825"/>
      <c r="I41" s="822"/>
      <c r="J41" s="825"/>
      <c r="K41" s="1396"/>
      <c r="L41" s="2357"/>
      <c r="M41" s="2345"/>
      <c r="N41" s="2345"/>
      <c r="O41" s="2358"/>
      <c r="P41" s="3673" t="str">
        <f>A41</f>
        <v>成交单价</v>
      </c>
      <c r="Q41" s="3673"/>
      <c r="R41" s="3686">
        <f>E41</f>
        <v>0</v>
      </c>
      <c r="S41" s="3686"/>
      <c r="T41" s="3686">
        <f>G41</f>
        <v>0</v>
      </c>
      <c r="U41" s="3686"/>
      <c r="V41" s="3686">
        <f>I41</f>
        <v>0</v>
      </c>
      <c r="W41" s="3686"/>
      <c r="X41" s="1304"/>
      <c r="Y41" s="1330"/>
      <c r="Z41" s="1304"/>
      <c r="AA41" s="1304"/>
      <c r="AB41" s="1304"/>
      <c r="AC41" s="1304"/>
    </row>
    <row r="42" spans="1:29" ht="15.75" thickBot="1">
      <c r="A42" s="826" t="s">
        <v>408</v>
      </c>
      <c r="B42" s="1089"/>
      <c r="C42" s="830" t="e">
        <f>R43</f>
        <v>#DIV/0!</v>
      </c>
      <c r="D42" s="829"/>
      <c r="E42" s="830" t="e">
        <f>R42</f>
        <v>#DIV/0!</v>
      </c>
      <c r="F42" s="831"/>
      <c r="G42" s="828" t="e">
        <f>T42</f>
        <v>#DIV/0!</v>
      </c>
      <c r="H42" s="829"/>
      <c r="I42" s="830" t="e">
        <f>V42</f>
        <v>#DIV/0!</v>
      </c>
      <c r="J42" s="829"/>
      <c r="K42" s="1397"/>
      <c r="L42" s="2357"/>
      <c r="M42" s="2345"/>
      <c r="N42" s="2345"/>
      <c r="O42" s="2358"/>
      <c r="P42" s="3673" t="str">
        <f>A42</f>
        <v>比较价值（元/平方米）</v>
      </c>
      <c r="Q42" s="3673"/>
      <c r="R42" s="3692" t="e">
        <f>ROUND(PRODUCT(R41,AA7:AA40),0)</f>
        <v>#DIV/0!</v>
      </c>
      <c r="S42" s="3692"/>
      <c r="T42" s="3692" t="e">
        <f>ROUND(PRODUCT(T41,AB7:AB40),0)</f>
        <v>#DIV/0!</v>
      </c>
      <c r="U42" s="3692"/>
      <c r="V42" s="3692" t="e">
        <f>ROUND(PRODUCT(V41,AC7:AC40),0)</f>
        <v>#DIV/0!</v>
      </c>
      <c r="W42" s="3692"/>
      <c r="X42" s="1304"/>
      <c r="Y42" s="1304"/>
      <c r="Z42" s="1304"/>
      <c r="AA42" s="1304"/>
      <c r="AB42" s="1304"/>
      <c r="AC42" s="1304"/>
    </row>
    <row r="43" spans="1:29" ht="15.75" thickBot="1">
      <c r="A43" s="115" t="s">
        <v>3012</v>
      </c>
      <c r="B43" s="833"/>
      <c r="C43" s="834" t="e">
        <f>R43</f>
        <v>#DIV/0!</v>
      </c>
      <c r="D43" s="834"/>
      <c r="E43" s="834"/>
      <c r="F43" s="834"/>
      <c r="G43" s="834"/>
      <c r="H43" s="834"/>
      <c r="I43" s="834"/>
      <c r="J43" s="834"/>
      <c r="K43" s="1398"/>
      <c r="L43" s="2357"/>
      <c r="M43" s="2345"/>
      <c r="N43" s="2345"/>
      <c r="O43" s="2358"/>
      <c r="P43" s="3693" t="str">
        <f>A43</f>
        <v>估价对象XX用房的比较价值（楼面单价，元/平方米）</v>
      </c>
      <c r="Q43" s="3694"/>
      <c r="R43" s="3695" t="e">
        <f>ROUND(AVERAGE(R42:V42),0)</f>
        <v>#DIV/0!</v>
      </c>
      <c r="S43" s="3695"/>
      <c r="T43" s="3695"/>
      <c r="U43" s="3695"/>
      <c r="V43" s="3695"/>
      <c r="W43" s="3695"/>
      <c r="X43" s="1304"/>
      <c r="Y43" s="1304"/>
      <c r="Z43" s="1304"/>
      <c r="AA43" s="1304"/>
      <c r="AB43" s="1304"/>
      <c r="AC43" s="1304"/>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7" t="s">
        <v>409</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4"/>
      <c r="L46" s="2185"/>
      <c r="M46" s="2345"/>
      <c r="N46" s="2345"/>
      <c r="O46" s="2358"/>
    </row>
    <row r="47" spans="1:29" ht="13.5" customHeight="1">
      <c r="A47" s="2358"/>
      <c r="B47" s="2358"/>
      <c r="C47" s="837" t="s">
        <v>410</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4"/>
      <c r="L47" s="2185"/>
      <c r="M47" s="2358"/>
      <c r="N47" s="2358"/>
      <c r="O47" s="2358"/>
    </row>
    <row r="48" spans="1:29" s="842" customFormat="1" ht="13.5" customHeight="1">
      <c r="A48" s="2359"/>
      <c r="B48" s="2359"/>
      <c r="C48" s="837" t="s">
        <v>411</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7"/>
      <c r="D49" s="1305"/>
      <c r="E49" s="1305"/>
      <c r="F49" s="1305"/>
      <c r="G49" s="1305"/>
      <c r="H49" s="1305"/>
      <c r="I49" s="1305"/>
      <c r="J49" s="1305"/>
      <c r="K49" s="2362"/>
      <c r="L49" s="2363"/>
      <c r="M49" s="2359"/>
      <c r="N49" s="2359"/>
      <c r="O49" s="2359"/>
    </row>
    <row r="50" spans="1:17" ht="27">
      <c r="A50" s="1090" t="s">
        <v>488</v>
      </c>
      <c r="B50" s="1091" t="s">
        <v>489</v>
      </c>
      <c r="C50" s="1773" t="s">
        <v>1882</v>
      </c>
      <c r="D50" s="2389" t="s">
        <v>2320</v>
      </c>
      <c r="E50" s="1092" t="s">
        <v>490</v>
      </c>
      <c r="F50" s="1093" t="s">
        <v>491</v>
      </c>
      <c r="G50" s="3696" t="s">
        <v>2313</v>
      </c>
      <c r="H50" s="3697"/>
      <c r="I50" s="2179" t="s">
        <v>1881</v>
      </c>
      <c r="J50" s="1763">
        <f>项目基本情况!F35</f>
        <v>0</v>
      </c>
      <c r="K50" s="2372" t="s">
        <v>1883</v>
      </c>
      <c r="L50" s="2185"/>
      <c r="M50" s="2358"/>
      <c r="N50" s="2358"/>
      <c r="O50" s="2358"/>
    </row>
    <row r="51" spans="1:17" s="1098" customFormat="1">
      <c r="A51" s="1094" t="s">
        <v>492</v>
      </c>
      <c r="B51" s="1095" t="e">
        <f>C43</f>
        <v>#DIV/0!</v>
      </c>
      <c r="C51" s="1096">
        <v>1</v>
      </c>
      <c r="D51" s="2390">
        <v>1</v>
      </c>
      <c r="E51" s="1096">
        <f>'数据-汇总表'!E8+'数据-汇总表'!E9</f>
        <v>42674.060000000005</v>
      </c>
      <c r="F51" s="1097" t="e">
        <f t="shared" ref="F51:F60" si="15">ROUND(B51*E51/10000,0)</f>
        <v>#DIV/0!</v>
      </c>
      <c r="G51" s="3698"/>
      <c r="H51" s="3699"/>
      <c r="I51" s="1771">
        <v>1</v>
      </c>
      <c r="J51" s="1771">
        <v>1</v>
      </c>
      <c r="K51" s="2359"/>
      <c r="L51" s="1770"/>
      <c r="M51" s="1770"/>
      <c r="N51" s="1770"/>
      <c r="O51" s="1770"/>
    </row>
    <row r="52" spans="1:17" s="1098" customFormat="1">
      <c r="A52" s="1099" t="s">
        <v>493</v>
      </c>
      <c r="B52" s="594" t="e">
        <f>ROUND($C$43*C52*D52,0)</f>
        <v>#DIV/0!</v>
      </c>
      <c r="C52" s="532">
        <f t="shared" ref="C52:C60" si="16">IF($C$50="北京市系数",I52,J52)</f>
        <v>0.6</v>
      </c>
      <c r="D52" s="2391">
        <v>0.25</v>
      </c>
      <c r="E52" s="1100"/>
      <c r="F52" s="1097" t="e">
        <f t="shared" si="15"/>
        <v>#DIV/0!</v>
      </c>
      <c r="G52" s="3700" t="s">
        <v>2314</v>
      </c>
      <c r="H52" s="2183" t="str">
        <f>项目基本情况!B37</f>
        <v>九级</v>
      </c>
      <c r="I52" s="1771">
        <f>SUMIF(修正!A45:A56,H52,修正!B45:B56)</f>
        <v>0.6</v>
      </c>
      <c r="J52" s="1772"/>
      <c r="K52" s="2358"/>
      <c r="L52" s="1770"/>
      <c r="M52" s="1770"/>
      <c r="N52" s="1770"/>
      <c r="O52" s="1770"/>
    </row>
    <row r="53" spans="1:17" s="1098" customFormat="1">
      <c r="A53" s="1099" t="s">
        <v>494</v>
      </c>
      <c r="B53" s="594" t="e">
        <f t="shared" ref="B53:B60" si="17">ROUND($C$43*C53*D53,0)</f>
        <v>#DIV/0!</v>
      </c>
      <c r="C53" s="532">
        <f t="shared" si="16"/>
        <v>0.3</v>
      </c>
      <c r="D53" s="2391">
        <v>0.25</v>
      </c>
      <c r="E53" s="1100"/>
      <c r="F53" s="1097" t="e">
        <f t="shared" si="15"/>
        <v>#DIV/0!</v>
      </c>
      <c r="G53" s="3700"/>
      <c r="H53" s="2183" t="str">
        <f>项目基本情况!B37</f>
        <v>九级</v>
      </c>
      <c r="I53" s="1771">
        <f>SUMIF(修正!A45:A56,H53,修正!C45:C56)</f>
        <v>0.3</v>
      </c>
      <c r="J53" s="1772"/>
      <c r="K53" s="2359"/>
      <c r="L53" s="1770"/>
      <c r="M53" s="1770"/>
      <c r="N53" s="1770"/>
      <c r="O53" s="1770"/>
    </row>
    <row r="54" spans="1:17" s="1098" customFormat="1">
      <c r="A54" s="1099" t="s">
        <v>495</v>
      </c>
      <c r="B54" s="594" t="e">
        <f t="shared" si="17"/>
        <v>#DIV/0!</v>
      </c>
      <c r="C54" s="532">
        <f t="shared" si="16"/>
        <v>0.2</v>
      </c>
      <c r="D54" s="2391">
        <v>0.25</v>
      </c>
      <c r="E54" s="1100"/>
      <c r="F54" s="1097" t="e">
        <f t="shared" si="15"/>
        <v>#DIV/0!</v>
      </c>
      <c r="G54" s="3700"/>
      <c r="H54" s="2183" t="str">
        <f>项目基本情况!B37</f>
        <v>九级</v>
      </c>
      <c r="I54" s="1771">
        <f>SUMIF(修正!A45:A56,H54,修正!D45:D56)</f>
        <v>0.2</v>
      </c>
      <c r="J54" s="1772"/>
      <c r="K54" s="2358"/>
      <c r="L54" s="1770"/>
      <c r="M54" s="1770"/>
      <c r="N54" s="1770"/>
      <c r="O54" s="1770"/>
    </row>
    <row r="55" spans="1:17" s="1098" customFormat="1">
      <c r="A55" s="1099" t="s">
        <v>496</v>
      </c>
      <c r="B55" s="594" t="e">
        <f t="shared" si="17"/>
        <v>#DIV/0!</v>
      </c>
      <c r="C55" s="532">
        <f t="shared" si="16"/>
        <v>0.2</v>
      </c>
      <c r="D55" s="2391">
        <v>0.25</v>
      </c>
      <c r="E55" s="1100"/>
      <c r="F55" s="1097" t="e">
        <f t="shared" si="15"/>
        <v>#DIV/0!</v>
      </c>
      <c r="G55" s="3700"/>
      <c r="H55" s="2183" t="str">
        <f>项目基本情况!B37</f>
        <v>九级</v>
      </c>
      <c r="I55" s="1771">
        <f>SUMIF(修正!A45:A56,H55,修正!E45:E56)</f>
        <v>0.2</v>
      </c>
      <c r="J55" s="1772"/>
      <c r="K55" s="2359"/>
      <c r="L55" s="1770"/>
      <c r="M55" s="1770"/>
      <c r="N55" s="1770"/>
      <c r="O55" s="1770"/>
    </row>
    <row r="56" spans="1:17" s="1098" customFormat="1">
      <c r="A56" s="2511" t="s">
        <v>2396</v>
      </c>
      <c r="B56" s="594" t="e">
        <f t="shared" si="17"/>
        <v>#DIV/0!</v>
      </c>
      <c r="C56" s="532">
        <f t="shared" si="16"/>
        <v>0.2</v>
      </c>
      <c r="D56" s="2391">
        <v>0.25</v>
      </c>
      <c r="E56" s="593">
        <f>'数据-汇总表'!E11</f>
        <v>0</v>
      </c>
      <c r="F56" s="1097" t="e">
        <f t="shared" si="15"/>
        <v>#DIV/0!</v>
      </c>
      <c r="G56" s="2195" t="s">
        <v>2315</v>
      </c>
      <c r="H56" s="2183" t="str">
        <f>项目基本情况!C37</f>
        <v>九级</v>
      </c>
      <c r="I56" s="1771">
        <f>SUMIF(修正!A45:A56,H56,修正!F45:F56)</f>
        <v>0.2</v>
      </c>
      <c r="J56" s="1772"/>
      <c r="K56" s="2358"/>
      <c r="L56" s="1770"/>
      <c r="M56" s="1770"/>
      <c r="N56" s="1770"/>
      <c r="O56" s="1770"/>
    </row>
    <row r="57" spans="1:17" s="1098" customFormat="1">
      <c r="A57" s="1099" t="s">
        <v>497</v>
      </c>
      <c r="B57" s="594" t="e">
        <f t="shared" si="17"/>
        <v>#DIV/0!</v>
      </c>
      <c r="C57" s="532">
        <f t="shared" si="16"/>
        <v>0.2</v>
      </c>
      <c r="D57" s="2391">
        <v>0.25</v>
      </c>
      <c r="E57" s="593">
        <f>'数据-汇总表'!E12</f>
        <v>2611.2199999999998</v>
      </c>
      <c r="F57" s="1097" t="e">
        <f t="shared" si="15"/>
        <v>#DIV/0!</v>
      </c>
      <c r="G57" s="2189" t="s">
        <v>141</v>
      </c>
      <c r="H57" s="2183" t="str">
        <f>IF(G57="商业",项目基本情况!B37,IF(G57="办公",项目基本情况!C37,IF(G57="住宅",项目基本情况!D37,项目基本情况!E37)))</f>
        <v>九级</v>
      </c>
      <c r="I57" s="1771">
        <f>SUMIF(修正!A45:A56,H57,修正!G45:G56)</f>
        <v>0.2</v>
      </c>
      <c r="J57" s="1772"/>
      <c r="K57" s="2359"/>
      <c r="L57" s="1770"/>
      <c r="M57" s="1770"/>
      <c r="N57" s="1770"/>
      <c r="O57" s="1770"/>
    </row>
    <row r="58" spans="1:17" s="1098" customFormat="1">
      <c r="A58" s="1099" t="s">
        <v>498</v>
      </c>
      <c r="B58" s="594" t="e">
        <f t="shared" si="17"/>
        <v>#DIV/0!</v>
      </c>
      <c r="C58" s="532">
        <f t="shared" si="16"/>
        <v>0.15</v>
      </c>
      <c r="D58" s="2391">
        <v>0.25</v>
      </c>
      <c r="E58" s="593">
        <f>'数据-汇总表'!E13</f>
        <v>5952.24</v>
      </c>
      <c r="F58" s="1097" t="e">
        <f t="shared" si="15"/>
        <v>#DIV/0!</v>
      </c>
      <c r="G58" s="2189" t="s">
        <v>40</v>
      </c>
      <c r="H58" s="2183" t="str">
        <f>IF(G58="商业",项目基本情况!B37,IF(G58="办公",项目基本情况!C37,IF(G58="住宅",项目基本情况!D37,项目基本情况!E37)))</f>
        <v>九级</v>
      </c>
      <c r="I58" s="1771">
        <f>SUMIF(修正!A45:A56,H58,修正!H45:H56)</f>
        <v>0.15</v>
      </c>
      <c r="J58" s="1772"/>
      <c r="K58" s="2358"/>
      <c r="L58" s="1770"/>
      <c r="M58" s="1770"/>
      <c r="N58" s="1770"/>
      <c r="O58" s="1770"/>
    </row>
    <row r="59" spans="1:17" s="1098" customFormat="1">
      <c r="A59" s="1099" t="s">
        <v>499</v>
      </c>
      <c r="B59" s="594" t="e">
        <f t="shared" si="17"/>
        <v>#DIV/0!</v>
      </c>
      <c r="C59" s="532">
        <f t="shared" si="16"/>
        <v>0.15</v>
      </c>
      <c r="D59" s="2391">
        <v>0.25</v>
      </c>
      <c r="E59" s="593">
        <f>'数据-汇总表'!E14</f>
        <v>0</v>
      </c>
      <c r="F59" s="1097" t="e">
        <f t="shared" si="15"/>
        <v>#DIV/0!</v>
      </c>
      <c r="G59" s="2195" t="s">
        <v>2316</v>
      </c>
      <c r="H59" s="2183" t="str">
        <f>项目基本情况!B37</f>
        <v>九级</v>
      </c>
      <c r="I59" s="1771">
        <f>SUMIF(修正!A45:A56,H59,修正!H45:H56)</f>
        <v>0.15</v>
      </c>
      <c r="J59" s="1772"/>
      <c r="K59" s="2359"/>
      <c r="L59" s="1770"/>
      <c r="M59" s="1770"/>
      <c r="N59" s="1770"/>
      <c r="O59" s="1770"/>
    </row>
    <row r="60" spans="1:17" s="1098" customFormat="1" ht="15" thickBot="1">
      <c r="A60" s="1099" t="s">
        <v>500</v>
      </c>
      <c r="B60" s="594" t="e">
        <f t="shared" si="17"/>
        <v>#DIV/0!</v>
      </c>
      <c r="C60" s="532">
        <f t="shared" si="16"/>
        <v>0.15</v>
      </c>
      <c r="D60" s="2391">
        <v>0.25</v>
      </c>
      <c r="E60" s="593">
        <f>'数据-汇总表'!E15</f>
        <v>0</v>
      </c>
      <c r="F60" s="1097" t="e">
        <f t="shared" si="15"/>
        <v>#DIV/0!</v>
      </c>
      <c r="G60" s="2196" t="s">
        <v>2315</v>
      </c>
      <c r="H60" s="2197" t="str">
        <f>项目基本情况!C37</f>
        <v>九级</v>
      </c>
      <c r="I60" s="1771">
        <f>SUMIF(修正!A45:A56,H60,修正!H45:H56)</f>
        <v>0.15</v>
      </c>
      <c r="J60" s="1772"/>
      <c r="K60" s="2358"/>
      <c r="L60" s="1770"/>
      <c r="M60" s="1770"/>
      <c r="N60" s="1770"/>
      <c r="O60" s="1770"/>
    </row>
    <row r="61" spans="1:17" s="1098" customFormat="1" ht="15" thickBot="1">
      <c r="A61" s="1101" t="s">
        <v>501</v>
      </c>
      <c r="B61" s="1102" t="s">
        <v>156</v>
      </c>
      <c r="C61" s="1102" t="s">
        <v>157</v>
      </c>
      <c r="D61" s="1102" t="s">
        <v>2321</v>
      </c>
      <c r="E61" s="1102">
        <f>IF(B41="楼面地价",SUM(E51:E60),'数据-汇总表'!D3)</f>
        <v>27526.28</v>
      </c>
      <c r="F61" s="1103" t="e">
        <f>IF(B41="楼面地价",SUM(F51:F60),ROUND(C43*E61/10000,0))</f>
        <v>#DIV/0!</v>
      </c>
      <c r="G61" s="2373"/>
      <c r="H61" s="2373"/>
      <c r="I61" s="2373"/>
      <c r="J61" s="2373"/>
      <c r="K61" s="2184"/>
      <c r="L61" s="1770"/>
      <c r="M61" s="1770"/>
      <c r="N61" s="1770"/>
      <c r="O61" s="1770"/>
    </row>
    <row r="62" spans="1:17">
      <c r="A62" s="2358"/>
      <c r="B62" s="2360"/>
      <c r="C62" s="2364"/>
      <c r="D62" s="2358"/>
      <c r="E62" s="2358"/>
      <c r="F62" s="2358"/>
      <c r="G62" s="2358"/>
      <c r="H62" s="2358"/>
      <c r="I62" s="2358"/>
      <c r="J62" s="2358"/>
      <c r="K62" s="2184"/>
      <c r="L62" s="2185"/>
      <c r="M62" s="2358"/>
      <c r="N62" s="2358"/>
      <c r="O62" s="2358"/>
    </row>
    <row r="63" spans="1:17">
      <c r="A63" s="2358"/>
      <c r="B63" s="2360"/>
      <c r="C63" s="1306" t="str">
        <f>YEAR(C7)&amp;"-"&amp;MONTH(C7)&amp;"-1"</f>
        <v>2017-8-1</v>
      </c>
      <c r="D63" s="1306">
        <f>EDATE(C63,-3)</f>
        <v>42856</v>
      </c>
      <c r="E63" s="1306">
        <f>EDATE(D63,-3)</f>
        <v>42767</v>
      </c>
      <c r="F63" s="1306">
        <f t="shared" ref="F63:O63" si="18">EDATE(E63,-3)</f>
        <v>42675</v>
      </c>
      <c r="G63" s="1306">
        <f t="shared" si="18"/>
        <v>42583</v>
      </c>
      <c r="H63" s="1306">
        <f t="shared" si="18"/>
        <v>42491</v>
      </c>
      <c r="I63" s="1306">
        <f t="shared" si="18"/>
        <v>42401</v>
      </c>
      <c r="J63" s="1306">
        <f t="shared" si="18"/>
        <v>42309</v>
      </c>
      <c r="K63" s="1306">
        <f t="shared" si="18"/>
        <v>42217</v>
      </c>
      <c r="L63" s="1306">
        <f t="shared" si="18"/>
        <v>42125</v>
      </c>
      <c r="M63" s="1306">
        <f t="shared" si="18"/>
        <v>42036</v>
      </c>
      <c r="N63" s="1306">
        <f t="shared" si="18"/>
        <v>41944</v>
      </c>
      <c r="O63" s="1306">
        <f t="shared" si="18"/>
        <v>41852</v>
      </c>
    </row>
    <row r="64" spans="1:17" ht="21.75" thickBot="1">
      <c r="A64" s="1308" t="s">
        <v>412</v>
      </c>
      <c r="B64" s="1304"/>
      <c r="C64" s="1309"/>
      <c r="D64" s="1309"/>
      <c r="E64" s="1309"/>
      <c r="F64" s="1310"/>
      <c r="G64" s="1310"/>
      <c r="H64" s="1309"/>
      <c r="I64" s="1309"/>
      <c r="J64" s="1309"/>
      <c r="K64" s="1311"/>
      <c r="L64" s="1312"/>
      <c r="M64" s="1309"/>
      <c r="N64" s="1309"/>
      <c r="O64" s="2374"/>
      <c r="P64" s="843"/>
      <c r="Q64" s="844"/>
    </row>
    <row r="65" spans="1:17" s="848" customFormat="1" ht="15">
      <c r="A65" s="2702" t="s">
        <v>2786</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7"/>
    </row>
    <row r="66" spans="1:17" s="407" customFormat="1" ht="30.75" customHeight="1">
      <c r="A66" s="3029" t="s">
        <v>2785</v>
      </c>
      <c r="B66" s="664" t="str">
        <f>"北京市平均增长率"&amp;TEXT(基准地价修正!P24,"0.00%")</f>
        <v>北京市平均增长率1.37%</v>
      </c>
      <c r="C66" s="943">
        <v>100</v>
      </c>
      <c r="D66" s="935"/>
      <c r="E66" s="935"/>
      <c r="F66" s="935"/>
      <c r="G66" s="935"/>
      <c r="H66" s="935"/>
      <c r="I66" s="935"/>
      <c r="J66" s="935"/>
      <c r="K66" s="935"/>
      <c r="L66" s="935"/>
      <c r="M66" s="3027"/>
      <c r="N66" s="3027"/>
      <c r="O66" s="3030"/>
      <c r="P66" s="844"/>
    </row>
    <row r="67" spans="1:17" s="407" customFormat="1" ht="15.75" thickBot="1">
      <c r="A67" s="855" t="s">
        <v>413</v>
      </c>
      <c r="B67" s="856"/>
      <c r="C67" s="857"/>
      <c r="D67" s="858"/>
      <c r="E67" s="858"/>
      <c r="F67" s="858"/>
      <c r="G67" s="858"/>
      <c r="H67" s="858"/>
      <c r="I67" s="858"/>
      <c r="J67" s="858"/>
      <c r="K67" s="858"/>
      <c r="L67" s="858"/>
      <c r="M67" s="859"/>
      <c r="N67" s="859"/>
      <c r="O67" s="860"/>
      <c r="P67" s="844"/>
      <c r="Q67" s="844"/>
    </row>
    <row r="68" spans="1:17" s="407" customFormat="1" ht="15">
      <c r="A68" s="861" t="s">
        <v>397</v>
      </c>
      <c r="B68" s="850"/>
      <c r="C68" s="862" t="s">
        <v>414</v>
      </c>
      <c r="D68" s="140"/>
      <c r="E68" s="140"/>
      <c r="F68" s="140"/>
      <c r="G68" s="140"/>
      <c r="H68" s="140"/>
      <c r="I68" s="140"/>
      <c r="J68" s="140"/>
      <c r="K68" s="140"/>
      <c r="L68" s="141"/>
      <c r="M68" s="1048"/>
      <c r="N68" s="2365"/>
      <c r="O68" s="2365"/>
      <c r="P68" s="866"/>
      <c r="Q68" s="844"/>
    </row>
    <row r="69" spans="1:17" s="407"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415</v>
      </c>
      <c r="B70" s="868" t="s">
        <v>416</v>
      </c>
      <c r="C70" s="122"/>
      <c r="D70" s="122"/>
      <c r="E70" s="122"/>
      <c r="F70" s="122"/>
      <c r="G70" s="122"/>
      <c r="H70" s="122"/>
      <c r="I70" s="122"/>
      <c r="J70" s="122"/>
      <c r="K70" s="123"/>
      <c r="L70" s="124"/>
      <c r="M70" s="125"/>
      <c r="N70" s="2366"/>
      <c r="O70" s="2366"/>
      <c r="P70" s="334"/>
      <c r="Q70" s="844"/>
    </row>
    <row r="71" spans="1:17" ht="15.75" thickBot="1">
      <c r="A71" s="874"/>
      <c r="B71" s="875"/>
      <c r="C71" s="876"/>
      <c r="D71" s="876"/>
      <c r="E71" s="876"/>
      <c r="F71" s="876"/>
      <c r="G71" s="876"/>
      <c r="H71" s="876"/>
      <c r="I71" s="876"/>
      <c r="J71" s="876"/>
      <c r="K71" s="876"/>
      <c r="L71" s="876"/>
      <c r="M71" s="877"/>
      <c r="N71" s="2367"/>
      <c r="O71" s="2367"/>
      <c r="P71" s="334"/>
      <c r="Q71" s="844"/>
    </row>
    <row r="72" spans="1:17" ht="27.75" thickTop="1">
      <c r="A72" s="874"/>
      <c r="B72" s="878" t="s">
        <v>401</v>
      </c>
      <c r="C72" s="879"/>
      <c r="D72" s="879"/>
      <c r="E72" s="879"/>
      <c r="F72" s="879"/>
      <c r="G72" s="879"/>
      <c r="H72" s="879"/>
      <c r="I72" s="879"/>
      <c r="J72" s="879"/>
      <c r="K72" s="880"/>
      <c r="L72" s="881"/>
      <c r="M72" s="882"/>
      <c r="N72" s="2366"/>
      <c r="O72" s="2366"/>
      <c r="P72" s="334"/>
      <c r="Q72" s="844"/>
    </row>
    <row r="73" spans="1:17" ht="15.75" thickBot="1">
      <c r="A73" s="874"/>
      <c r="B73" s="883"/>
      <c r="C73" s="884"/>
      <c r="D73" s="884"/>
      <c r="E73" s="884"/>
      <c r="F73" s="884"/>
      <c r="G73" s="884"/>
      <c r="H73" s="884"/>
      <c r="I73" s="884"/>
      <c r="J73" s="884"/>
      <c r="K73" s="884"/>
      <c r="L73" s="884"/>
      <c r="M73" s="885"/>
      <c r="N73" s="2367"/>
      <c r="O73" s="2367"/>
      <c r="P73" s="334"/>
      <c r="Q73" s="844"/>
    </row>
    <row r="74" spans="1:17" ht="15.75" thickTop="1">
      <c r="A74" s="874"/>
      <c r="B74" s="1053" t="s">
        <v>93</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90" t="str">
        <f>M75&amp;"（含）"&amp;"-"&amp;P75</f>
        <v>（含）-</v>
      </c>
      <c r="N74" s="2367"/>
      <c r="O74" s="2367"/>
      <c r="P74" s="334"/>
      <c r="Q74" s="844"/>
    </row>
    <row r="75" spans="1:17" ht="15">
      <c r="A75" s="874"/>
      <c r="B75" s="1054"/>
      <c r="C75" s="889"/>
      <c r="D75" s="889"/>
      <c r="E75" s="889"/>
      <c r="F75" s="889"/>
      <c r="G75" s="889"/>
      <c r="H75" s="889"/>
      <c r="I75" s="889"/>
      <c r="J75" s="889"/>
      <c r="K75" s="890"/>
      <c r="L75" s="891"/>
      <c r="M75" s="892"/>
      <c r="N75" s="2366"/>
      <c r="O75" s="2366"/>
      <c r="P75" s="334"/>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4"/>
      <c r="Q76" s="844"/>
    </row>
    <row r="77" spans="1:17" s="811" customFormat="1" ht="15.75" thickTop="1">
      <c r="A77" s="893"/>
      <c r="B77" s="1051">
        <f>B12</f>
        <v>111</v>
      </c>
      <c r="C77" s="139"/>
      <c r="D77" s="139"/>
      <c r="E77" s="139"/>
      <c r="F77" s="139"/>
      <c r="G77" s="139"/>
      <c r="H77" s="1056"/>
      <c r="I77" s="1056"/>
      <c r="J77" s="1056"/>
      <c r="K77" s="1056"/>
      <c r="L77" s="1057"/>
      <c r="M77" s="1058"/>
      <c r="N77" s="2368"/>
      <c r="O77" s="2368"/>
      <c r="P77" s="898"/>
      <c r="Q77" s="899"/>
    </row>
    <row r="78" spans="1:17" s="811" customFormat="1" ht="15.75" thickBot="1">
      <c r="A78" s="893"/>
      <c r="B78" s="1052"/>
      <c r="C78" s="900"/>
      <c r="D78" s="876"/>
      <c r="E78" s="876"/>
      <c r="F78" s="876"/>
      <c r="G78" s="876"/>
      <c r="H78" s="876"/>
      <c r="I78" s="876"/>
      <c r="J78" s="876"/>
      <c r="K78" s="876"/>
      <c r="L78" s="876"/>
      <c r="M78" s="877"/>
      <c r="N78" s="2367"/>
      <c r="O78" s="2367"/>
      <c r="P78" s="898"/>
      <c r="Q78" s="899"/>
    </row>
    <row r="79" spans="1:17" s="811" customFormat="1" ht="15.75" thickTop="1">
      <c r="A79" s="893"/>
      <c r="B79" s="1051">
        <f>B13</f>
        <v>111</v>
      </c>
      <c r="C79" s="139"/>
      <c r="D79" s="139"/>
      <c r="E79" s="139"/>
      <c r="F79" s="139"/>
      <c r="G79" s="139"/>
      <c r="H79" s="1056"/>
      <c r="I79" s="1056"/>
      <c r="J79" s="1056"/>
      <c r="K79" s="1056"/>
      <c r="L79" s="1057"/>
      <c r="M79" s="1058"/>
      <c r="N79" s="2368"/>
      <c r="O79" s="2368"/>
      <c r="P79" s="810"/>
      <c r="Q79" s="901"/>
    </row>
    <row r="80" spans="1:17" s="811" customFormat="1" ht="15.75" thickBot="1">
      <c r="A80" s="893"/>
      <c r="B80" s="1052"/>
      <c r="C80" s="900"/>
      <c r="D80" s="900"/>
      <c r="E80" s="900"/>
      <c r="F80" s="900"/>
      <c r="G80" s="900"/>
      <c r="H80" s="902"/>
      <c r="I80" s="902"/>
      <c r="J80" s="902"/>
      <c r="K80" s="902"/>
      <c r="L80" s="902"/>
      <c r="M80" s="903"/>
      <c r="N80" s="2368"/>
      <c r="O80" s="2368"/>
      <c r="P80" s="898"/>
      <c r="Q80" s="899"/>
    </row>
    <row r="81" spans="1:17" s="811" customFormat="1" ht="15.75" thickTop="1">
      <c r="A81" s="893"/>
      <c r="B81" s="1053">
        <f>B14</f>
        <v>111</v>
      </c>
      <c r="C81" s="140"/>
      <c r="D81" s="140"/>
      <c r="E81" s="140"/>
      <c r="F81" s="140"/>
      <c r="G81" s="140"/>
      <c r="H81" s="1063"/>
      <c r="I81" s="1063"/>
      <c r="J81" s="1063"/>
      <c r="K81" s="1063"/>
      <c r="L81" s="1064"/>
      <c r="M81" s="1065"/>
      <c r="N81" s="2368"/>
      <c r="O81" s="2368"/>
      <c r="P81" s="907"/>
      <c r="Q81" s="899"/>
    </row>
    <row r="82" spans="1:17" s="811" customFormat="1" ht="15.75" thickBot="1">
      <c r="A82" s="908"/>
      <c r="B82" s="1068"/>
      <c r="C82" s="910"/>
      <c r="D82" s="910"/>
      <c r="E82" s="910"/>
      <c r="F82" s="910"/>
      <c r="G82" s="910"/>
      <c r="H82" s="911"/>
      <c r="I82" s="911"/>
      <c r="J82" s="911"/>
      <c r="K82" s="911"/>
      <c r="L82" s="911"/>
      <c r="M82" s="912"/>
      <c r="N82" s="2368"/>
      <c r="O82" s="2368"/>
      <c r="P82" s="898"/>
      <c r="Q82" s="899"/>
    </row>
    <row r="83" spans="1:17">
      <c r="A83" s="867" t="s">
        <v>403</v>
      </c>
      <c r="B83" s="286" t="s">
        <v>159</v>
      </c>
      <c r="C83" s="913" t="s">
        <v>422</v>
      </c>
      <c r="D83" s="913" t="s">
        <v>423</v>
      </c>
      <c r="E83" s="913" t="s">
        <v>424</v>
      </c>
      <c r="F83" s="913" t="s">
        <v>425</v>
      </c>
      <c r="G83" s="913" t="s">
        <v>426</v>
      </c>
      <c r="H83" s="869"/>
      <c r="I83" s="869"/>
      <c r="J83" s="869"/>
      <c r="K83" s="914"/>
      <c r="L83" s="915"/>
      <c r="M83" s="916"/>
      <c r="N83" s="2366"/>
      <c r="O83" s="2366"/>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7"/>
      <c r="O84" s="2367"/>
      <c r="P84" s="334"/>
      <c r="Q84" s="844"/>
    </row>
    <row r="85" spans="1:17" ht="15.75" thickTop="1">
      <c r="A85" s="874"/>
      <c r="B85" s="1051" t="s">
        <v>92</v>
      </c>
      <c r="C85" s="918" t="s">
        <v>422</v>
      </c>
      <c r="D85" s="918" t="s">
        <v>423</v>
      </c>
      <c r="E85" s="918" t="s">
        <v>424</v>
      </c>
      <c r="F85" s="918" t="s">
        <v>425</v>
      </c>
      <c r="G85" s="918" t="s">
        <v>426</v>
      </c>
      <c r="H85" s="879"/>
      <c r="I85" s="879"/>
      <c r="J85" s="879"/>
      <c r="K85" s="880"/>
      <c r="L85" s="881"/>
      <c r="M85" s="882"/>
      <c r="N85" s="2366"/>
      <c r="O85" s="2366"/>
      <c r="P85" s="334"/>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7"/>
      <c r="O86" s="2367"/>
      <c r="P86" s="334"/>
      <c r="Q86" s="844"/>
    </row>
    <row r="87" spans="1:17" s="407" customFormat="1" ht="27.75" thickTop="1">
      <c r="A87" s="919"/>
      <c r="B87" s="1051" t="s">
        <v>109</v>
      </c>
      <c r="C87" s="913" t="s">
        <v>422</v>
      </c>
      <c r="D87" s="913" t="s">
        <v>423</v>
      </c>
      <c r="E87" s="913" t="s">
        <v>424</v>
      </c>
      <c r="F87" s="913" t="s">
        <v>425</v>
      </c>
      <c r="G87" s="913" t="s">
        <v>426</v>
      </c>
      <c r="H87" s="918"/>
      <c r="I87" s="918"/>
      <c r="J87" s="918"/>
      <c r="K87" s="918"/>
      <c r="L87" s="1104"/>
      <c r="M87" s="962"/>
      <c r="N87" s="2365"/>
      <c r="O87" s="2365"/>
      <c r="P87" s="334"/>
      <c r="Q87" s="844"/>
    </row>
    <row r="88" spans="1:17" s="407" customFormat="1" ht="15.75" thickBot="1">
      <c r="A88" s="919"/>
      <c r="B88" s="1052"/>
      <c r="C88" s="922">
        <v>100</v>
      </c>
      <c r="D88" s="884">
        <f>C88-$K19</f>
        <v>100</v>
      </c>
      <c r="E88" s="884">
        <f>D88-$K19</f>
        <v>100</v>
      </c>
      <c r="F88" s="884">
        <f>E88-$K19</f>
        <v>100</v>
      </c>
      <c r="G88" s="884">
        <f>F88-$K19</f>
        <v>100</v>
      </c>
      <c r="H88" s="884"/>
      <c r="I88" s="884"/>
      <c r="J88" s="884"/>
      <c r="K88" s="884"/>
      <c r="L88" s="884"/>
      <c r="M88" s="885"/>
      <c r="N88" s="2367"/>
      <c r="O88" s="2367"/>
      <c r="P88" s="334"/>
      <c r="Q88" s="844"/>
    </row>
    <row r="89" spans="1:17" s="407" customFormat="1" ht="27.75" thickTop="1">
      <c r="A89" s="919"/>
      <c r="B89" s="1051" t="s">
        <v>154</v>
      </c>
      <c r="C89" s="913" t="s">
        <v>422</v>
      </c>
      <c r="D89" s="913" t="s">
        <v>423</v>
      </c>
      <c r="E89" s="913" t="s">
        <v>424</v>
      </c>
      <c r="F89" s="913" t="s">
        <v>425</v>
      </c>
      <c r="G89" s="913" t="s">
        <v>426</v>
      </c>
      <c r="H89" s="918"/>
      <c r="I89" s="918"/>
      <c r="J89" s="918"/>
      <c r="K89" s="918"/>
      <c r="L89" s="918"/>
      <c r="M89" s="962"/>
      <c r="N89" s="2365"/>
      <c r="O89" s="2365"/>
      <c r="P89" s="334"/>
      <c r="Q89" s="844"/>
    </row>
    <row r="90" spans="1:17" s="407" customFormat="1" ht="15.75" thickBot="1">
      <c r="A90" s="919"/>
      <c r="B90" s="1052"/>
      <c r="C90" s="884">
        <v>100</v>
      </c>
      <c r="D90" s="884">
        <f>C90-$K21</f>
        <v>100</v>
      </c>
      <c r="E90" s="884">
        <f>D90-$K21</f>
        <v>100</v>
      </c>
      <c r="F90" s="884">
        <f>E90-$K21</f>
        <v>100</v>
      </c>
      <c r="G90" s="884">
        <f>F90-$K21</f>
        <v>100</v>
      </c>
      <c r="H90" s="884"/>
      <c r="I90" s="884"/>
      <c r="J90" s="884"/>
      <c r="K90" s="884"/>
      <c r="L90" s="884"/>
      <c r="M90" s="885"/>
      <c r="N90" s="2367"/>
      <c r="O90" s="2367"/>
      <c r="P90" s="334"/>
      <c r="Q90" s="844"/>
    </row>
    <row r="91" spans="1:17" s="811" customFormat="1" ht="15.75" thickTop="1">
      <c r="A91" s="893"/>
      <c r="B91" s="1051" t="s">
        <v>2664</v>
      </c>
      <c r="C91" s="913" t="s">
        <v>422</v>
      </c>
      <c r="D91" s="913" t="s">
        <v>423</v>
      </c>
      <c r="E91" s="913" t="s">
        <v>424</v>
      </c>
      <c r="F91" s="913" t="s">
        <v>425</v>
      </c>
      <c r="G91" s="913" t="s">
        <v>426</v>
      </c>
      <c r="H91" s="940"/>
      <c r="I91" s="940"/>
      <c r="J91" s="940"/>
      <c r="K91" s="940"/>
      <c r="L91" s="941"/>
      <c r="M91" s="942"/>
      <c r="N91" s="2368"/>
      <c r="O91" s="2368"/>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3" t="s">
        <v>2666</v>
      </c>
      <c r="C93" s="213" t="s">
        <v>2652</v>
      </c>
      <c r="D93" s="213" t="s">
        <v>2653</v>
      </c>
      <c r="E93" s="213" t="s">
        <v>2654</v>
      </c>
      <c r="F93" s="213" t="s">
        <v>2655</v>
      </c>
      <c r="G93" s="213" t="s">
        <v>2656</v>
      </c>
      <c r="H93" s="940"/>
      <c r="I93" s="940"/>
      <c r="J93" s="940"/>
      <c r="K93" s="940"/>
      <c r="L93" s="940"/>
      <c r="M93" s="942"/>
      <c r="N93" s="2368"/>
      <c r="O93" s="2368"/>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6"/>
      <c r="N94" s="2368"/>
      <c r="O94" s="2368"/>
      <c r="P94" s="898"/>
      <c r="Q94" s="899"/>
    </row>
    <row r="95" spans="1:17" ht="15.75" thickTop="1">
      <c r="A95" s="874"/>
      <c r="B95" s="1051" t="str">
        <f>B27</f>
        <v>临街状况</v>
      </c>
      <c r="C95" s="879" t="s">
        <v>505</v>
      </c>
      <c r="D95" s="879" t="s">
        <v>506</v>
      </c>
      <c r="E95" s="879" t="s">
        <v>507</v>
      </c>
      <c r="F95" s="879" t="s">
        <v>508</v>
      </c>
      <c r="G95" s="879"/>
      <c r="H95" s="879"/>
      <c r="I95" s="879"/>
      <c r="J95" s="879"/>
      <c r="K95" s="880"/>
      <c r="L95" s="881"/>
      <c r="M95" s="882"/>
      <c r="N95" s="2366"/>
      <c r="O95" s="2366"/>
      <c r="P95" s="334"/>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4"/>
      <c r="Q96" s="844"/>
    </row>
    <row r="97" spans="1:17" ht="27.75" thickTop="1">
      <c r="A97" s="874"/>
      <c r="B97" s="1051" t="s">
        <v>144</v>
      </c>
      <c r="C97" s="139"/>
      <c r="D97" s="139"/>
      <c r="E97" s="139"/>
      <c r="F97" s="139"/>
      <c r="G97" s="139"/>
      <c r="H97" s="131"/>
      <c r="I97" s="131"/>
      <c r="J97" s="131"/>
      <c r="K97" s="132"/>
      <c r="L97" s="133"/>
      <c r="M97" s="134"/>
      <c r="N97" s="2366"/>
      <c r="O97" s="2366"/>
      <c r="P97" s="334"/>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4"/>
      <c r="Q98" s="844"/>
    </row>
    <row r="99" spans="1:17" ht="15.75" thickTop="1">
      <c r="A99" s="874"/>
      <c r="B99" s="1051" t="s">
        <v>153</v>
      </c>
      <c r="C99" s="923"/>
      <c r="D99" s="923"/>
      <c r="E99" s="923"/>
      <c r="F99" s="923"/>
      <c r="G99" s="923"/>
      <c r="H99" s="923"/>
      <c r="I99" s="923"/>
      <c r="J99" s="923"/>
      <c r="K99" s="924"/>
      <c r="L99" s="925"/>
      <c r="M99" s="926"/>
      <c r="N99" s="2366"/>
      <c r="O99" s="2366"/>
      <c r="P99" s="334"/>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4"/>
      <c r="Q100" s="844"/>
    </row>
    <row r="101" spans="1:17" ht="15.75" thickTop="1">
      <c r="A101" s="874"/>
      <c r="B101" s="1053">
        <f>B31</f>
        <v>111</v>
      </c>
      <c r="C101" s="139"/>
      <c r="D101" s="139"/>
      <c r="E101" s="139"/>
      <c r="F101" s="139"/>
      <c r="G101" s="135"/>
      <c r="H101" s="135"/>
      <c r="I101" s="135"/>
      <c r="J101" s="135"/>
      <c r="K101" s="136"/>
      <c r="L101" s="137"/>
      <c r="M101" s="138"/>
      <c r="N101" s="2366"/>
      <c r="O101" s="2366"/>
      <c r="P101" s="334"/>
      <c r="Q101" s="844"/>
    </row>
    <row r="102" spans="1:17" ht="15.75" thickBot="1">
      <c r="A102" s="874"/>
      <c r="B102" s="1068"/>
      <c r="C102" s="900"/>
      <c r="D102" s="876"/>
      <c r="E102" s="876"/>
      <c r="F102" s="876"/>
      <c r="G102" s="931"/>
      <c r="H102" s="931"/>
      <c r="I102" s="931"/>
      <c r="J102" s="931"/>
      <c r="K102" s="931"/>
      <c r="L102" s="931"/>
      <c r="M102" s="932"/>
      <c r="N102" s="2367"/>
      <c r="O102" s="2367"/>
      <c r="P102" s="334"/>
      <c r="Q102" s="844"/>
    </row>
    <row r="103" spans="1:17" ht="15" thickTop="1">
      <c r="A103" s="1081"/>
      <c r="B103" s="1051">
        <f>B32</f>
        <v>111</v>
      </c>
      <c r="C103" s="139"/>
      <c r="D103" s="139"/>
      <c r="E103" s="139"/>
      <c r="F103" s="139"/>
      <c r="G103" s="131"/>
      <c r="H103" s="131"/>
      <c r="I103" s="131"/>
      <c r="J103" s="131"/>
      <c r="K103" s="132"/>
      <c r="L103" s="133"/>
      <c r="M103" s="134"/>
      <c r="N103" s="2366"/>
      <c r="O103" s="2366"/>
      <c r="P103" s="334"/>
      <c r="Q103" s="844"/>
    </row>
    <row r="104" spans="1:17" ht="15.75" thickBot="1">
      <c r="A104" s="874"/>
      <c r="B104" s="1052"/>
      <c r="C104" s="900"/>
      <c r="D104" s="900"/>
      <c r="E104" s="900"/>
      <c r="F104" s="900"/>
      <c r="G104" s="876"/>
      <c r="H104" s="876"/>
      <c r="I104" s="876"/>
      <c r="J104" s="876"/>
      <c r="K104" s="876"/>
      <c r="L104" s="876"/>
      <c r="M104" s="877"/>
      <c r="N104" s="2367"/>
      <c r="O104" s="2367"/>
      <c r="P104" s="334"/>
      <c r="Q104" s="844"/>
    </row>
    <row r="105" spans="1:17" s="811" customFormat="1" ht="15" thickTop="1">
      <c r="A105" s="933"/>
      <c r="B105" s="1071">
        <f>B33</f>
        <v>111</v>
      </c>
      <c r="C105" s="140"/>
      <c r="D105" s="140"/>
      <c r="E105" s="140"/>
      <c r="F105" s="140"/>
      <c r="G105" s="1072"/>
      <c r="H105" s="1072"/>
      <c r="I105" s="1072"/>
      <c r="J105" s="1073"/>
      <c r="K105" s="1073"/>
      <c r="L105" s="1074"/>
      <c r="M105" s="1075"/>
      <c r="N105" s="2368"/>
      <c r="O105" s="2368"/>
      <c r="P105" s="898"/>
      <c r="Q105" s="899"/>
    </row>
    <row r="106" spans="1:17" s="811" customFormat="1" ht="15.75" thickBot="1">
      <c r="A106" s="893"/>
      <c r="B106" s="1053"/>
      <c r="C106" s="910"/>
      <c r="D106" s="910"/>
      <c r="E106" s="910"/>
      <c r="F106" s="910"/>
      <c r="G106" s="1083"/>
      <c r="H106" s="1083"/>
      <c r="I106" s="1083"/>
      <c r="J106" s="1083"/>
      <c r="K106" s="1083"/>
      <c r="L106" s="1083"/>
      <c r="M106" s="1105"/>
      <c r="N106" s="2367"/>
      <c r="O106" s="2367"/>
      <c r="P106" s="898"/>
      <c r="Q106" s="899"/>
    </row>
    <row r="107" spans="1:17">
      <c r="A107" s="867" t="s">
        <v>405</v>
      </c>
      <c r="B107" s="286" t="s">
        <v>87</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1" t="str">
        <f t="shared" si="25"/>
        <v>(含)-</v>
      </c>
      <c r="L107" s="3291" t="str">
        <f t="shared" si="25"/>
        <v>(含)-</v>
      </c>
      <c r="M107" s="3292" t="str">
        <f>M108&amp;"(含)"&amp;"-"&amp;P108</f>
        <v>(含)-</v>
      </c>
      <c r="N107" s="2366"/>
      <c r="O107" s="2366"/>
      <c r="P107" s="334"/>
      <c r="Q107" s="844"/>
    </row>
    <row r="108" spans="1:17" ht="15">
      <c r="A108" s="874"/>
      <c r="B108" s="1053"/>
      <c r="C108" s="935"/>
      <c r="D108" s="935"/>
      <c r="E108" s="935"/>
      <c r="F108" s="935"/>
      <c r="G108" s="935"/>
      <c r="H108" s="935"/>
      <c r="I108" s="935"/>
      <c r="J108" s="936"/>
      <c r="K108" s="936"/>
      <c r="L108" s="937"/>
      <c r="M108" s="938"/>
      <c r="N108" s="2366"/>
      <c r="O108" s="2366"/>
      <c r="P108" s="334"/>
      <c r="Q108" s="844"/>
    </row>
    <row r="109" spans="1:17" ht="15.75" thickBot="1">
      <c r="A109" s="874"/>
      <c r="B109" s="1052"/>
      <c r="C109" s="910"/>
      <c r="D109" s="931"/>
      <c r="E109" s="931"/>
      <c r="F109" s="931"/>
      <c r="G109" s="931"/>
      <c r="H109" s="931"/>
      <c r="I109" s="931"/>
      <c r="J109" s="931"/>
      <c r="K109" s="931"/>
      <c r="L109" s="931"/>
      <c r="M109" s="932"/>
      <c r="N109" s="2367"/>
      <c r="O109" s="2367"/>
      <c r="P109" s="334"/>
      <c r="Q109" s="844"/>
    </row>
    <row r="110" spans="1:17" ht="15" thickTop="1">
      <c r="A110" s="939"/>
      <c r="B110" s="1051" t="s">
        <v>86</v>
      </c>
      <c r="C110" s="131"/>
      <c r="D110" s="131"/>
      <c r="E110" s="131"/>
      <c r="F110" s="131"/>
      <c r="G110" s="131"/>
      <c r="H110" s="131"/>
      <c r="I110" s="131"/>
      <c r="J110" s="131"/>
      <c r="K110" s="132"/>
      <c r="L110" s="133"/>
      <c r="M110" s="134"/>
      <c r="N110" s="2366"/>
      <c r="O110" s="2366"/>
      <c r="P110" s="334"/>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4"/>
      <c r="Q111" s="844"/>
    </row>
    <row r="112" spans="1:17" s="811" customFormat="1" ht="15" thickTop="1">
      <c r="A112" s="933"/>
      <c r="B112" s="1051" t="s">
        <v>2498</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1" t="s">
        <v>85</v>
      </c>
      <c r="C114" s="139"/>
      <c r="D114" s="139"/>
      <c r="E114" s="131"/>
      <c r="F114" s="131"/>
      <c r="G114" s="131"/>
      <c r="H114" s="131"/>
      <c r="I114" s="131"/>
      <c r="J114" s="131"/>
      <c r="K114" s="132"/>
      <c r="L114" s="133"/>
      <c r="M114" s="134"/>
      <c r="N114" s="2366"/>
      <c r="O114" s="2366"/>
      <c r="P114" s="334"/>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4"/>
      <c r="Q115" s="844"/>
    </row>
    <row r="116" spans="1:17" ht="15" thickTop="1">
      <c r="A116" s="939"/>
      <c r="B116" s="1051">
        <f>B38</f>
        <v>111</v>
      </c>
      <c r="C116" s="139"/>
      <c r="D116" s="139"/>
      <c r="E116" s="139"/>
      <c r="F116" s="139"/>
      <c r="G116" s="139"/>
      <c r="H116" s="131"/>
      <c r="I116" s="131"/>
      <c r="J116" s="131"/>
      <c r="K116" s="132"/>
      <c r="L116" s="133"/>
      <c r="M116" s="134"/>
      <c r="N116" s="2366"/>
      <c r="O116" s="2366"/>
      <c r="P116" s="334"/>
      <c r="Q116" s="844"/>
    </row>
    <row r="117" spans="1:17" ht="15.75" thickBot="1">
      <c r="A117" s="874"/>
      <c r="B117" s="1052"/>
      <c r="C117" s="900"/>
      <c r="D117" s="876"/>
      <c r="E117" s="876"/>
      <c r="F117" s="876"/>
      <c r="G117" s="876"/>
      <c r="H117" s="876"/>
      <c r="I117" s="876"/>
      <c r="J117" s="876"/>
      <c r="K117" s="876"/>
      <c r="L117" s="876"/>
      <c r="M117" s="877"/>
      <c r="N117" s="2367"/>
      <c r="O117" s="2367"/>
      <c r="P117" s="334"/>
      <c r="Q117" s="844"/>
    </row>
    <row r="118" spans="1:17" ht="15" thickTop="1">
      <c r="A118" s="939"/>
      <c r="B118" s="1051">
        <f>B39</f>
        <v>111</v>
      </c>
      <c r="C118" s="139"/>
      <c r="D118" s="139"/>
      <c r="E118" s="139"/>
      <c r="F118" s="139"/>
      <c r="G118" s="131"/>
      <c r="H118" s="131"/>
      <c r="I118" s="131"/>
      <c r="J118" s="131"/>
      <c r="K118" s="132"/>
      <c r="L118" s="133"/>
      <c r="M118" s="134"/>
      <c r="N118" s="2366"/>
      <c r="O118" s="2366"/>
      <c r="P118" s="334"/>
      <c r="Q118" s="844"/>
    </row>
    <row r="119" spans="1:17" ht="15.75" thickBot="1">
      <c r="A119" s="874"/>
      <c r="B119" s="1052"/>
      <c r="C119" s="900"/>
      <c r="D119" s="900"/>
      <c r="E119" s="900"/>
      <c r="F119" s="900"/>
      <c r="G119" s="876"/>
      <c r="H119" s="876"/>
      <c r="I119" s="876"/>
      <c r="J119" s="876"/>
      <c r="K119" s="876"/>
      <c r="L119" s="876"/>
      <c r="M119" s="877"/>
      <c r="N119" s="2367"/>
      <c r="O119" s="2367"/>
      <c r="P119" s="334"/>
      <c r="Q119" s="844"/>
    </row>
    <row r="120" spans="1:17" s="811" customFormat="1" ht="15" thickTop="1">
      <c r="A120" s="933"/>
      <c r="B120" s="1051">
        <f>B40</f>
        <v>111</v>
      </c>
      <c r="C120" s="140"/>
      <c r="D120" s="140"/>
      <c r="E120" s="140"/>
      <c r="F120" s="140"/>
      <c r="G120" s="1056"/>
      <c r="H120" s="1056"/>
      <c r="I120" s="1056"/>
      <c r="J120" s="1056"/>
      <c r="K120" s="1056"/>
      <c r="L120" s="1057"/>
      <c r="M120" s="1058"/>
      <c r="N120" s="2368"/>
      <c r="O120" s="2368"/>
      <c r="P120" s="898"/>
      <c r="Q120" s="899"/>
    </row>
    <row r="121" spans="1:17" s="811" customFormat="1" ht="15.75" thickBot="1">
      <c r="A121" s="908"/>
      <c r="B121" s="1076"/>
      <c r="C121" s="910"/>
      <c r="D121" s="910"/>
      <c r="E121" s="910"/>
      <c r="F121" s="910"/>
      <c r="G121" s="931"/>
      <c r="H121" s="931"/>
      <c r="I121" s="931"/>
      <c r="J121" s="931"/>
      <c r="K121" s="931"/>
      <c r="L121" s="931"/>
      <c r="M121" s="932"/>
      <c r="N121" s="2368"/>
      <c r="O121" s="2368"/>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A6" sqref="A6"/>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1788</v>
      </c>
      <c r="B1" s="1470"/>
      <c r="C1" s="86" t="s">
        <v>2499</v>
      </c>
      <c r="D1" s="1735">
        <f>SUM(D29:D30,D33:D39)</f>
        <v>0</v>
      </c>
      <c r="E1" s="1620"/>
      <c r="F1" s="1620"/>
      <c r="G1" s="1620"/>
      <c r="H1" s="1620"/>
      <c r="I1" s="1620"/>
      <c r="J1" s="1620"/>
      <c r="K1" s="2378"/>
      <c r="L1" s="1881" t="s">
        <v>1220</v>
      </c>
      <c r="M1" s="2133">
        <f>SUMPRODUCT((区片价!B5:B9=I2)*(区片价!C3:F3=E2)*(区片价!C5:F9))</f>
        <v>0</v>
      </c>
      <c r="N1" s="2136">
        <f>SUMPRODUCT((因素修正幅度!B5:B9=I2)*(因素修正幅度!C3:F3=E2)*(因素修正幅度!C5:F9))</f>
        <v>0</v>
      </c>
      <c r="O1" s="2382"/>
      <c r="P1" s="2382"/>
      <c r="Q1" s="2378"/>
      <c r="R1" s="3068" t="s">
        <v>2885</v>
      </c>
      <c r="S1" s="3068" t="s">
        <v>2886</v>
      </c>
      <c r="T1" s="3068" t="s">
        <v>2887</v>
      </c>
      <c r="U1" s="3068" t="s">
        <v>2888</v>
      </c>
      <c r="V1" s="3068" t="s">
        <v>2889</v>
      </c>
      <c r="W1" s="3069"/>
      <c r="X1" s="3069"/>
      <c r="Y1" s="3069"/>
      <c r="Z1" s="3069"/>
      <c r="AA1" s="3069"/>
      <c r="AB1" s="3069"/>
      <c r="AC1" s="3070"/>
      <c r="AD1" s="3071"/>
      <c r="AE1" s="3071"/>
      <c r="AF1" s="3071"/>
      <c r="AG1" s="3071"/>
      <c r="AH1" s="3071"/>
      <c r="AI1" s="3071"/>
      <c r="AJ1" s="3072"/>
    </row>
    <row r="2" spans="1:36" ht="15.75">
      <c r="A2" s="86" t="s">
        <v>1789</v>
      </c>
      <c r="B2" s="580" t="e">
        <f>C26</f>
        <v>#DIV/0!</v>
      </c>
      <c r="C2" s="1468" t="s">
        <v>1130</v>
      </c>
      <c r="D2" s="1625" t="s">
        <v>1790</v>
      </c>
      <c r="E2" s="1779"/>
      <c r="F2" s="1625" t="s">
        <v>1791</v>
      </c>
      <c r="G2" s="1602">
        <f>IF(E2="商业",项目基本情况!B37,IF(E2="办公",项目基本情况!C37,IF(E2="住宅",项目基本情况!D37,项目基本情况!E37)))</f>
        <v>0</v>
      </c>
      <c r="H2" s="1625" t="s">
        <v>1792</v>
      </c>
      <c r="I2" s="1602">
        <f>IF(E2="商业",项目基本情况!B38,IF(E2="办公",项目基本情况!C38,IF(E2="住宅",项目基本情况!D38,项目基本情况!E38)))</f>
        <v>0</v>
      </c>
      <c r="J2" s="1626"/>
      <c r="K2" s="2378"/>
      <c r="L2" s="1882" t="s">
        <v>1277</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1793</v>
      </c>
      <c r="B3" s="580" t="e">
        <f>ROUND(B2*10000/D1,0)</f>
        <v>#DIV/0!</v>
      </c>
      <c r="C3" s="1468" t="s">
        <v>1794</v>
      </c>
      <c r="D3" s="1625" t="s">
        <v>1133</v>
      </c>
      <c r="E3" s="1780"/>
      <c r="F3" s="1781" t="s">
        <v>3020</v>
      </c>
      <c r="G3" s="1627">
        <f>IF(F3="宗地容积率",'数据-汇总表'!I4,IF(F3="估价对象容积率",'数据-汇总表'!I6,'数据-汇总表'!I7))</f>
        <v>1.45</v>
      </c>
      <c r="H3" s="1628" t="s">
        <v>1134</v>
      </c>
      <c r="I3" s="1782"/>
      <c r="J3" s="1626" t="s">
        <v>1135</v>
      </c>
      <c r="K3" s="2378"/>
      <c r="L3" s="1882" t="s">
        <v>1450</v>
      </c>
      <c r="M3" s="2134">
        <f>SUMPRODUCT((区片价!B29:B48=I2)*(区片价!C3:F3=E2)*(区片价!C29:F48))</f>
        <v>0</v>
      </c>
      <c r="N3" s="2136">
        <f>SUMPRODUCT((因素修正幅度!B29:B48=I2)*(因素修正幅度!C3:F3=E2)*(因素修正幅度!C29:F48))</f>
        <v>0</v>
      </c>
      <c r="O3" s="2378"/>
      <c r="P3" s="2378"/>
      <c r="Q3" s="2378"/>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816"/>
      <c r="B4" s="3817"/>
      <c r="C4" s="3817"/>
      <c r="D4" s="3818"/>
      <c r="E4" s="3818"/>
      <c r="F4" s="3818"/>
      <c r="G4" s="3818"/>
      <c r="H4" s="3818"/>
      <c r="I4" s="3818"/>
      <c r="J4" s="3819"/>
      <c r="K4" s="2378"/>
      <c r="L4" s="1882" t="s">
        <v>1131</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1931</v>
      </c>
      <c r="B5" s="1629" t="s">
        <v>1795</v>
      </c>
      <c r="C5" s="1630" t="e">
        <f>ROUND(IF(E2="商业",IF(F16="增加",C6*C7+C16,C6*C7-C16),IF(E2="住宅",IF(F16="增加",C6*C12+C16,C6*C12-C16),IF(F16="增加",C6+C16,C6-C16))),0)</f>
        <v>#DIV/0!</v>
      </c>
      <c r="D5" s="3338">
        <f>ROUND(IF(E2="商业",IF(F16="增加",C6+C16,C6-C16)),0)</f>
        <v>0</v>
      </c>
      <c r="E5" s="1631"/>
      <c r="F5" s="1631"/>
      <c r="G5" s="1632"/>
      <c r="H5" s="1632"/>
      <c r="I5" s="1632"/>
      <c r="J5" s="1633"/>
      <c r="K5" s="2383"/>
      <c r="L5" s="1882" t="s">
        <v>1531</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1938</v>
      </c>
      <c r="B6" s="1636" t="s">
        <v>1795</v>
      </c>
      <c r="C6" s="1637">
        <f>SUMIF(L1:L12,G2,M1:M12)</f>
        <v>0</v>
      </c>
      <c r="D6" s="1638" t="s">
        <v>1796</v>
      </c>
      <c r="E6" s="1639"/>
      <c r="F6" s="1639"/>
      <c r="G6" s="1640"/>
      <c r="H6" s="1640"/>
      <c r="I6" s="1640"/>
      <c r="J6" s="1641"/>
      <c r="K6" s="2384"/>
      <c r="L6" s="1882" t="s">
        <v>202</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800" t="str">
        <f>IF(E2="商业",IF(C8="不临58条商业街","",2),"")</f>
        <v/>
      </c>
      <c r="B7" s="1642" t="s">
        <v>1797</v>
      </c>
      <c r="C7" s="1643" t="e">
        <f>IF(C8="不临58条商业街",1,ROUND(1+(1.6*E8+1.2*E9+0.8*E10+0.4*E11)*C9,4))</f>
        <v>#DIV/0!</v>
      </c>
      <c r="D7" s="1644" t="s">
        <v>1798</v>
      </c>
      <c r="E7" s="1783"/>
      <c r="F7" s="1645"/>
      <c r="G7" s="1646"/>
      <c r="H7" s="1646"/>
      <c r="I7" s="1646"/>
      <c r="J7" s="1647"/>
      <c r="K7" s="2384"/>
      <c r="L7" s="1882" t="s">
        <v>1534</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2890</v>
      </c>
      <c r="X7" s="3079">
        <f>G2</f>
        <v>0</v>
      </c>
      <c r="Y7" s="3079" t="s">
        <v>2891</v>
      </c>
      <c r="Z7" s="3080">
        <f>G3</f>
        <v>1.45</v>
      </c>
      <c r="AA7" s="3081"/>
      <c r="AB7" s="3081"/>
      <c r="AC7" s="3082"/>
      <c r="AD7" s="3083"/>
      <c r="AE7" s="3083"/>
      <c r="AF7" s="3083"/>
      <c r="AG7" s="3083"/>
      <c r="AH7" s="3083"/>
      <c r="AI7" s="3083"/>
      <c r="AJ7" s="3084"/>
    </row>
    <row r="8" spans="1:36" ht="15">
      <c r="A8" s="3801"/>
      <c r="B8" s="1628" t="s">
        <v>1799</v>
      </c>
      <c r="C8" s="1784"/>
      <c r="D8" s="1648" t="s">
        <v>1136</v>
      </c>
      <c r="E8" s="1649" t="e">
        <f>ROUND(C11/E7,4)</f>
        <v>#DIV/0!</v>
      </c>
      <c r="F8" s="1650" t="s">
        <v>1800</v>
      </c>
      <c r="G8" s="1651"/>
      <c r="H8" s="1651"/>
      <c r="I8" s="1651"/>
      <c r="J8" s="1652"/>
      <c r="K8" s="2378"/>
      <c r="L8" s="1882" t="s">
        <v>1536</v>
      </c>
      <c r="M8" s="2134">
        <f>SUMPRODUCT((区片价!B206:B244=I2)*(区片价!C3:F3=E2)*(区片价!C206:F244))</f>
        <v>0</v>
      </c>
      <c r="N8" s="2136">
        <f>SUMPRODUCT((因素修正幅度!B206:B244=I2)*(因素修正幅度!C3:F3=E2)*(因素修正幅度!C206:F244))</f>
        <v>0</v>
      </c>
      <c r="O8" s="2378"/>
      <c r="P8" s="2378"/>
      <c r="Q8" s="2378"/>
      <c r="R8" s="3073">
        <v>7</v>
      </c>
      <c r="S8" s="3074"/>
      <c r="T8" s="3073" t="e">
        <f t="shared" si="0"/>
        <v>#DIV/0!</v>
      </c>
      <c r="U8" s="3074"/>
      <c r="V8" s="3073" t="e">
        <f t="shared" si="1"/>
        <v>#DIV/0!</v>
      </c>
      <c r="W8" s="3813" t="s">
        <v>2892</v>
      </c>
      <c r="X8" s="3814"/>
      <c r="Y8" s="3085" t="s">
        <v>164</v>
      </c>
      <c r="Z8" s="3085" t="s">
        <v>165</v>
      </c>
      <c r="AA8" s="3085" t="s">
        <v>160</v>
      </c>
      <c r="AB8" s="3085" t="s">
        <v>161</v>
      </c>
      <c r="AC8" s="3085" t="s">
        <v>162</v>
      </c>
      <c r="AD8" s="3085" t="s">
        <v>163</v>
      </c>
      <c r="AE8" s="3085" t="s">
        <v>1171</v>
      </c>
      <c r="AF8" s="3085" t="s">
        <v>1172</v>
      </c>
      <c r="AG8" s="3085" t="s">
        <v>1173</v>
      </c>
      <c r="AH8" s="3085" t="s">
        <v>1174</v>
      </c>
      <c r="AI8" s="3085" t="s">
        <v>1175</v>
      </c>
      <c r="AJ8" s="3085" t="s">
        <v>1176</v>
      </c>
    </row>
    <row r="9" spans="1:36" ht="15">
      <c r="A9" s="3801"/>
      <c r="B9" s="1628" t="s">
        <v>1801</v>
      </c>
      <c r="C9" s="1653">
        <f>SUMIF(修正!C59:C119,C8,修正!E59:E119)</f>
        <v>0</v>
      </c>
      <c r="D9" s="532" t="s">
        <v>1137</v>
      </c>
      <c r="E9" s="532" t="e">
        <f>ROUND(C11/E7,4)</f>
        <v>#DIV/0!</v>
      </c>
      <c r="F9" s="1650" t="s">
        <v>1802</v>
      </c>
      <c r="G9" s="1651"/>
      <c r="H9" s="1651"/>
      <c r="I9" s="1651"/>
      <c r="J9" s="1652"/>
      <c r="K9" s="2378"/>
      <c r="L9" s="1882" t="s">
        <v>1538</v>
      </c>
      <c r="M9" s="2134">
        <f>SUMPRODUCT((区片价!B245:B289=I2)*(区片价!C3:F3=E2)*(区片价!C245:F289))</f>
        <v>0</v>
      </c>
      <c r="N9" s="2136">
        <f>SUMPRODUCT((因素修正幅度!B245:B289=I2)*(因素修正幅度!C3:F3=E2)*(因素修正幅度!C245:F289))</f>
        <v>0</v>
      </c>
      <c r="O9" s="2378"/>
      <c r="P9" s="2378"/>
      <c r="Q9" s="2378"/>
      <c r="R9" s="3073">
        <v>8</v>
      </c>
      <c r="S9" s="3074"/>
      <c r="T9" s="3073" t="e">
        <f t="shared" si="0"/>
        <v>#DIV/0!</v>
      </c>
      <c r="U9" s="3074"/>
      <c r="V9" s="3073" t="e">
        <f t="shared" si="1"/>
        <v>#DIV/0!</v>
      </c>
      <c r="W9" s="3815" t="s">
        <v>2893</v>
      </c>
      <c r="X9" s="3086" t="s">
        <v>1758</v>
      </c>
      <c r="Y9" s="3305"/>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801"/>
      <c r="B10" s="1628" t="s">
        <v>1803</v>
      </c>
      <c r="C10" s="532">
        <f>SUMIF(修正!C59:C119,C8,修正!F59:F119)</f>
        <v>0</v>
      </c>
      <c r="D10" s="532" t="s">
        <v>1138</v>
      </c>
      <c r="E10" s="532" t="e">
        <f>ROUND(C11/E7,4)</f>
        <v>#DIV/0!</v>
      </c>
      <c r="F10" s="1650" t="s">
        <v>1804</v>
      </c>
      <c r="G10" s="1651"/>
      <c r="H10" s="1651"/>
      <c r="I10" s="1651"/>
      <c r="J10" s="1652"/>
      <c r="K10" s="2378"/>
      <c r="L10" s="1882" t="s">
        <v>1542</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t="e">
        <f t="shared" si="0"/>
        <v>#DIV/0!</v>
      </c>
      <c r="U10" s="3074"/>
      <c r="V10" s="3073" t="e">
        <f t="shared" si="1"/>
        <v>#DIV/0!</v>
      </c>
      <c r="W10" s="3815"/>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801"/>
      <c r="B11" s="1654" t="s">
        <v>1805</v>
      </c>
      <c r="C11" s="1655">
        <f>C10/4</f>
        <v>0</v>
      </c>
      <c r="D11" s="1655" t="s">
        <v>1139</v>
      </c>
      <c r="E11" s="1655" t="e">
        <f>ROUND(C11/E7,4)</f>
        <v>#DIV/0!</v>
      </c>
      <c r="F11" s="1656" t="s">
        <v>1806</v>
      </c>
      <c r="G11" s="1657"/>
      <c r="H11" s="1657"/>
      <c r="I11" s="1657"/>
      <c r="J11" s="1658"/>
      <c r="K11" s="2378"/>
      <c r="L11" s="1882" t="s">
        <v>1941</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t="e">
        <f t="shared" si="0"/>
        <v>#DIV/0!</v>
      </c>
      <c r="U11" s="3074"/>
      <c r="V11" s="3073" t="e">
        <f t="shared" si="1"/>
        <v>#DIV/0!</v>
      </c>
      <c r="W11" s="3815" t="s">
        <v>2894</v>
      </c>
      <c r="X11" s="3089" t="s">
        <v>2891</v>
      </c>
      <c r="Y11" s="3090">
        <f>$G$3</f>
        <v>1.45</v>
      </c>
      <c r="Z11" s="3090">
        <f t="shared" ref="Z11:AJ11" si="3">$G$3</f>
        <v>1.45</v>
      </c>
      <c r="AA11" s="3090">
        <f t="shared" si="3"/>
        <v>1.45</v>
      </c>
      <c r="AB11" s="3090">
        <f t="shared" si="3"/>
        <v>1.45</v>
      </c>
      <c r="AC11" s="3090">
        <f t="shared" si="3"/>
        <v>1.45</v>
      </c>
      <c r="AD11" s="3090">
        <f t="shared" si="3"/>
        <v>1.45</v>
      </c>
      <c r="AE11" s="3090">
        <f t="shared" si="3"/>
        <v>1.45</v>
      </c>
      <c r="AF11" s="3090">
        <f t="shared" si="3"/>
        <v>1.45</v>
      </c>
      <c r="AG11" s="3090">
        <f t="shared" si="3"/>
        <v>1.45</v>
      </c>
      <c r="AH11" s="3090">
        <f t="shared" si="3"/>
        <v>1.45</v>
      </c>
      <c r="AI11" s="3090">
        <f t="shared" si="3"/>
        <v>1.45</v>
      </c>
      <c r="AJ11" s="3090">
        <f t="shared" si="3"/>
        <v>1.45</v>
      </c>
    </row>
    <row r="12" spans="1:36" ht="26.25" thickBot="1">
      <c r="A12" s="3800" t="s">
        <v>1939</v>
      </c>
      <c r="B12" s="1659" t="s">
        <v>1807</v>
      </c>
      <c r="C12" s="1643">
        <f>ROUND(C15*D15*E15*F15*G15*H15*I15*J15,4)</f>
        <v>1</v>
      </c>
      <c r="D12" s="1660" t="s">
        <v>1808</v>
      </c>
      <c r="E12" s="1661"/>
      <c r="F12" s="1661"/>
      <c r="G12" s="1662"/>
      <c r="H12" s="1662"/>
      <c r="I12" s="1662"/>
      <c r="J12" s="1663"/>
      <c r="K12" s="2378"/>
      <c r="L12" s="1883" t="s">
        <v>1942</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t="e">
        <f t="shared" si="0"/>
        <v>#DIV/0!</v>
      </c>
      <c r="U12" s="3074"/>
      <c r="V12" s="3073" t="e">
        <f t="shared" si="1"/>
        <v>#DIV/0!</v>
      </c>
      <c r="W12" s="3815"/>
      <c r="X12" s="3091" t="s">
        <v>1761</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820"/>
      <c r="B13" s="1664" t="s">
        <v>1809</v>
      </c>
      <c r="C13" s="1665" t="s">
        <v>1810</v>
      </c>
      <c r="D13" s="1666" t="s">
        <v>1811</v>
      </c>
      <c r="E13" s="1666" t="s">
        <v>1812</v>
      </c>
      <c r="F13" s="81" t="s">
        <v>1140</v>
      </c>
      <c r="G13" s="1785" t="s">
        <v>1863</v>
      </c>
      <c r="H13" s="1785" t="s">
        <v>1863</v>
      </c>
      <c r="I13" s="1785" t="s">
        <v>1863</v>
      </c>
      <c r="J13" s="1786" t="s">
        <v>1863</v>
      </c>
      <c r="K13" s="2378"/>
      <c r="L13" s="2378"/>
      <c r="M13" s="2378"/>
      <c r="N13" s="2378"/>
      <c r="O13" s="2378"/>
      <c r="P13" s="2378"/>
      <c r="Q13" s="2378"/>
      <c r="R13" s="3073">
        <v>12</v>
      </c>
      <c r="S13" s="3074"/>
      <c r="T13" s="3073" t="e">
        <f t="shared" si="0"/>
        <v>#DIV/0!</v>
      </c>
      <c r="U13" s="3074"/>
      <c r="V13" s="3073" t="e">
        <f t="shared" si="1"/>
        <v>#DIV/0!</v>
      </c>
      <c r="W13" s="3815"/>
      <c r="X13" s="3091"/>
      <c r="Y13" s="3088">
        <f>(-0.163*(Y12^2)-0.59*Y12+7617)*(10^(-4))/Y11</f>
        <v>0.52531034482758621</v>
      </c>
      <c r="Z13" s="3088">
        <f t="shared" ref="Z13:AJ13" si="5">(-0.163*(Z12^2)-0.59*Z12+7617)*(10^(-4))/Z11</f>
        <v>0.52531034482758621</v>
      </c>
      <c r="AA13" s="3088">
        <f t="shared" si="5"/>
        <v>0.52531034482758621</v>
      </c>
      <c r="AB13" s="3088">
        <f t="shared" si="5"/>
        <v>0.52531034482758621</v>
      </c>
      <c r="AC13" s="3088">
        <f t="shared" si="5"/>
        <v>0.52531034482758621</v>
      </c>
      <c r="AD13" s="3088">
        <f t="shared" si="5"/>
        <v>0.52531034482758621</v>
      </c>
      <c r="AE13" s="3088">
        <f t="shared" si="5"/>
        <v>0.52531034482758621</v>
      </c>
      <c r="AF13" s="3088">
        <f t="shared" si="5"/>
        <v>0.52531034482758621</v>
      </c>
      <c r="AG13" s="3088">
        <f t="shared" si="5"/>
        <v>0.52531034482758621</v>
      </c>
      <c r="AH13" s="3088">
        <f t="shared" si="5"/>
        <v>0.52531034482758621</v>
      </c>
      <c r="AI13" s="3088">
        <f t="shared" si="5"/>
        <v>0.52531034482758621</v>
      </c>
      <c r="AJ13" s="3088">
        <f t="shared" si="5"/>
        <v>0.52531034482758621</v>
      </c>
    </row>
    <row r="14" spans="1:36" ht="15">
      <c r="A14" s="3820"/>
      <c r="B14" s="1667"/>
      <c r="C14" s="1787"/>
      <c r="D14" s="1484"/>
      <c r="E14" s="1484"/>
      <c r="F14" s="1788"/>
      <c r="G14" s="1668" t="s">
        <v>1840</v>
      </c>
      <c r="H14" s="1669"/>
      <c r="I14" s="1670"/>
      <c r="J14" s="1671"/>
      <c r="K14" s="2378"/>
      <c r="L14" s="2378"/>
      <c r="M14" s="2378"/>
      <c r="N14" s="2378"/>
      <c r="O14" s="2378"/>
      <c r="P14" s="2378"/>
      <c r="Q14" s="2378"/>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821"/>
      <c r="B15" s="1672" t="s">
        <v>1813</v>
      </c>
      <c r="C15" s="561">
        <f>IF(C14="有",1.1,1)</f>
        <v>1</v>
      </c>
      <c r="D15" s="561">
        <f>IF(D14="有",1.1,1)</f>
        <v>1</v>
      </c>
      <c r="E15" s="561">
        <f>IF(E14="有",1.1,1)</f>
        <v>1</v>
      </c>
      <c r="F15" s="561">
        <f>IF(F14="500米范围内",1.2,IF(F14="500-1000米",1.1,1))</f>
        <v>1</v>
      </c>
      <c r="G15" s="1789">
        <v>1</v>
      </c>
      <c r="H15" s="1789">
        <v>1</v>
      </c>
      <c r="I15" s="1789">
        <v>1</v>
      </c>
      <c r="J15" s="1790">
        <v>1</v>
      </c>
      <c r="K15" s="2378"/>
      <c r="L15" s="1703" t="s">
        <v>1829</v>
      </c>
      <c r="M15" s="1704" t="s">
        <v>1830</v>
      </c>
      <c r="N15" s="1704" t="s">
        <v>1831</v>
      </c>
      <c r="O15" s="1704" t="s">
        <v>974</v>
      </c>
      <c r="P15" s="1705" t="s">
        <v>1832</v>
      </c>
      <c r="Q15" s="2378"/>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800" t="s">
        <v>1940</v>
      </c>
      <c r="B16" s="1642" t="s">
        <v>1814</v>
      </c>
      <c r="C16" s="1775" t="e">
        <f>ROUND(SUM(G17:J17)/C17,0)</f>
        <v>#DIV/0!</v>
      </c>
      <c r="D16" s="1673" t="s">
        <v>1815</v>
      </c>
      <c r="E16" s="1791"/>
      <c r="F16" s="1792"/>
      <c r="G16" s="1793"/>
      <c r="H16" s="1793"/>
      <c r="I16" s="1793"/>
      <c r="J16" s="1794"/>
      <c r="K16" s="2378"/>
      <c r="L16" s="1709" t="s">
        <v>1834</v>
      </c>
      <c r="M16" s="1653">
        <v>0.25</v>
      </c>
      <c r="N16" s="1653">
        <v>0.2</v>
      </c>
      <c r="O16" s="1653">
        <v>0.15</v>
      </c>
      <c r="P16" s="2728">
        <v>0.1</v>
      </c>
      <c r="Q16" s="2729"/>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801"/>
      <c r="B17" s="1674" t="s">
        <v>1816</v>
      </c>
      <c r="C17" s="1675">
        <f>SUMPRODUCT((修正!A2:A5=E2)*(修正!B1:M1=G2)*(修正!B2:M5))</f>
        <v>0</v>
      </c>
      <c r="D17" s="1676" t="s">
        <v>1817</v>
      </c>
      <c r="E17" s="1746" t="str">
        <f>IF(OR(G2="八级",G2="九级",G2="十级",G2="十一级",G2="十二级"),"五通一平","七通一平")</f>
        <v>七通一平</v>
      </c>
      <c r="F17" s="1677" t="s">
        <v>1818</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1823</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6" t="s">
        <v>1932</v>
      </c>
      <c r="B18" s="1679" t="s">
        <v>1819</v>
      </c>
      <c r="C18" s="1680">
        <f>SUMIF(修正!C18:C39,E3,修正!E18:E39)</f>
        <v>0</v>
      </c>
      <c r="D18" s="1681"/>
      <c r="E18" s="1682"/>
      <c r="F18" s="1683"/>
      <c r="G18" s="1684"/>
      <c r="H18" s="1684"/>
      <c r="I18" s="1684"/>
      <c r="J18" s="1685"/>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6" t="s">
        <v>1933</v>
      </c>
      <c r="B19" s="1679" t="s">
        <v>1820</v>
      </c>
      <c r="C19" s="1688" t="e">
        <f>ROUND(IF(H19="按公示增长率计算",SUMPRODUCT((地价!A3:A19=YEAR(G19)&amp;"-"&amp;ROUNDUP(MONTH(G19)/3,0))*(地价!X2:AB2=E2)*(地价!X3:AB19)),IF(H19="地价指数",M20/M19,(1+I19)^O19)),4)</f>
        <v>#DIV/0!</v>
      </c>
      <c r="D19" s="1689" t="s">
        <v>1141</v>
      </c>
      <c r="E19" s="1690">
        <v>41640</v>
      </c>
      <c r="F19" s="1689" t="s">
        <v>1142</v>
      </c>
      <c r="G19" s="1691">
        <f>'数据-取费表'!B2</f>
        <v>42975</v>
      </c>
      <c r="H19" s="3015" t="s">
        <v>2953</v>
      </c>
      <c r="I19" s="1692" t="str">
        <f>IF(H19="季度增幅（自定义）",SUMIF(N21:N24,E2,O21:O24),"")</f>
        <v/>
      </c>
      <c r="J19" s="1685"/>
      <c r="K19" s="2385"/>
      <c r="L19" s="3240" t="s">
        <v>2951</v>
      </c>
      <c r="M19" s="3242">
        <f>ROUND(SUMIF(地价!B2:F2,E2,地价!B19:F19),0)</f>
        <v>0</v>
      </c>
      <c r="N19" s="3238" t="s">
        <v>1865</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3"/>
      <c r="AI19" s="1634"/>
      <c r="AJ19" s="1634"/>
      <c r="AK19" s="1634"/>
    </row>
    <row r="20" spans="1:37" s="1635" customFormat="1" ht="27.75" thickBot="1">
      <c r="A20" s="1877" t="s">
        <v>1934</v>
      </c>
      <c r="B20" s="1748" t="s">
        <v>1821</v>
      </c>
      <c r="C20" s="1695" t="e">
        <f>ROUND(POWER(1+G20,J20-I20)*(POWER(1+G20,I20)-1)/(POWER(1+G20,J20)-1),4)</f>
        <v>#DIV/0!</v>
      </c>
      <c r="D20" s="1749" t="s">
        <v>1822</v>
      </c>
      <c r="E20" s="3293">
        <f ca="1">存贷款利率!D4/100</f>
        <v>4.3499999999999997E-2</v>
      </c>
      <c r="F20" s="1749" t="s">
        <v>1823</v>
      </c>
      <c r="G20" s="1750">
        <f>SUMIF(M15:P15,E2,M17:P17)</f>
        <v>0</v>
      </c>
      <c r="H20" s="1749" t="s">
        <v>1824</v>
      </c>
      <c r="I20" s="1751" t="e">
        <f>SUMIF('数据-取费表'!C6:C15,E2,'数据-取费表'!F6:F15)/COUNTIF('数据-取费表'!C6:C15,E2)</f>
        <v>#DIV/0!</v>
      </c>
      <c r="J20" s="1752">
        <f>IF(E2="住宅",70,IF(E2="商业",40,50))</f>
        <v>50</v>
      </c>
      <c r="K20" s="2385"/>
      <c r="L20" s="3241" t="s">
        <v>2952</v>
      </c>
      <c r="M20" s="3243">
        <f>ROUND(SUMPRODUCT((地价!A4:A19=YEAR(G19)&amp;"-"&amp;ROUNDUP(MONTH(G19)/3,0))*(地价!B2:F2=E2)*(地价!B4:F19)),0)</f>
        <v>0</v>
      </c>
      <c r="N20" s="3239" t="s">
        <v>2780</v>
      </c>
      <c r="O20" s="3016" t="s">
        <v>2781</v>
      </c>
      <c r="P20" s="3017" t="s">
        <v>2790</v>
      </c>
      <c r="R20" s="2735"/>
      <c r="S20" s="2735"/>
      <c r="T20" s="2730"/>
      <c r="U20" s="2730"/>
      <c r="V20" s="2730"/>
      <c r="W20" s="2729"/>
      <c r="X20" s="2729"/>
      <c r="Y20" s="2729"/>
      <c r="Z20" s="2736"/>
      <c r="AA20" s="2737"/>
      <c r="AB20" s="2737"/>
      <c r="AC20" s="2737"/>
      <c r="AD20" s="2737"/>
      <c r="AE20" s="1686"/>
      <c r="AF20" s="1686"/>
    </row>
    <row r="21" spans="1:37" s="1635" customFormat="1" ht="14.25">
      <c r="A21" s="1878" t="s">
        <v>1935</v>
      </c>
      <c r="B21" s="1795" t="s">
        <v>2493</v>
      </c>
      <c r="C21" s="1753">
        <f>IF(B21="容积率修正",IF(G3&lt;=10,D22,J22),C23)</f>
        <v>0</v>
      </c>
      <c r="D21" s="1754"/>
      <c r="E21" s="1754"/>
      <c r="F21" s="1754"/>
      <c r="G21" s="1754"/>
      <c r="H21" s="1754"/>
      <c r="I21" s="1754"/>
      <c r="J21" s="1755"/>
      <c r="K21" s="2385"/>
      <c r="N21" s="3018" t="s">
        <v>2782</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6"/>
      <c r="AF21" s="1686"/>
    </row>
    <row r="22" spans="1:37" s="1635" customFormat="1" ht="14.25">
      <c r="A22" s="190" t="s">
        <v>1938</v>
      </c>
      <c r="B22" s="1697" t="s">
        <v>1825</v>
      </c>
      <c r="C22" s="1776" t="s">
        <v>1838</v>
      </c>
      <c r="D22" s="1776">
        <f>IF(E22=G22,F22,IF(G3&lt;=10,ROUND(F22+(H22-F22)*(G3-E22)/(G22-E22),4),"——"))</f>
        <v>0</v>
      </c>
      <c r="E22" s="1627">
        <f>ROUNDDOWN(G3,1)</f>
        <v>1.4</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1.5</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1155</v>
      </c>
      <c r="J22" s="1756" t="str">
        <f>IF(G3&gt;10,D113,"——")</f>
        <v>——</v>
      </c>
      <c r="K22" s="2385"/>
      <c r="N22" s="3018" t="s">
        <v>2783</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6"/>
      <c r="AF22" s="1686"/>
    </row>
    <row r="23" spans="1:37" ht="27.75" thickBot="1">
      <c r="A23" s="190" t="s">
        <v>1939</v>
      </c>
      <c r="B23" s="1868" t="s">
        <v>1826</v>
      </c>
      <c r="C23" s="1869">
        <f>ROUND(IF(G3&gt;1,IF(I3&lt;7,SUMPRODUCT((B93:B98=I3)*(C92:N92=G2)*(C93:N98)),SUMIF(C92:N92,G2,C100:N100)),IF(I3&lt;7,SUMPRODUCT((B102:B107=I3)*(C92:N92=G2)*(C102:N107)),SUMIF(C92:N92,G2,C109:N109))),4)</f>
        <v>0</v>
      </c>
      <c r="D23" s="1669"/>
      <c r="E23" s="1669"/>
      <c r="F23" s="1698"/>
      <c r="G23" s="1699"/>
      <c r="H23" s="1870"/>
      <c r="I23" s="1871"/>
      <c r="J23" s="1872"/>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7" t="s">
        <v>1936</v>
      </c>
      <c r="B24" s="1679" t="s">
        <v>1827</v>
      </c>
      <c r="C24" s="1688">
        <f>SUMIF(A45:A88,E2,B45:B88)</f>
        <v>0</v>
      </c>
      <c r="D24" s="1683"/>
      <c r="E24" s="1873"/>
      <c r="F24" s="1873"/>
      <c r="G24" s="1873"/>
      <c r="H24" s="1873"/>
      <c r="I24" s="1873"/>
      <c r="J24" s="1874"/>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6"/>
      <c r="AF24" s="1686"/>
    </row>
    <row r="25" spans="1:37" ht="15" thickBot="1">
      <c r="A25" s="1877" t="s">
        <v>1937</v>
      </c>
      <c r="B25" s="1700" t="s">
        <v>1828</v>
      </c>
      <c r="C25" s="1701"/>
      <c r="D25" s="1646"/>
      <c r="E25" s="1646"/>
      <c r="F25" s="1702"/>
      <c r="G25" s="1646"/>
      <c r="H25" s="1646"/>
      <c r="I25" s="1646"/>
      <c r="J25" s="1647"/>
      <c r="K25" s="2378"/>
      <c r="N25" s="3025" t="s">
        <v>2784</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80"/>
      <c r="B26" s="1697" t="s">
        <v>1859</v>
      </c>
      <c r="C26" s="538" t="e">
        <f>E29+SUM(E33:E39)</f>
        <v>#DIV/0!</v>
      </c>
      <c r="D26" s="1706"/>
      <c r="E26" s="1669"/>
      <c r="F26" s="1707"/>
      <c r="G26" s="1669"/>
      <c r="H26" s="1669"/>
      <c r="I26" s="1669"/>
      <c r="J26" s="1708"/>
      <c r="K26" s="2378"/>
      <c r="R26" s="2735"/>
      <c r="S26" s="2735"/>
      <c r="T26" s="2730"/>
      <c r="U26" s="2730"/>
      <c r="V26" s="2730"/>
      <c r="W26" s="2729"/>
      <c r="X26" s="2729"/>
      <c r="Y26" s="2729"/>
      <c r="Z26" s="2736"/>
      <c r="AA26" s="2737"/>
      <c r="AB26" s="2737"/>
      <c r="AC26" s="2737"/>
      <c r="AD26" s="2737"/>
    </row>
    <row r="27" spans="1:37" ht="15" thickBot="1">
      <c r="A27" s="1880"/>
      <c r="B27" s="1710" t="s">
        <v>1860</v>
      </c>
      <c r="C27" s="1711" t="e">
        <f>E30+SUM(I33:I39)</f>
        <v>#DIV/0!</v>
      </c>
      <c r="D27" s="1712"/>
      <c r="E27" s="1713"/>
      <c r="F27" s="1714"/>
      <c r="G27" s="1713"/>
      <c r="H27" s="1713"/>
      <c r="I27" s="1713"/>
      <c r="J27" s="1715"/>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7"/>
      <c r="B28" s="1717" t="s">
        <v>1858</v>
      </c>
      <c r="C28" s="1718" t="s">
        <v>1833</v>
      </c>
      <c r="D28" s="1718" t="s">
        <v>1849</v>
      </c>
      <c r="E28" s="1719" t="s">
        <v>1850</v>
      </c>
      <c r="F28" s="1720"/>
      <c r="G28" s="1662"/>
      <c r="H28" s="1662"/>
      <c r="I28" s="1662"/>
      <c r="J28" s="1663"/>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7"/>
      <c r="B29" s="1721" t="s">
        <v>1853</v>
      </c>
      <c r="C29" s="538" t="e">
        <f>ROUND(C5*C18*C19*C20*C21*C24,0)</f>
        <v>#DIV/0!</v>
      </c>
      <c r="D29" s="1744"/>
      <c r="E29" s="1778" t="e">
        <f>ROUND(C29*D29/10000,0)</f>
        <v>#DIV/0!</v>
      </c>
      <c r="F29" s="1722" t="s">
        <v>1835</v>
      </c>
      <c r="G29" s="1723"/>
      <c r="H29" s="1723"/>
      <c r="I29" s="1723"/>
      <c r="J29" s="1724"/>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5"/>
      <c r="B30" s="1726" t="s">
        <v>1854</v>
      </c>
      <c r="C30" s="561" t="e">
        <f>ROUND(IF(E2="工业",C29*M39,C29*M38),0)</f>
        <v>#DIV/0!</v>
      </c>
      <c r="D30" s="1745"/>
      <c r="E30" s="1778" t="e">
        <f>ROUND(C30*D30/10000,0)</f>
        <v>#DIV/0!</v>
      </c>
      <c r="F30" s="1727" t="s">
        <v>1851</v>
      </c>
      <c r="G30" s="1728"/>
      <c r="H30" s="1728"/>
      <c r="I30" s="1728"/>
      <c r="J30" s="1729"/>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0"/>
      <c r="B31" s="1731" t="s">
        <v>1855</v>
      </c>
      <c r="C31" s="1732" t="s">
        <v>1856</v>
      </c>
      <c r="D31" s="1662"/>
      <c r="E31" s="1732"/>
      <c r="F31" s="1732"/>
      <c r="G31" s="1660" t="s">
        <v>1857</v>
      </c>
      <c r="H31" s="1662"/>
      <c r="I31" s="1733"/>
      <c r="J31" s="1663"/>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7"/>
      <c r="B32" s="1734"/>
      <c r="C32" s="171" t="s">
        <v>1833</v>
      </c>
      <c r="D32" s="168" t="s">
        <v>1849</v>
      </c>
      <c r="E32" s="168" t="s">
        <v>1850</v>
      </c>
      <c r="F32" s="1735" t="s">
        <v>1837</v>
      </c>
      <c r="G32" s="1696" t="s">
        <v>1833</v>
      </c>
      <c r="H32" s="1696" t="s">
        <v>1849</v>
      </c>
      <c r="I32" s="1696" t="s">
        <v>1850</v>
      </c>
      <c r="J32" s="1736"/>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810" t="s">
        <v>3060</v>
      </c>
      <c r="B33" s="1738" t="s">
        <v>1157</v>
      </c>
      <c r="C33" s="538" t="e">
        <f>ROUND(D5*C19*C20*C24*F33,0)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811"/>
      <c r="B34" s="1665" t="s">
        <v>1158</v>
      </c>
      <c r="C34" s="538" t="e">
        <f>ROUND(D5*C19*C20*C24*F34,0)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811"/>
      <c r="B35" s="1665" t="s">
        <v>1159</v>
      </c>
      <c r="C35" s="538" t="e">
        <f>ROUND(D5*C19*C20*C24*F35,0)</f>
        <v>#DIV/0!</v>
      </c>
      <c r="D35" s="1744"/>
      <c r="E35" s="532" t="e">
        <f t="shared" si="7"/>
        <v>#DIV/0!</v>
      </c>
      <c r="F35" s="532">
        <f>SUMIF(修正!A45:A56,G2,修正!D45:D56)</f>
        <v>0</v>
      </c>
      <c r="G35" s="532" t="e">
        <f t="shared" si="6"/>
        <v>#DIV/0!</v>
      </c>
      <c r="H35" s="532">
        <f t="shared" si="8"/>
        <v>0</v>
      </c>
      <c r="I35" s="532"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3812"/>
      <c r="B36" s="1665" t="s">
        <v>1160</v>
      </c>
      <c r="C36" s="538" t="e">
        <f>ROUND(D5*C19*C20*C24*F36,0)</f>
        <v>#DIV/0!</v>
      </c>
      <c r="D36" s="1744"/>
      <c r="E36" s="532" t="e">
        <f t="shared" si="7"/>
        <v>#DIV/0!</v>
      </c>
      <c r="F36" s="532">
        <f>SUMIF(修正!A45:A56,G2,修正!E45:E56)</f>
        <v>0</v>
      </c>
      <c r="G36" s="532" t="e">
        <f t="shared" si="6"/>
        <v>#DIV/0!</v>
      </c>
      <c r="H36" s="532">
        <f t="shared" si="8"/>
        <v>0</v>
      </c>
      <c r="I36" s="532"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1161</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8"/>
      <c r="L37" s="2386" t="s">
        <v>1852</v>
      </c>
      <c r="M37" s="2387"/>
      <c r="N37" s="2378"/>
      <c r="O37" s="2378"/>
      <c r="P37" s="2378"/>
      <c r="Q37" s="2378"/>
      <c r="R37" s="2378"/>
      <c r="S37" s="2378"/>
      <c r="T37" s="2378"/>
      <c r="U37" s="2378"/>
      <c r="V37" s="2378"/>
      <c r="W37" s="2378"/>
      <c r="X37" s="2378"/>
      <c r="Y37" s="2378"/>
      <c r="Z37" s="2379"/>
    </row>
    <row r="38" spans="1:37" ht="12.75">
      <c r="A38" s="1737"/>
      <c r="B38" s="1665" t="s">
        <v>1162</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8"/>
      <c r="L38" s="1759" t="s">
        <v>1836</v>
      </c>
      <c r="M38" s="1760">
        <v>0.25</v>
      </c>
      <c r="N38" s="2378"/>
      <c r="O38" s="2378"/>
      <c r="P38" s="2378"/>
      <c r="Q38" s="2378"/>
      <c r="R38" s="2378"/>
      <c r="S38" s="2378"/>
      <c r="T38" s="2378"/>
      <c r="U38" s="2378"/>
      <c r="V38" s="2378"/>
      <c r="W38" s="2378"/>
      <c r="X38" s="2378"/>
      <c r="Y38" s="2378"/>
      <c r="Z38" s="2379"/>
    </row>
    <row r="39" spans="1:37" ht="13.5" thickBot="1">
      <c r="A39" s="1725"/>
      <c r="B39" s="1740" t="s">
        <v>1163</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8"/>
      <c r="L39" s="1761" t="s">
        <v>1832</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1772</v>
      </c>
      <c r="B45" s="1486"/>
      <c r="C45" s="1159"/>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2"/>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1773</v>
      </c>
      <c r="B47" s="1495" t="s">
        <v>1774</v>
      </c>
      <c r="C47" s="1496" t="s">
        <v>1775</v>
      </c>
      <c r="D47" s="1497" t="s">
        <v>1846</v>
      </c>
      <c r="E47" s="1498" t="s">
        <v>1848</v>
      </c>
      <c r="F47" s="2600" t="s">
        <v>2491</v>
      </c>
      <c r="G47" s="1497" t="s">
        <v>1844</v>
      </c>
      <c r="H47" s="2601" t="s">
        <v>2492</v>
      </c>
      <c r="I47" s="1497" t="s">
        <v>1847</v>
      </c>
      <c r="J47" s="943" t="s">
        <v>422</v>
      </c>
      <c r="K47" s="943" t="s">
        <v>423</v>
      </c>
      <c r="L47" s="943" t="s">
        <v>424</v>
      </c>
      <c r="M47" s="943" t="s">
        <v>425</v>
      </c>
      <c r="N47" s="943" t="s">
        <v>426</v>
      </c>
      <c r="AA47" s="2379"/>
      <c r="AB47" s="2379"/>
      <c r="AC47" s="2379"/>
      <c r="AD47" s="2379"/>
      <c r="AE47" s="2379"/>
      <c r="AF47" s="2379"/>
      <c r="AG47" s="2379"/>
      <c r="AH47" s="2379"/>
      <c r="AI47" s="2379"/>
      <c r="AJ47" s="2379"/>
      <c r="AK47" s="2379"/>
    </row>
    <row r="48" spans="1:37" s="2378" customFormat="1" ht="36">
      <c r="A48" s="1494" t="s">
        <v>1776</v>
      </c>
      <c r="B48" s="1499" t="str">
        <f>估价对象房地状况!C4</f>
        <v>周边3公里内商业项目以住宅底商为主，人流量一般，商服繁华度较差。</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60">
      <c r="A49" s="1494" t="s">
        <v>92</v>
      </c>
      <c r="B49" s="1503" t="str">
        <f>估价对象房地状况!C18</f>
        <v>估价对象周边道路密集度一般、周边有931、948路等公交线路经过，停车便捷程度较好，综合评价交通便捷度较差。</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109</v>
      </c>
      <c r="B50" s="1503" t="str">
        <f>估价对象房地状况!C19</f>
        <v>零星有其他用地，基本不影响本宗地</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1777</v>
      </c>
      <c r="B51" s="3296" t="s">
        <v>3022</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1778</v>
      </c>
      <c r="B52" s="1503" t="str">
        <f>估价对象房地状况!C24</f>
        <v>城市主干道——京昆路</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1779</v>
      </c>
      <c r="B53" s="3295" t="s">
        <v>3021</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60">
      <c r="A54" s="1505" t="s">
        <v>1780</v>
      </c>
      <c r="B54" s="2595" t="str">
        <f>估价对象房地状况!C21</f>
        <v>估价对象周边有银行、购物场所、餐饮等配套设施，基础设施水平较高；综合评价公用设施及基础设施水平较差。</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1781</v>
      </c>
      <c r="B55" s="1503" t="str">
        <f>估价对象房地状况!C22</f>
        <v>七通</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36.75" thickBot="1">
      <c r="A56" s="1507" t="s">
        <v>1782</v>
      </c>
      <c r="B56" s="1508" t="str">
        <f>估价对象房地状况!C20</f>
        <v>临近潭柘寺景区、戒台寺景区，绿化率高，综合评价环境状况较好</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1156</v>
      </c>
      <c r="B57" s="1489">
        <f>1+E59</f>
        <v>1</v>
      </c>
      <c r="C57" s="1511"/>
      <c r="D57" s="1491"/>
      <c r="E57" s="1492"/>
      <c r="F57" s="2132"/>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1773</v>
      </c>
      <c r="B58" s="1495"/>
      <c r="C58" s="1496" t="s">
        <v>1775</v>
      </c>
      <c r="D58" s="1497" t="s">
        <v>1846</v>
      </c>
      <c r="E58" s="1498" t="s">
        <v>1848</v>
      </c>
      <c r="F58" s="2600" t="s">
        <v>2288</v>
      </c>
      <c r="G58" s="1497" t="s">
        <v>1844</v>
      </c>
      <c r="H58" s="2601" t="s">
        <v>2492</v>
      </c>
      <c r="I58" s="1497" t="s">
        <v>1847</v>
      </c>
      <c r="J58" s="943" t="s">
        <v>422</v>
      </c>
      <c r="K58" s="943" t="s">
        <v>423</v>
      </c>
      <c r="L58" s="943" t="s">
        <v>424</v>
      </c>
      <c r="M58" s="943" t="s">
        <v>425</v>
      </c>
      <c r="N58" s="943" t="s">
        <v>426</v>
      </c>
      <c r="AA58" s="2379"/>
      <c r="AB58" s="2379"/>
      <c r="AC58" s="2379"/>
      <c r="AD58" s="2379"/>
      <c r="AE58" s="2379"/>
      <c r="AF58" s="2379"/>
      <c r="AG58" s="2379"/>
      <c r="AH58" s="2379"/>
      <c r="AI58" s="2379"/>
      <c r="AJ58" s="2379"/>
      <c r="AK58" s="2379"/>
    </row>
    <row r="59" spans="1:37" s="2378" customFormat="1" ht="36">
      <c r="A59" s="1494" t="s">
        <v>1087</v>
      </c>
      <c r="B59" s="1499" t="str">
        <f>估价对象房地状况!C17</f>
        <v>估价对象，周边办公楼项目较少，入驻率一般，办公集聚程度较差</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60">
      <c r="A60" s="1494" t="s">
        <v>92</v>
      </c>
      <c r="B60" s="1503" t="str">
        <f>估价对象房地状况!C18</f>
        <v>估价对象周边道路密集度一般、周边有931、948路等公交线路经过，停车便捷程度较好，综合评价交通便捷度较差。</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109</v>
      </c>
      <c r="B61" s="1503" t="str">
        <f>估价对象房地状况!C19</f>
        <v>零星有其他用地，基本不影响本宗地</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1777</v>
      </c>
      <c r="B62" s="3296" t="s">
        <v>3022</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1778</v>
      </c>
      <c r="B63" s="1503" t="str">
        <f>估价对象房地状况!C24</f>
        <v>城市主干道——京昆路</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1779</v>
      </c>
      <c r="B64" s="3295" t="s">
        <v>3021</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60">
      <c r="A65" s="1494" t="s">
        <v>1780</v>
      </c>
      <c r="B65" s="2595" t="str">
        <f>估价对象房地状况!C21</f>
        <v>估价对象周边有银行、购物场所、餐饮等配套设施，基础设施水平较高；综合评价公用设施及基础设施水平较差。</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1781</v>
      </c>
      <c r="B66" s="2595" t="str">
        <f>估价对象房地状况!C22</f>
        <v>七通</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7" t="s">
        <v>1782</v>
      </c>
      <c r="B67" s="1512" t="str">
        <f>估价对象房地状况!C20</f>
        <v>临近潭柘寺景区、戒台寺景区，绿化率高，综合评价环境状况较好</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974</v>
      </c>
      <c r="B68" s="1489">
        <f>1+E70</f>
        <v>1</v>
      </c>
      <c r="C68" s="1511"/>
      <c r="D68" s="1491"/>
      <c r="E68" s="1492"/>
      <c r="F68" s="2132"/>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1773</v>
      </c>
      <c r="B69" s="1495"/>
      <c r="C69" s="1496" t="s">
        <v>1775</v>
      </c>
      <c r="D69" s="1497" t="s">
        <v>1846</v>
      </c>
      <c r="E69" s="1498" t="s">
        <v>1848</v>
      </c>
      <c r="F69" s="2600" t="s">
        <v>2288</v>
      </c>
      <c r="G69" s="1497" t="s">
        <v>1844</v>
      </c>
      <c r="H69" s="2601" t="s">
        <v>2492</v>
      </c>
      <c r="I69" s="1497" t="s">
        <v>1847</v>
      </c>
      <c r="J69" s="943" t="s">
        <v>422</v>
      </c>
      <c r="K69" s="943" t="s">
        <v>423</v>
      </c>
      <c r="L69" s="943" t="s">
        <v>424</v>
      </c>
      <c r="M69" s="943" t="s">
        <v>425</v>
      </c>
      <c r="N69" s="943" t="s">
        <v>426</v>
      </c>
      <c r="AA69" s="2379"/>
      <c r="AB69" s="2379"/>
      <c r="AC69" s="2379"/>
      <c r="AD69" s="2379"/>
      <c r="AE69" s="2379"/>
      <c r="AF69" s="2379"/>
      <c r="AG69" s="2379"/>
      <c r="AH69" s="2379"/>
      <c r="AI69" s="2379"/>
      <c r="AJ69" s="2379"/>
      <c r="AK69" s="2379"/>
    </row>
    <row r="70" spans="1:37" s="2378" customFormat="1" ht="60">
      <c r="A70" s="1494" t="s">
        <v>110</v>
      </c>
      <c r="B70" s="1499" t="str">
        <f>估价对象房地状况!C15</f>
        <v>估价对象周边居住用地比例较低，周边3公里内有潭墅苑、鲁新家园的住宅项目，综合评价居住社区成熟度较差。</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60">
      <c r="A71" s="1494" t="s">
        <v>92</v>
      </c>
      <c r="B71" s="1503" t="str">
        <f>估价对象房地状况!C18</f>
        <v>估价对象周边道路密集度一般、周边有931、948路等公交线路经过，停车便捷程度较好，综合评价交通便捷度较差。</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109</v>
      </c>
      <c r="B72" s="1503" t="str">
        <f>估价对象房地状况!C19</f>
        <v>零星有其他用地，基本不影响本宗地</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1783</v>
      </c>
      <c r="B73" s="1503" t="str">
        <f>估价对象房地状况!C24</f>
        <v>城市主干道——京昆路</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60">
      <c r="A74" s="1494" t="s">
        <v>1780</v>
      </c>
      <c r="B74" s="2595" t="str">
        <f>估价对象房地状况!C21</f>
        <v>估价对象周边有银行、购物场所、餐饮等配套设施，基础设施水平较高；综合评价公用设施及基础设施水平较差。</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1781</v>
      </c>
      <c r="B75" s="2595" t="str">
        <f>估价对象房地状况!C22</f>
        <v>七通</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1779</v>
      </c>
      <c r="B76" s="3295" t="s">
        <v>3021</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4" t="s">
        <v>1782</v>
      </c>
      <c r="B77" s="1499" t="str">
        <f>估价对象房地状况!C20</f>
        <v>临近潭柘寺景区、戒台寺景区，绿化率高，综合评价环境状况较好</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1784</v>
      </c>
      <c r="B78" s="3294"/>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1098</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1773</v>
      </c>
      <c r="B80" s="1495"/>
      <c r="C80" s="1496" t="s">
        <v>1775</v>
      </c>
      <c r="D80" s="1497" t="s">
        <v>1846</v>
      </c>
      <c r="E80" s="1498" t="s">
        <v>1848</v>
      </c>
      <c r="F80" s="2600" t="s">
        <v>2288</v>
      </c>
      <c r="G80" s="1497" t="s">
        <v>1844</v>
      </c>
      <c r="H80" s="2601" t="s">
        <v>2492</v>
      </c>
      <c r="I80" s="1497" t="s">
        <v>1847</v>
      </c>
      <c r="J80" s="943" t="s">
        <v>422</v>
      </c>
      <c r="K80" s="943" t="s">
        <v>423</v>
      </c>
      <c r="L80" s="943" t="s">
        <v>424</v>
      </c>
      <c r="M80" s="943" t="s">
        <v>425</v>
      </c>
      <c r="N80" s="943" t="s">
        <v>426</v>
      </c>
      <c r="Z80" s="1624"/>
      <c r="AA80" s="1623"/>
      <c r="AG80" s="1622"/>
      <c r="AK80" s="1623"/>
    </row>
    <row r="81" spans="1:37" ht="36">
      <c r="A81" s="1494" t="s">
        <v>159</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109</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1783</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1780</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1781</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1779</v>
      </c>
      <c r="B87" s="3295" t="s">
        <v>2490</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1785</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802" t="s">
        <v>1754</v>
      </c>
      <c r="B90" s="3802"/>
      <c r="C90" s="3802"/>
      <c r="D90" s="3802"/>
      <c r="E90" s="3802"/>
      <c r="F90" s="3802"/>
      <c r="G90" s="3802"/>
      <c r="H90" s="3802"/>
      <c r="I90" s="3802"/>
      <c r="J90" s="3802"/>
      <c r="K90" s="2604"/>
      <c r="L90" s="2604"/>
      <c r="M90" s="2604"/>
      <c r="N90" s="2604"/>
    </row>
    <row r="91" spans="1:37">
      <c r="A91" s="3804" t="s">
        <v>68</v>
      </c>
      <c r="B91" s="3804" t="s">
        <v>1755</v>
      </c>
      <c r="C91" s="1583" t="s">
        <v>1756</v>
      </c>
      <c r="D91" s="1584"/>
      <c r="E91" s="1584"/>
      <c r="F91" s="1584"/>
      <c r="G91" s="1584"/>
      <c r="H91" s="1584"/>
      <c r="I91" s="1584"/>
      <c r="J91" s="1585"/>
      <c r="K91" s="1573"/>
      <c r="L91" s="1573"/>
      <c r="M91" s="1573"/>
      <c r="N91" s="1573"/>
    </row>
    <row r="92" spans="1:37">
      <c r="A92" s="3804"/>
      <c r="B92" s="3804"/>
      <c r="C92" s="2603" t="s">
        <v>164</v>
      </c>
      <c r="D92" s="2603" t="s">
        <v>165</v>
      </c>
      <c r="E92" s="2603" t="s">
        <v>160</v>
      </c>
      <c r="F92" s="2603" t="s">
        <v>161</v>
      </c>
      <c r="G92" s="2603" t="s">
        <v>162</v>
      </c>
      <c r="H92" s="2603" t="s">
        <v>163</v>
      </c>
      <c r="I92" s="2603" t="s">
        <v>1171</v>
      </c>
      <c r="J92" s="2603" t="s">
        <v>1172</v>
      </c>
      <c r="K92" s="2603" t="s">
        <v>1173</v>
      </c>
      <c r="L92" s="2603" t="s">
        <v>1174</v>
      </c>
      <c r="M92" s="2603" t="s">
        <v>1175</v>
      </c>
      <c r="N92" s="2603" t="s">
        <v>1176</v>
      </c>
    </row>
    <row r="93" spans="1:37">
      <c r="A93" s="3805" t="s">
        <v>1757</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806"/>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806"/>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806"/>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806"/>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806"/>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806"/>
      <c r="B99" s="1586" t="s">
        <v>1758</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807"/>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805" t="s">
        <v>1759</v>
      </c>
      <c r="B101" s="1590" t="s">
        <v>93</v>
      </c>
      <c r="C101" s="1591">
        <f>$G$3</f>
        <v>1.45</v>
      </c>
      <c r="D101" s="1591">
        <f t="shared" ref="D101:N101" si="31">$G$3</f>
        <v>1.45</v>
      </c>
      <c r="E101" s="1591">
        <f t="shared" si="31"/>
        <v>1.45</v>
      </c>
      <c r="F101" s="1591">
        <f t="shared" si="31"/>
        <v>1.45</v>
      </c>
      <c r="G101" s="1591">
        <f t="shared" si="31"/>
        <v>1.45</v>
      </c>
      <c r="H101" s="1591">
        <f t="shared" si="31"/>
        <v>1.45</v>
      </c>
      <c r="I101" s="1591">
        <f t="shared" si="31"/>
        <v>1.45</v>
      </c>
      <c r="J101" s="1591">
        <f t="shared" si="31"/>
        <v>1.45</v>
      </c>
      <c r="K101" s="1591">
        <f t="shared" si="31"/>
        <v>1.45</v>
      </c>
      <c r="L101" s="1591">
        <f t="shared" si="31"/>
        <v>1.45</v>
      </c>
      <c r="M101" s="1591">
        <f t="shared" si="31"/>
        <v>1.45</v>
      </c>
      <c r="N101" s="1591">
        <f t="shared" si="31"/>
        <v>1.45</v>
      </c>
    </row>
    <row r="102" spans="1:14">
      <c r="A102" s="3806"/>
      <c r="B102" s="1586">
        <v>1</v>
      </c>
      <c r="C102" s="1587">
        <f>1.9362/C101</f>
        <v>1.3353103448275863</v>
      </c>
      <c r="D102" s="1587">
        <f>1.9362/D101</f>
        <v>1.3353103448275863</v>
      </c>
      <c r="E102" s="1587">
        <f>1.8629/E101</f>
        <v>1.2847586206896553</v>
      </c>
      <c r="F102" s="1587">
        <f>1.8629/F101</f>
        <v>1.2847586206896553</v>
      </c>
      <c r="G102" s="1587">
        <f>1.8629/G101</f>
        <v>1.2847586206896553</v>
      </c>
      <c r="H102" s="1587">
        <f>1.8629/H101</f>
        <v>1.2847586206896553</v>
      </c>
      <c r="I102" s="1587">
        <f>1.8629/I101</f>
        <v>1.2847586206896553</v>
      </c>
      <c r="J102" s="1587">
        <f>1.942/J101</f>
        <v>1.3393103448275863</v>
      </c>
      <c r="K102" s="1587">
        <f>1.942/K101</f>
        <v>1.3393103448275863</v>
      </c>
      <c r="L102" s="1587">
        <f>1.942/L101</f>
        <v>1.3393103448275863</v>
      </c>
      <c r="M102" s="1587">
        <f>1.942/M101</f>
        <v>1.3393103448275863</v>
      </c>
      <c r="N102" s="1587">
        <f>1.942/N101</f>
        <v>1.3393103448275863</v>
      </c>
    </row>
    <row r="103" spans="1:14">
      <c r="A103" s="3806"/>
      <c r="B103" s="1586">
        <v>2</v>
      </c>
      <c r="C103" s="1587">
        <f>1.4198/C101</f>
        <v>0.97917241379310349</v>
      </c>
      <c r="D103" s="1587">
        <f>1.4198/D101</f>
        <v>0.97917241379310349</v>
      </c>
      <c r="E103" s="1587">
        <f>1.3372/E101</f>
        <v>0.92220689655172416</v>
      </c>
      <c r="F103" s="1587">
        <f>1.3372/F101</f>
        <v>0.92220689655172416</v>
      </c>
      <c r="G103" s="1587">
        <f>1.3372/G101</f>
        <v>0.92220689655172416</v>
      </c>
      <c r="H103" s="1587">
        <f>1.3372/H101</f>
        <v>0.92220689655172416</v>
      </c>
      <c r="I103" s="1587">
        <f>1.3372/I101</f>
        <v>0.92220689655172416</v>
      </c>
      <c r="J103" s="1587">
        <f>1.2799/J101</f>
        <v>0.88268965517241382</v>
      </c>
      <c r="K103" s="1587">
        <f>1.2799/K101</f>
        <v>0.88268965517241382</v>
      </c>
      <c r="L103" s="1587">
        <f>1.2799/L101</f>
        <v>0.88268965517241382</v>
      </c>
      <c r="M103" s="1587">
        <f>1.2799/M101</f>
        <v>0.88268965517241382</v>
      </c>
      <c r="N103" s="1587">
        <f>1.2799/N101</f>
        <v>0.88268965517241382</v>
      </c>
    </row>
    <row r="104" spans="1:14">
      <c r="A104" s="3806"/>
      <c r="B104" s="1586">
        <v>3</v>
      </c>
      <c r="C104" s="1587">
        <f>1.1594/C101</f>
        <v>0.79958620689655169</v>
      </c>
      <c r="D104" s="1587">
        <f>1.1594/D101</f>
        <v>0.79958620689655169</v>
      </c>
      <c r="E104" s="1587">
        <f>1.0788/E101</f>
        <v>0.74399999999999999</v>
      </c>
      <c r="F104" s="1587">
        <f>1.0788/F101</f>
        <v>0.74399999999999999</v>
      </c>
      <c r="G104" s="1587">
        <f>1.0788/G101</f>
        <v>0.74399999999999999</v>
      </c>
      <c r="H104" s="1587">
        <f>1.0788/H101</f>
        <v>0.74399999999999999</v>
      </c>
      <c r="I104" s="1587">
        <f>1.0788/I101</f>
        <v>0.74399999999999999</v>
      </c>
      <c r="J104" s="1587">
        <f>1.0072/J101</f>
        <v>0.69462068965517254</v>
      </c>
      <c r="K104" s="1587">
        <f>1.0072/K101</f>
        <v>0.69462068965517254</v>
      </c>
      <c r="L104" s="1587">
        <f>1.0072/L101</f>
        <v>0.69462068965517254</v>
      </c>
      <c r="M104" s="1587">
        <f>1.0072/M101</f>
        <v>0.69462068965517254</v>
      </c>
      <c r="N104" s="1587">
        <f>1.0072/N101</f>
        <v>0.69462068965517254</v>
      </c>
    </row>
    <row r="105" spans="1:14">
      <c r="A105" s="3806"/>
      <c r="B105" s="1586">
        <v>4</v>
      </c>
      <c r="C105" s="1587">
        <f>0.9622/C101</f>
        <v>0.66358620689655179</v>
      </c>
      <c r="D105" s="1587">
        <f>0.9622/D101</f>
        <v>0.66358620689655179</v>
      </c>
      <c r="E105" s="1587">
        <f>0.8656/E101</f>
        <v>0.59696551724137936</v>
      </c>
      <c r="F105" s="1587">
        <f>0.8656/F101</f>
        <v>0.59696551724137936</v>
      </c>
      <c r="G105" s="1587">
        <f>0.8656/G101</f>
        <v>0.59696551724137936</v>
      </c>
      <c r="H105" s="1587">
        <f>0.8656/H101</f>
        <v>0.59696551724137936</v>
      </c>
      <c r="I105" s="1587">
        <f>0.8656/I101</f>
        <v>0.59696551724137936</v>
      </c>
      <c r="J105" s="1587">
        <f>0.7525/J101</f>
        <v>0.51896551724137929</v>
      </c>
      <c r="K105" s="1587">
        <f>0.7525/K101</f>
        <v>0.51896551724137929</v>
      </c>
      <c r="L105" s="1587">
        <f>0.7525/L101</f>
        <v>0.51896551724137929</v>
      </c>
      <c r="M105" s="1587">
        <f>0.7525/M101</f>
        <v>0.51896551724137929</v>
      </c>
      <c r="N105" s="1587">
        <f>0.7525/N101</f>
        <v>0.51896551724137929</v>
      </c>
    </row>
    <row r="106" spans="1:14">
      <c r="A106" s="3806"/>
      <c r="B106" s="1586">
        <v>5</v>
      </c>
      <c r="C106" s="1587">
        <f>0.8417/C101</f>
        <v>0.58048275862068965</v>
      </c>
      <c r="D106" s="1587">
        <f>0.8417/D101</f>
        <v>0.58048275862068965</v>
      </c>
      <c r="E106" s="1587">
        <f>0.7371/E101</f>
        <v>0.50834482758620692</v>
      </c>
      <c r="F106" s="1587">
        <f>0.7371/F101</f>
        <v>0.50834482758620692</v>
      </c>
      <c r="G106" s="1587">
        <f>0.7371/G101</f>
        <v>0.50834482758620692</v>
      </c>
      <c r="H106" s="1587">
        <f>0.7371/H101</f>
        <v>0.50834482758620692</v>
      </c>
      <c r="I106" s="1587">
        <f>0.7371/I101</f>
        <v>0.50834482758620692</v>
      </c>
      <c r="J106" s="1587">
        <f>0.5659/J101</f>
        <v>0.39027586206896547</v>
      </c>
      <c r="K106" s="1587">
        <f>0.5659/K101</f>
        <v>0.39027586206896547</v>
      </c>
      <c r="L106" s="1587">
        <f>0.5659/L101</f>
        <v>0.39027586206896547</v>
      </c>
      <c r="M106" s="1587">
        <f>0.5659/M101</f>
        <v>0.39027586206896547</v>
      </c>
      <c r="N106" s="1587">
        <f>0.5659/N101</f>
        <v>0.39027586206896547</v>
      </c>
    </row>
    <row r="107" spans="1:14">
      <c r="A107" s="3806"/>
      <c r="B107" s="1586">
        <v>6</v>
      </c>
      <c r="C107" s="1587">
        <f>0.7608/C101</f>
        <v>0.52468965517241384</v>
      </c>
      <c r="D107" s="1587">
        <f>0.7608/D101</f>
        <v>0.52468965517241384</v>
      </c>
      <c r="E107" s="1587">
        <f>0.6482/E101</f>
        <v>0.44703448275862068</v>
      </c>
      <c r="F107" s="1587">
        <f>0.6482/F101</f>
        <v>0.44703448275862068</v>
      </c>
      <c r="G107" s="1587">
        <f>0.6482/G101</f>
        <v>0.44703448275862068</v>
      </c>
      <c r="H107" s="1587">
        <f>0.6482/H101</f>
        <v>0.44703448275862068</v>
      </c>
      <c r="I107" s="1587">
        <f>0.6482/I101</f>
        <v>0.44703448275862068</v>
      </c>
      <c r="J107" s="1587">
        <f>0.4525/J101</f>
        <v>0.31206896551724139</v>
      </c>
      <c r="K107" s="1587">
        <f>0.4525/K101</f>
        <v>0.31206896551724139</v>
      </c>
      <c r="L107" s="1587">
        <f>0.4525/L101</f>
        <v>0.31206896551724139</v>
      </c>
      <c r="M107" s="1587">
        <f>0.4525/M101</f>
        <v>0.31206896551724139</v>
      </c>
      <c r="N107" s="1587">
        <f>0.4525/N101</f>
        <v>0.31206896551724139</v>
      </c>
    </row>
    <row r="108" spans="1:14">
      <c r="A108" s="3806"/>
      <c r="B108" s="3808" t="s">
        <v>1761</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807"/>
      <c r="B109" s="3809"/>
      <c r="C109" s="1589">
        <f>(-0.163*(C108^2)-0.59*C108+7617)*(10^(-4))/C101</f>
        <v>0.52531034482758621</v>
      </c>
      <c r="D109" s="1589">
        <f>(-0.163*(D108^2)-0.59*D108+7617)*(10^(-4))/D101</f>
        <v>0.52531034482758621</v>
      </c>
      <c r="E109" s="1589">
        <f>(-0.161*(E108^2)-7.509*E108+6533)*(10^(-4))/E101</f>
        <v>0.45055172413793104</v>
      </c>
      <c r="F109" s="1589">
        <f>(-0.161*(F108^2)-7.509*F108+6533)*(10^(-4))/F101</f>
        <v>0.45055172413793104</v>
      </c>
      <c r="G109" s="1589">
        <f>(-0.161*(G108^2)-7.509*G108+6533)*(10^(-4))/G101</f>
        <v>0.45055172413793104</v>
      </c>
      <c r="H109" s="1589">
        <f>(-0.161*(H108^2)-7.509*H108+6533)*(10^(-4))/H101</f>
        <v>0.45055172413793104</v>
      </c>
      <c r="I109" s="1589">
        <f>(-0.161*(I108^2)-7.509*I108+6533)*(10^(-4))/I101</f>
        <v>0.45055172413793104</v>
      </c>
      <c r="J109" s="1589">
        <f>(-0.214*(J108^2)-21.991*J108+4665)*(10^(-4))/J101</f>
        <v>0.32172413793103449</v>
      </c>
      <c r="K109" s="1589">
        <f>(-0.214*(K108^2)-21.991*K108+4665)*(10^(-4))/K101</f>
        <v>0.32172413793103449</v>
      </c>
      <c r="L109" s="1589">
        <f>(-0.214*(L108^2)-21.991*L108+4665)*(10^(-4))/L101</f>
        <v>0.32172413793103449</v>
      </c>
      <c r="M109" s="1589">
        <f>(-0.214*(M108^2)-21.991*M108+4665)*(10^(-4))/M101</f>
        <v>0.32172413793103449</v>
      </c>
      <c r="N109" s="1589">
        <f>(-0.214*(N108^2)-21.991*N108+4665)*(10^(-4))/N101</f>
        <v>0.32172413793103449</v>
      </c>
    </row>
    <row r="110" spans="1:14">
      <c r="A110" s="3803" t="s">
        <v>1762</v>
      </c>
      <c r="B110" s="3803"/>
      <c r="C110" s="3803"/>
      <c r="D110" s="3803"/>
      <c r="E110" s="3803"/>
      <c r="F110" s="3803"/>
      <c r="G110" s="3803"/>
      <c r="H110" s="3803"/>
      <c r="I110" s="3803"/>
      <c r="J110" s="3803"/>
      <c r="K110" s="2602"/>
      <c r="L110" s="2602"/>
      <c r="M110" s="2602"/>
      <c r="N110" s="2602"/>
    </row>
    <row r="112" spans="1:14" ht="12.75" thickBot="1"/>
    <row r="113" spans="1:13" ht="25.5" thickBot="1">
      <c r="A113" s="1599" t="s">
        <v>1764</v>
      </c>
      <c r="B113" s="2605">
        <f>G3</f>
        <v>1.45</v>
      </c>
      <c r="C113" s="1600" t="s">
        <v>1765</v>
      </c>
      <c r="D113" s="1601">
        <f>SUMPRODUCT((A115:A118=F113)*(B114:M114=H113)*B115:M118)</f>
        <v>0</v>
      </c>
      <c r="E113" s="1602" t="s">
        <v>68</v>
      </c>
      <c r="F113" s="1603">
        <f>E2</f>
        <v>0</v>
      </c>
      <c r="G113" s="1602" t="s">
        <v>1554</v>
      </c>
      <c r="H113" s="1603">
        <f>G2</f>
        <v>0</v>
      </c>
      <c r="I113" s="1602"/>
      <c r="J113" s="1594"/>
      <c r="K113" s="1594"/>
      <c r="L113" s="1594"/>
      <c r="M113" s="1594"/>
    </row>
    <row r="114" spans="1:13" ht="12.75">
      <c r="A114" s="1606"/>
      <c r="B114" s="1607" t="s">
        <v>164</v>
      </c>
      <c r="C114" s="1607" t="s">
        <v>165</v>
      </c>
      <c r="D114" s="1607" t="s">
        <v>160</v>
      </c>
      <c r="E114" s="1608" t="s">
        <v>161</v>
      </c>
      <c r="F114" s="1608" t="s">
        <v>162</v>
      </c>
      <c r="G114" s="1608" t="s">
        <v>163</v>
      </c>
      <c r="H114" s="1609" t="s">
        <v>1171</v>
      </c>
      <c r="I114" s="1609" t="s">
        <v>1172</v>
      </c>
      <c r="J114" s="1610" t="s">
        <v>1173</v>
      </c>
      <c r="K114" s="1610" t="s">
        <v>1174</v>
      </c>
      <c r="L114" s="1610" t="s">
        <v>1175</v>
      </c>
      <c r="M114" s="1611" t="s">
        <v>1176</v>
      </c>
    </row>
    <row r="115" spans="1:13" ht="12.75">
      <c r="A115" s="1612" t="s">
        <v>1766</v>
      </c>
      <c r="B115" s="1613">
        <f>ROUND(0.9335-0.0094*B113,4)</f>
        <v>0.91990000000000005</v>
      </c>
      <c r="C115" s="1613">
        <f>B115</f>
        <v>0.91990000000000005</v>
      </c>
      <c r="D115" s="1613">
        <f>ROUND(0.8331-0.0109*B113,4)</f>
        <v>0.81730000000000003</v>
      </c>
      <c r="E115" s="1613">
        <f>D115</f>
        <v>0.81730000000000003</v>
      </c>
      <c r="F115" s="1613">
        <f>E115</f>
        <v>0.81730000000000003</v>
      </c>
      <c r="G115" s="1613">
        <f>F115</f>
        <v>0.81730000000000003</v>
      </c>
      <c r="H115" s="1613">
        <f>G115</f>
        <v>0.81730000000000003</v>
      </c>
      <c r="I115" s="1613">
        <f>ROUND(0.689-0.0155*B113,4)</f>
        <v>0.66649999999999998</v>
      </c>
      <c r="J115" s="1613">
        <f t="shared" ref="J115:M118" si="33">I115</f>
        <v>0.66649999999999998</v>
      </c>
      <c r="K115" s="1613">
        <f t="shared" si="33"/>
        <v>0.66649999999999998</v>
      </c>
      <c r="L115" s="1613">
        <f t="shared" si="33"/>
        <v>0.66649999999999998</v>
      </c>
      <c r="M115" s="1614">
        <f t="shared" si="33"/>
        <v>0.66649999999999998</v>
      </c>
    </row>
    <row r="116" spans="1:13" ht="12.75">
      <c r="A116" s="1612" t="s">
        <v>1767</v>
      </c>
      <c r="B116" s="1613">
        <f>ROUND(0.949-0.012*B113,4)</f>
        <v>0.93159999999999998</v>
      </c>
      <c r="C116" s="1613">
        <f>B116</f>
        <v>0.93159999999999998</v>
      </c>
      <c r="D116" s="1613">
        <f>ROUND(0.8567-0.013*B113,4)</f>
        <v>0.83789999999999998</v>
      </c>
      <c r="E116" s="1613">
        <f t="shared" ref="E116:H117" si="34">D116</f>
        <v>0.83789999999999998</v>
      </c>
      <c r="F116" s="1613">
        <f t="shared" si="34"/>
        <v>0.83789999999999998</v>
      </c>
      <c r="G116" s="1613">
        <f t="shared" si="34"/>
        <v>0.83789999999999998</v>
      </c>
      <c r="H116" s="1613">
        <f t="shared" si="34"/>
        <v>0.83789999999999998</v>
      </c>
      <c r="I116" s="1613">
        <f>ROUND(0.7694-0.014*B113,4)</f>
        <v>0.74909999999999999</v>
      </c>
      <c r="J116" s="1613">
        <f t="shared" si="33"/>
        <v>0.74909999999999999</v>
      </c>
      <c r="K116" s="1613">
        <f t="shared" si="33"/>
        <v>0.74909999999999999</v>
      </c>
      <c r="L116" s="1613">
        <f t="shared" si="33"/>
        <v>0.74909999999999999</v>
      </c>
      <c r="M116" s="1614">
        <f t="shared" si="33"/>
        <v>0.74909999999999999</v>
      </c>
    </row>
    <row r="117" spans="1:13" ht="12.75">
      <c r="A117" s="1615" t="s">
        <v>974</v>
      </c>
      <c r="B117" s="1613">
        <f>ROUND(0.8808-0.006*B113,4)</f>
        <v>0.87209999999999999</v>
      </c>
      <c r="C117" s="1613">
        <f>B117</f>
        <v>0.87209999999999999</v>
      </c>
      <c r="D117" s="1613">
        <f>ROUND(0.8748-0.008*B113,4)</f>
        <v>0.86319999999999997</v>
      </c>
      <c r="E117" s="1613">
        <f t="shared" si="34"/>
        <v>0.86319999999999997</v>
      </c>
      <c r="F117" s="1613">
        <f t="shared" si="34"/>
        <v>0.86319999999999997</v>
      </c>
      <c r="G117" s="1613">
        <f t="shared" si="34"/>
        <v>0.86319999999999997</v>
      </c>
      <c r="H117" s="1613">
        <f t="shared" si="34"/>
        <v>0.86319999999999997</v>
      </c>
      <c r="I117" s="1613">
        <f>ROUND(0.7412-0.0095*B113,4)</f>
        <v>0.72740000000000005</v>
      </c>
      <c r="J117" s="1613">
        <f t="shared" si="33"/>
        <v>0.72740000000000005</v>
      </c>
      <c r="K117" s="1613">
        <f t="shared" si="33"/>
        <v>0.72740000000000005</v>
      </c>
      <c r="L117" s="1613">
        <f t="shared" si="33"/>
        <v>0.72740000000000005</v>
      </c>
      <c r="M117" s="1614">
        <f t="shared" si="33"/>
        <v>0.72740000000000005</v>
      </c>
    </row>
    <row r="118" spans="1:13" ht="13.5" thickBot="1">
      <c r="A118" s="1120" t="s">
        <v>1768</v>
      </c>
      <c r="B118" s="1616">
        <f>ROUND(0.7275-0.01*B113,4)</f>
        <v>0.71299999999999997</v>
      </c>
      <c r="C118" s="1616">
        <f>B118</f>
        <v>0.71299999999999997</v>
      </c>
      <c r="D118" s="1616">
        <f>ROUND(0.7043-0.012*B113,4)</f>
        <v>0.68689999999999996</v>
      </c>
      <c r="E118" s="1616">
        <f>D118</f>
        <v>0.68689999999999996</v>
      </c>
      <c r="F118" s="1616">
        <f>E118</f>
        <v>0.68689999999999996</v>
      </c>
      <c r="G118" s="1616">
        <f>ROUND(0.6299-0.0122*B113,4)</f>
        <v>0.61219999999999997</v>
      </c>
      <c r="H118" s="1616">
        <f>G118</f>
        <v>0.61219999999999997</v>
      </c>
      <c r="I118" s="1616">
        <f>ROUND(0.5667-0.0136*B113,4)</f>
        <v>0.54700000000000004</v>
      </c>
      <c r="J118" s="1616">
        <f t="shared" si="33"/>
        <v>0.54700000000000004</v>
      </c>
      <c r="K118" s="1616">
        <f t="shared" si="33"/>
        <v>0.54700000000000004</v>
      </c>
      <c r="L118" s="1616">
        <f t="shared" si="33"/>
        <v>0.54700000000000004</v>
      </c>
      <c r="M118" s="1617">
        <f t="shared" si="33"/>
        <v>0.54700000000000004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1554</v>
      </c>
      <c r="B1" s="1518" t="s">
        <v>1165</v>
      </c>
      <c r="C1" s="1518" t="s">
        <v>1166</v>
      </c>
      <c r="D1" s="1518" t="s">
        <v>1167</v>
      </c>
      <c r="E1" s="1518" t="s">
        <v>1168</v>
      </c>
      <c r="F1" s="1518" t="s">
        <v>1169</v>
      </c>
      <c r="G1" s="1518" t="s">
        <v>1170</v>
      </c>
      <c r="H1" s="1518" t="s">
        <v>1171</v>
      </c>
      <c r="I1" s="1518" t="s">
        <v>1172</v>
      </c>
      <c r="J1" s="1518" t="s">
        <v>1173</v>
      </c>
      <c r="K1" s="1518" t="s">
        <v>1174</v>
      </c>
      <c r="L1" s="1518" t="s">
        <v>1175</v>
      </c>
      <c r="M1" s="1519" t="s">
        <v>1176</v>
      </c>
    </row>
    <row r="2" spans="1:13" ht="19.5" customHeight="1">
      <c r="A2" s="1544" t="s">
        <v>1191</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1192</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1841</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1194</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1555</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1556</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1557</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1558</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1559</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1560</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1561</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1562</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1563</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1564</v>
      </c>
      <c r="B16" s="1563"/>
      <c r="C16" s="1564"/>
      <c r="D16" s="1564"/>
      <c r="E16" s="1563"/>
      <c r="F16" s="1564"/>
      <c r="G16" s="1564"/>
    </row>
    <row r="17" spans="1:9" ht="19.5" customHeight="1">
      <c r="A17" s="1495" t="s">
        <v>1565</v>
      </c>
      <c r="B17" s="1566" t="s">
        <v>1566</v>
      </c>
      <c r="C17" s="1747" t="s">
        <v>1864</v>
      </c>
      <c r="D17" s="1567"/>
      <c r="E17" s="1495" t="s">
        <v>1567</v>
      </c>
      <c r="F17" s="1568"/>
      <c r="G17" s="1568"/>
    </row>
    <row r="18" spans="1:9" s="1574" customFormat="1" ht="19.5" customHeight="1">
      <c r="A18" s="3804" t="s">
        <v>1191</v>
      </c>
      <c r="B18" s="1569" t="s">
        <v>1568</v>
      </c>
      <c r="C18" s="1570" t="s">
        <v>1569</v>
      </c>
      <c r="D18" s="1571"/>
      <c r="E18" s="1569">
        <v>1</v>
      </c>
      <c r="F18" s="1572" t="s">
        <v>1570</v>
      </c>
      <c r="G18" s="1573"/>
      <c r="H18" s="1565"/>
      <c r="I18" s="1565"/>
    </row>
    <row r="19" spans="1:9" s="1574" customFormat="1" ht="19.5" customHeight="1">
      <c r="A19" s="3804"/>
      <c r="B19" s="3804" t="s">
        <v>1571</v>
      </c>
      <c r="C19" s="1570" t="s">
        <v>1572</v>
      </c>
      <c r="D19" s="1571"/>
      <c r="E19" s="1569">
        <v>0.9</v>
      </c>
      <c r="F19" s="1572" t="s">
        <v>1573</v>
      </c>
      <c r="G19" s="1573"/>
      <c r="H19" s="1565"/>
      <c r="I19" s="1565"/>
    </row>
    <row r="20" spans="1:9" s="1574" customFormat="1" ht="19.5" customHeight="1">
      <c r="A20" s="3804"/>
      <c r="B20" s="3804"/>
      <c r="C20" s="1570" t="s">
        <v>1574</v>
      </c>
      <c r="D20" s="1571"/>
      <c r="E20" s="1569">
        <v>1.1000000000000001</v>
      </c>
      <c r="F20" s="1572" t="s">
        <v>1575</v>
      </c>
      <c r="G20" s="1573"/>
      <c r="H20" s="1565"/>
      <c r="I20" s="1565"/>
    </row>
    <row r="21" spans="1:9" s="1574" customFormat="1" ht="19.5" customHeight="1">
      <c r="A21" s="3804"/>
      <c r="B21" s="3804"/>
      <c r="C21" s="1570" t="s">
        <v>1576</v>
      </c>
      <c r="D21" s="1571"/>
      <c r="E21" s="1569">
        <v>0.8</v>
      </c>
      <c r="F21" s="1572" t="s">
        <v>1577</v>
      </c>
      <c r="G21" s="1573"/>
      <c r="H21" s="1565"/>
      <c r="I21" s="1565"/>
    </row>
    <row r="22" spans="1:9" s="1574" customFormat="1" ht="19.5" customHeight="1">
      <c r="A22" s="3804"/>
      <c r="B22" s="3804"/>
      <c r="C22" s="1570" t="s">
        <v>1578</v>
      </c>
      <c r="D22" s="1571"/>
      <c r="E22" s="1569">
        <v>0.5</v>
      </c>
      <c r="F22" s="1572"/>
      <c r="G22" s="1573"/>
      <c r="H22" s="1565"/>
      <c r="I22" s="1565"/>
    </row>
    <row r="23" spans="1:9" s="1574" customFormat="1" ht="19.5" customHeight="1">
      <c r="A23" s="3804" t="s">
        <v>1192</v>
      </c>
      <c r="B23" s="1569" t="s">
        <v>1568</v>
      </c>
      <c r="C23" s="1570" t="s">
        <v>1579</v>
      </c>
      <c r="D23" s="1571"/>
      <c r="E23" s="1569">
        <v>1</v>
      </c>
      <c r="F23" s="1572" t="s">
        <v>1580</v>
      </c>
      <c r="G23" s="1573"/>
      <c r="H23" s="1565"/>
      <c r="I23" s="1565"/>
    </row>
    <row r="24" spans="1:9" s="1574" customFormat="1" ht="19.5" customHeight="1">
      <c r="A24" s="3804"/>
      <c r="B24" s="3804" t="s">
        <v>1571</v>
      </c>
      <c r="C24" s="1570" t="s">
        <v>1581</v>
      </c>
      <c r="D24" s="1571"/>
      <c r="E24" s="1569">
        <v>0.5</v>
      </c>
      <c r="F24" s="1572"/>
      <c r="G24" s="1573"/>
      <c r="H24" s="1565"/>
      <c r="I24" s="1565"/>
    </row>
    <row r="25" spans="1:9" s="1574" customFormat="1" ht="19.5" customHeight="1">
      <c r="A25" s="3804"/>
      <c r="B25" s="3804"/>
      <c r="C25" s="1570" t="s">
        <v>1582</v>
      </c>
      <c r="D25" s="1571"/>
      <c r="E25" s="1569">
        <v>1.1000000000000001</v>
      </c>
      <c r="F25" s="1572"/>
      <c r="G25" s="1573"/>
      <c r="H25" s="1565"/>
      <c r="I25" s="1565"/>
    </row>
    <row r="26" spans="1:9" s="1574" customFormat="1" ht="19.5" customHeight="1">
      <c r="A26" s="3804"/>
      <c r="B26" s="3804"/>
      <c r="C26" s="1570" t="s">
        <v>1583</v>
      </c>
      <c r="D26" s="1571"/>
      <c r="E26" s="1569">
        <v>1.1000000000000001</v>
      </c>
      <c r="F26" s="1572"/>
      <c r="G26" s="1573"/>
      <c r="H26" s="1565"/>
      <c r="I26" s="1565"/>
    </row>
    <row r="27" spans="1:9" s="1574" customFormat="1" ht="19.5" customHeight="1">
      <c r="A27" s="3804"/>
      <c r="B27" s="3804"/>
      <c r="C27" s="1570" t="s">
        <v>1584</v>
      </c>
      <c r="D27" s="1571"/>
      <c r="E27" s="1569">
        <v>0.9</v>
      </c>
      <c r="F27" s="1572" t="s">
        <v>1585</v>
      </c>
      <c r="G27" s="1573"/>
      <c r="H27" s="1565"/>
      <c r="I27" s="1565"/>
    </row>
    <row r="28" spans="1:9" s="1574" customFormat="1" ht="19.5" customHeight="1">
      <c r="A28" s="3804"/>
      <c r="B28" s="3804"/>
      <c r="C28" s="1570" t="s">
        <v>1586</v>
      </c>
      <c r="D28" s="1571"/>
      <c r="E28" s="1569">
        <v>0.9</v>
      </c>
      <c r="F28" s="1572" t="s">
        <v>1587</v>
      </c>
      <c r="G28" s="1573"/>
      <c r="H28" s="1565"/>
      <c r="I28" s="1565"/>
    </row>
    <row r="29" spans="1:9" s="1574" customFormat="1" ht="19.5" customHeight="1">
      <c r="A29" s="3804"/>
      <c r="B29" s="3804"/>
      <c r="C29" s="1570" t="s">
        <v>1588</v>
      </c>
      <c r="D29" s="1571"/>
      <c r="E29" s="1569">
        <v>0.9</v>
      </c>
      <c r="F29" s="1572" t="s">
        <v>1589</v>
      </c>
      <c r="G29" s="1573"/>
      <c r="H29" s="1565"/>
      <c r="I29" s="1565"/>
    </row>
    <row r="30" spans="1:9" s="1574" customFormat="1" ht="19.5" customHeight="1">
      <c r="A30" s="3804"/>
      <c r="B30" s="3804"/>
      <c r="C30" s="1570" t="s">
        <v>1590</v>
      </c>
      <c r="D30" s="1571"/>
      <c r="E30" s="1569">
        <v>0.9</v>
      </c>
      <c r="F30" s="1572" t="s">
        <v>1591</v>
      </c>
      <c r="G30" s="1573"/>
      <c r="H30" s="1565"/>
      <c r="I30" s="1565"/>
    </row>
    <row r="31" spans="1:9" s="1574" customFormat="1" ht="19.5" customHeight="1">
      <c r="A31" s="3804"/>
      <c r="B31" s="3804"/>
      <c r="C31" s="1570" t="s">
        <v>1592</v>
      </c>
      <c r="D31" s="1571"/>
      <c r="E31" s="1569">
        <v>0.8</v>
      </c>
      <c r="F31" s="1572" t="s">
        <v>1593</v>
      </c>
      <c r="G31" s="1573"/>
      <c r="H31" s="1565"/>
      <c r="I31" s="1565"/>
    </row>
    <row r="32" spans="1:9" s="1574" customFormat="1" ht="19.5" customHeight="1">
      <c r="A32" s="3804"/>
      <c r="B32" s="3804"/>
      <c r="C32" s="1570" t="s">
        <v>1594</v>
      </c>
      <c r="D32" s="1571"/>
      <c r="E32" s="1569">
        <v>0.8</v>
      </c>
      <c r="F32" s="1572" t="s">
        <v>1595</v>
      </c>
      <c r="G32" s="1573"/>
      <c r="H32" s="1565"/>
      <c r="I32" s="1565"/>
    </row>
    <row r="33" spans="1:9" s="1574" customFormat="1" ht="19.5" customHeight="1">
      <c r="A33" s="3804" t="s">
        <v>1193</v>
      </c>
      <c r="B33" s="1569" t="s">
        <v>1568</v>
      </c>
      <c r="C33" s="1570" t="s">
        <v>1596</v>
      </c>
      <c r="D33" s="1571"/>
      <c r="E33" s="1569">
        <v>1</v>
      </c>
      <c r="F33" s="1572" t="s">
        <v>1597</v>
      </c>
      <c r="G33" s="1573"/>
      <c r="H33" s="1565"/>
      <c r="I33" s="1565"/>
    </row>
    <row r="34" spans="1:9" s="1574" customFormat="1" ht="19.5" customHeight="1">
      <c r="A34" s="3804"/>
      <c r="B34" s="1569" t="s">
        <v>1571</v>
      </c>
      <c r="C34" s="1570" t="s">
        <v>1598</v>
      </c>
      <c r="D34" s="1571"/>
      <c r="E34" s="1569">
        <v>1.5</v>
      </c>
      <c r="F34" s="1572" t="s">
        <v>1599</v>
      </c>
      <c r="G34" s="1573"/>
      <c r="H34" s="1565"/>
      <c r="I34" s="1565"/>
    </row>
    <row r="35" spans="1:9" s="1574" customFormat="1" ht="19.5" customHeight="1">
      <c r="A35" s="3804" t="s">
        <v>1194</v>
      </c>
      <c r="B35" s="1569" t="s">
        <v>1568</v>
      </c>
      <c r="C35" s="1570" t="s">
        <v>1600</v>
      </c>
      <c r="D35" s="1571"/>
      <c r="E35" s="1569">
        <v>1</v>
      </c>
      <c r="F35" s="1572" t="s">
        <v>1601</v>
      </c>
      <c r="G35" s="1573"/>
      <c r="H35" s="1565"/>
      <c r="I35" s="1565"/>
    </row>
    <row r="36" spans="1:9" s="1574" customFormat="1" ht="19.5" customHeight="1">
      <c r="A36" s="3804"/>
      <c r="B36" s="3804" t="s">
        <v>1571</v>
      </c>
      <c r="C36" s="1570" t="s">
        <v>1602</v>
      </c>
      <c r="D36" s="1571"/>
      <c r="E36" s="1569">
        <v>1</v>
      </c>
      <c r="F36" s="1572" t="s">
        <v>1603</v>
      </c>
      <c r="G36" s="1573"/>
      <c r="H36" s="1565"/>
      <c r="I36" s="1565"/>
    </row>
    <row r="37" spans="1:9" s="1574" customFormat="1" ht="19.5" customHeight="1">
      <c r="A37" s="3804"/>
      <c r="B37" s="3804"/>
      <c r="C37" s="1570" t="s">
        <v>1604</v>
      </c>
      <c r="D37" s="1571"/>
      <c r="E37" s="1569">
        <v>1.5</v>
      </c>
      <c r="F37" s="1572" t="s">
        <v>1605</v>
      </c>
      <c r="G37" s="1573"/>
      <c r="H37" s="1565"/>
      <c r="I37" s="1565"/>
    </row>
    <row r="38" spans="1:9" s="1574" customFormat="1" ht="19.5" customHeight="1">
      <c r="A38" s="3804"/>
      <c r="B38" s="3804"/>
      <c r="C38" s="1570" t="s">
        <v>1606</v>
      </c>
      <c r="D38" s="1571"/>
      <c r="E38" s="1569">
        <v>1</v>
      </c>
      <c r="F38" s="1572" t="s">
        <v>1607</v>
      </c>
      <c r="G38" s="1573"/>
      <c r="H38" s="1565"/>
      <c r="I38" s="1565"/>
    </row>
    <row r="39" spans="1:9" s="1574" customFormat="1" ht="19.5" customHeight="1">
      <c r="A39" s="3804"/>
      <c r="B39" s="3804"/>
      <c r="C39" s="1570" t="s">
        <v>1608</v>
      </c>
      <c r="D39" s="1571"/>
      <c r="E39" s="1569">
        <v>1</v>
      </c>
      <c r="F39" s="1572" t="s">
        <v>1609</v>
      </c>
      <c r="G39" s="1573"/>
      <c r="H39" s="1565"/>
      <c r="I39" s="1565"/>
    </row>
    <row r="40" spans="1:9" s="1574" customFormat="1" ht="19.5" customHeight="1">
      <c r="A40" s="1575" t="s">
        <v>1610</v>
      </c>
      <c r="B40" s="1575"/>
      <c r="C40" s="1575"/>
      <c r="D40" s="1575"/>
      <c r="E40" s="1575"/>
      <c r="F40" s="1576"/>
      <c r="G40" s="1576"/>
      <c r="H40" s="1565"/>
      <c r="I40" s="1565"/>
    </row>
    <row r="42" spans="1:9" ht="19.5" customHeight="1">
      <c r="A42" s="1577"/>
      <c r="B42" s="1495" t="s">
        <v>1611</v>
      </c>
      <c r="C42" s="1495" t="s">
        <v>1611</v>
      </c>
      <c r="D42" s="1495" t="s">
        <v>1611</v>
      </c>
      <c r="E42" s="1506" t="s">
        <v>1611</v>
      </c>
      <c r="F42" s="1506" t="s">
        <v>1611</v>
      </c>
      <c r="G42" s="1506" t="s">
        <v>1612</v>
      </c>
      <c r="H42" s="1506" t="s">
        <v>1611</v>
      </c>
    </row>
    <row r="43" spans="1:9" ht="19.5" customHeight="1">
      <c r="A43" s="1578"/>
      <c r="B43" s="1506" t="s">
        <v>1191</v>
      </c>
      <c r="C43" s="1506" t="s">
        <v>1191</v>
      </c>
      <c r="D43" s="1506" t="s">
        <v>1191</v>
      </c>
      <c r="E43" s="1506" t="s">
        <v>1191</v>
      </c>
      <c r="F43" s="1495" t="s">
        <v>1192</v>
      </c>
      <c r="G43" s="1495" t="s">
        <v>1194</v>
      </c>
      <c r="H43" s="1495" t="s">
        <v>1613</v>
      </c>
    </row>
    <row r="44" spans="1:9" ht="19.5" customHeight="1">
      <c r="A44" s="1579"/>
      <c r="B44" s="1495">
        <v>1</v>
      </c>
      <c r="C44" s="1495">
        <v>2</v>
      </c>
      <c r="D44" s="1495">
        <v>3</v>
      </c>
      <c r="E44" s="1506">
        <v>4</v>
      </c>
      <c r="F44" s="1567" t="s">
        <v>1614</v>
      </c>
      <c r="G44" s="1567" t="s">
        <v>1614</v>
      </c>
      <c r="H44" s="1567" t="s">
        <v>1614</v>
      </c>
    </row>
    <row r="45" spans="1:9" ht="19.5" customHeight="1">
      <c r="A45" s="1580" t="s">
        <v>1165</v>
      </c>
      <c r="B45" s="1495">
        <v>0.8</v>
      </c>
      <c r="C45" s="1495">
        <v>0.5</v>
      </c>
      <c r="D45" s="1495">
        <v>0.36</v>
      </c>
      <c r="E45" s="1495">
        <v>0.3</v>
      </c>
      <c r="F45" s="1567">
        <v>0.3</v>
      </c>
      <c r="G45" s="1495">
        <v>0.3</v>
      </c>
      <c r="H45" s="1495">
        <v>0.25</v>
      </c>
    </row>
    <row r="46" spans="1:9" ht="19.5" customHeight="1">
      <c r="A46" s="1580" t="s">
        <v>1166</v>
      </c>
      <c r="B46" s="1495">
        <v>0.8</v>
      </c>
      <c r="C46" s="1495">
        <v>0.5</v>
      </c>
      <c r="D46" s="1495">
        <v>0.36</v>
      </c>
      <c r="E46" s="1495">
        <v>0.3</v>
      </c>
      <c r="F46" s="1495">
        <v>0.3</v>
      </c>
      <c r="G46" s="1495">
        <v>0.3</v>
      </c>
      <c r="H46" s="1495">
        <v>0.25</v>
      </c>
    </row>
    <row r="47" spans="1:9" ht="19.5" customHeight="1">
      <c r="A47" s="1580" t="s">
        <v>1167</v>
      </c>
      <c r="B47" s="1495">
        <v>0.7</v>
      </c>
      <c r="C47" s="1495">
        <v>0.4</v>
      </c>
      <c r="D47" s="1495">
        <v>0.28000000000000003</v>
      </c>
      <c r="E47" s="1495">
        <v>0.25</v>
      </c>
      <c r="F47" s="1495">
        <v>0.25</v>
      </c>
      <c r="G47" s="1495">
        <v>0.25</v>
      </c>
      <c r="H47" s="1495">
        <v>0.2</v>
      </c>
    </row>
    <row r="48" spans="1:9" ht="19.5" customHeight="1">
      <c r="A48" s="1580" t="s">
        <v>1168</v>
      </c>
      <c r="B48" s="1495">
        <v>0.7</v>
      </c>
      <c r="C48" s="1495">
        <v>0.4</v>
      </c>
      <c r="D48" s="1495">
        <v>0.28000000000000003</v>
      </c>
      <c r="E48" s="1495">
        <v>0.25</v>
      </c>
      <c r="F48" s="1495">
        <v>0.25</v>
      </c>
      <c r="G48" s="1495">
        <v>0.25</v>
      </c>
      <c r="H48" s="1495">
        <v>0.2</v>
      </c>
    </row>
    <row r="49" spans="1:8" s="1565" customFormat="1" ht="19.5" customHeight="1">
      <c r="A49" s="1580" t="s">
        <v>1169</v>
      </c>
      <c r="B49" s="1495">
        <v>0.7</v>
      </c>
      <c r="C49" s="1495">
        <v>0.4</v>
      </c>
      <c r="D49" s="1495">
        <v>0.28000000000000003</v>
      </c>
      <c r="E49" s="1495">
        <v>0.25</v>
      </c>
      <c r="F49" s="1495">
        <v>0.25</v>
      </c>
      <c r="G49" s="1495">
        <v>0.25</v>
      </c>
      <c r="H49" s="1495">
        <v>0.2</v>
      </c>
    </row>
    <row r="50" spans="1:8" s="1565" customFormat="1" ht="19.5" customHeight="1">
      <c r="A50" s="1580" t="s">
        <v>1170</v>
      </c>
      <c r="B50" s="1495">
        <v>0.7</v>
      </c>
      <c r="C50" s="1495">
        <v>0.4</v>
      </c>
      <c r="D50" s="1495">
        <v>0.28000000000000003</v>
      </c>
      <c r="E50" s="1495">
        <v>0.25</v>
      </c>
      <c r="F50" s="1495">
        <v>0.25</v>
      </c>
      <c r="G50" s="1495">
        <v>0.25</v>
      </c>
      <c r="H50" s="1495">
        <v>0.2</v>
      </c>
    </row>
    <row r="51" spans="1:8" s="1565" customFormat="1" ht="19.5" customHeight="1">
      <c r="A51" s="1580" t="s">
        <v>1171</v>
      </c>
      <c r="B51" s="1495">
        <v>0.7</v>
      </c>
      <c r="C51" s="1495">
        <v>0.4</v>
      </c>
      <c r="D51" s="1495">
        <v>0.28000000000000003</v>
      </c>
      <c r="E51" s="1495">
        <v>0.25</v>
      </c>
      <c r="F51" s="1495">
        <v>0.25</v>
      </c>
      <c r="G51" s="1495">
        <v>0.25</v>
      </c>
      <c r="H51" s="1495">
        <v>0.2</v>
      </c>
    </row>
    <row r="52" spans="1:8" s="1565" customFormat="1" ht="19.5" customHeight="1">
      <c r="A52" s="1580" t="s">
        <v>1172</v>
      </c>
      <c r="B52" s="1495">
        <v>0.6</v>
      </c>
      <c r="C52" s="1495">
        <v>0.3</v>
      </c>
      <c r="D52" s="1495">
        <v>0.2</v>
      </c>
      <c r="E52" s="1495">
        <v>0.2</v>
      </c>
      <c r="F52" s="1495">
        <v>0.2</v>
      </c>
      <c r="G52" s="1495">
        <v>0.2</v>
      </c>
      <c r="H52" s="1495">
        <v>0.15</v>
      </c>
    </row>
    <row r="53" spans="1:8" s="1565" customFormat="1" ht="19.5" customHeight="1">
      <c r="A53" s="1580" t="s">
        <v>1173</v>
      </c>
      <c r="B53" s="1495">
        <v>0.6</v>
      </c>
      <c r="C53" s="1495">
        <v>0.3</v>
      </c>
      <c r="D53" s="1495">
        <v>0.2</v>
      </c>
      <c r="E53" s="1495">
        <v>0.2</v>
      </c>
      <c r="F53" s="1495">
        <v>0.2</v>
      </c>
      <c r="G53" s="1495">
        <v>0.2</v>
      </c>
      <c r="H53" s="1495">
        <v>0.15</v>
      </c>
    </row>
    <row r="54" spans="1:8" s="1565" customFormat="1" ht="19.5" customHeight="1">
      <c r="A54" s="1580" t="s">
        <v>1174</v>
      </c>
      <c r="B54" s="1495">
        <v>0.6</v>
      </c>
      <c r="C54" s="1495">
        <v>0.3</v>
      </c>
      <c r="D54" s="1495">
        <v>0.2</v>
      </c>
      <c r="E54" s="1495">
        <v>0.2</v>
      </c>
      <c r="F54" s="1495">
        <v>0.2</v>
      </c>
      <c r="G54" s="1495">
        <v>0.2</v>
      </c>
      <c r="H54" s="1495">
        <v>0.15</v>
      </c>
    </row>
    <row r="55" spans="1:8" s="1565" customFormat="1" ht="19.5" customHeight="1">
      <c r="A55" s="1580" t="s">
        <v>1175</v>
      </c>
      <c r="B55" s="1495">
        <v>0.6</v>
      </c>
      <c r="C55" s="1495">
        <v>0.3</v>
      </c>
      <c r="D55" s="1495">
        <v>0.2</v>
      </c>
      <c r="E55" s="1495">
        <v>0.2</v>
      </c>
      <c r="F55" s="1495">
        <v>0.2</v>
      </c>
      <c r="G55" s="1495">
        <v>0.2</v>
      </c>
      <c r="H55" s="1495">
        <v>0.15</v>
      </c>
    </row>
    <row r="56" spans="1:8" s="1565" customFormat="1" ht="19.5" customHeight="1">
      <c r="A56" s="1580" t="s">
        <v>1176</v>
      </c>
      <c r="B56" s="1495">
        <v>0.6</v>
      </c>
      <c r="C56" s="1495">
        <v>0.3</v>
      </c>
      <c r="D56" s="1495">
        <v>0.2</v>
      </c>
      <c r="E56" s="1495">
        <v>0.2</v>
      </c>
      <c r="F56" s="1495">
        <v>0.2</v>
      </c>
      <c r="G56" s="1495">
        <v>0.2</v>
      </c>
      <c r="H56" s="1495">
        <v>0.15</v>
      </c>
    </row>
    <row r="58" spans="1:8" s="1565" customFormat="1" ht="19.5" customHeight="1">
      <c r="A58" s="1581"/>
      <c r="B58" s="1563"/>
      <c r="C58" s="1563"/>
      <c r="D58" s="1563" t="s">
        <v>1615</v>
      </c>
      <c r="E58" s="1563"/>
      <c r="F58" s="1563"/>
    </row>
    <row r="59" spans="1:8" s="1565" customFormat="1" ht="19.5" customHeight="1">
      <c r="A59" s="1569" t="s">
        <v>1616</v>
      </c>
      <c r="B59" s="1569" t="s">
        <v>1617</v>
      </c>
      <c r="C59" s="1569" t="s">
        <v>1618</v>
      </c>
      <c r="D59" s="1569" t="s">
        <v>1619</v>
      </c>
      <c r="E59" s="1569" t="s">
        <v>1620</v>
      </c>
      <c r="F59" s="1569" t="s">
        <v>1621</v>
      </c>
    </row>
    <row r="60" spans="1:8" ht="13.5">
      <c r="A60" s="1764"/>
      <c r="B60" s="1764"/>
      <c r="C60" s="1764" t="s">
        <v>1753</v>
      </c>
      <c r="D60" s="1764"/>
      <c r="E60" s="1582" t="s">
        <v>23</v>
      </c>
      <c r="F60" s="1764" t="s">
        <v>23</v>
      </c>
    </row>
    <row r="61" spans="1:8" s="1565" customFormat="1" ht="24">
      <c r="A61" s="1569">
        <v>1</v>
      </c>
      <c r="B61" s="3804" t="s">
        <v>1622</v>
      </c>
      <c r="C61" s="1495" t="s">
        <v>1623</v>
      </c>
      <c r="D61" s="1495" t="s">
        <v>1624</v>
      </c>
      <c r="E61" s="1582">
        <v>0.5</v>
      </c>
      <c r="F61" s="1569">
        <v>80</v>
      </c>
    </row>
    <row r="62" spans="1:8" s="1565" customFormat="1" ht="24">
      <c r="A62" s="1569">
        <v>2</v>
      </c>
      <c r="B62" s="3804"/>
      <c r="C62" s="1495" t="s">
        <v>1625</v>
      </c>
      <c r="D62" s="1495" t="s">
        <v>1626</v>
      </c>
      <c r="E62" s="1582">
        <v>0.5</v>
      </c>
      <c r="F62" s="1569">
        <v>80</v>
      </c>
    </row>
    <row r="63" spans="1:8" s="1565" customFormat="1" ht="36">
      <c r="A63" s="1569">
        <v>3</v>
      </c>
      <c r="B63" s="3804"/>
      <c r="C63" s="1495" t="s">
        <v>1627</v>
      </c>
      <c r="D63" s="1495" t="s">
        <v>1628</v>
      </c>
      <c r="E63" s="1582">
        <v>0.5</v>
      </c>
      <c r="F63" s="1569">
        <v>80</v>
      </c>
    </row>
    <row r="64" spans="1:8" s="1565" customFormat="1" ht="36">
      <c r="A64" s="1569">
        <v>4</v>
      </c>
      <c r="B64" s="3804"/>
      <c r="C64" s="1495" t="s">
        <v>1629</v>
      </c>
      <c r="D64" s="1495" t="s">
        <v>1630</v>
      </c>
      <c r="E64" s="1582">
        <v>0.4</v>
      </c>
      <c r="F64" s="1569">
        <v>60</v>
      </c>
    </row>
    <row r="65" spans="1:6" s="1565" customFormat="1" ht="36">
      <c r="A65" s="1569">
        <v>5</v>
      </c>
      <c r="B65" s="3804"/>
      <c r="C65" s="1495" t="s">
        <v>1631</v>
      </c>
      <c r="D65" s="1495" t="s">
        <v>1632</v>
      </c>
      <c r="E65" s="1582">
        <v>0.2</v>
      </c>
      <c r="F65" s="1569">
        <v>30</v>
      </c>
    </row>
    <row r="66" spans="1:6" s="1565" customFormat="1" ht="36">
      <c r="A66" s="1569">
        <v>6</v>
      </c>
      <c r="B66" s="3804"/>
      <c r="C66" s="1495" t="s">
        <v>1633</v>
      </c>
      <c r="D66" s="1495" t="s">
        <v>1634</v>
      </c>
      <c r="E66" s="1582">
        <v>0.3</v>
      </c>
      <c r="F66" s="1569">
        <v>50</v>
      </c>
    </row>
    <row r="67" spans="1:6" s="1565" customFormat="1" ht="36">
      <c r="A67" s="1569">
        <v>7</v>
      </c>
      <c r="B67" s="3804"/>
      <c r="C67" s="1495" t="s">
        <v>1635</v>
      </c>
      <c r="D67" s="1495" t="s">
        <v>1636</v>
      </c>
      <c r="E67" s="1582">
        <v>0.2</v>
      </c>
      <c r="F67" s="1569">
        <v>30</v>
      </c>
    </row>
    <row r="68" spans="1:6" s="1565" customFormat="1" ht="36">
      <c r="A68" s="1569">
        <v>8</v>
      </c>
      <c r="B68" s="3804"/>
      <c r="C68" s="1495" t="s">
        <v>1637</v>
      </c>
      <c r="D68" s="1495" t="s">
        <v>1638</v>
      </c>
      <c r="E68" s="1582">
        <v>0.2</v>
      </c>
      <c r="F68" s="1569">
        <v>30</v>
      </c>
    </row>
    <row r="69" spans="1:6" s="1565" customFormat="1" ht="36">
      <c r="A69" s="1569">
        <v>9</v>
      </c>
      <c r="B69" s="3804"/>
      <c r="C69" s="1495" t="s">
        <v>1639</v>
      </c>
      <c r="D69" s="1495" t="s">
        <v>1640</v>
      </c>
      <c r="E69" s="1582">
        <v>0.2</v>
      </c>
      <c r="F69" s="1569">
        <v>30</v>
      </c>
    </row>
    <row r="70" spans="1:6" s="1565" customFormat="1" ht="48">
      <c r="A70" s="1569">
        <v>10</v>
      </c>
      <c r="B70" s="3804"/>
      <c r="C70" s="1495" t="s">
        <v>1641</v>
      </c>
      <c r="D70" s="1495" t="s">
        <v>1642</v>
      </c>
      <c r="E70" s="1582">
        <v>0.2</v>
      </c>
      <c r="F70" s="1569">
        <v>30</v>
      </c>
    </row>
    <row r="71" spans="1:6" s="1565" customFormat="1" ht="48">
      <c r="A71" s="1569">
        <v>11</v>
      </c>
      <c r="B71" s="3804"/>
      <c r="C71" s="1495" t="s">
        <v>1643</v>
      </c>
      <c r="D71" s="1495" t="s">
        <v>1644</v>
      </c>
      <c r="E71" s="1582">
        <v>0.2</v>
      </c>
      <c r="F71" s="1569">
        <v>30</v>
      </c>
    </row>
    <row r="72" spans="1:6" s="1565" customFormat="1" ht="36">
      <c r="A72" s="1569">
        <v>12</v>
      </c>
      <c r="B72" s="3804"/>
      <c r="C72" s="1495" t="s">
        <v>1645</v>
      </c>
      <c r="D72" s="1495" t="s">
        <v>1646</v>
      </c>
      <c r="E72" s="1582">
        <v>0.5</v>
      </c>
      <c r="F72" s="1569">
        <v>80</v>
      </c>
    </row>
    <row r="73" spans="1:6" s="1565" customFormat="1" ht="24">
      <c r="A73" s="1569">
        <v>13</v>
      </c>
      <c r="B73" s="3804"/>
      <c r="C73" s="1495" t="s">
        <v>1647</v>
      </c>
      <c r="D73" s="1495" t="s">
        <v>1648</v>
      </c>
      <c r="E73" s="1582">
        <v>0.4</v>
      </c>
      <c r="F73" s="1569">
        <v>60</v>
      </c>
    </row>
    <row r="74" spans="1:6" s="1565" customFormat="1" ht="24">
      <c r="A74" s="1569">
        <v>14</v>
      </c>
      <c r="B74" s="3804"/>
      <c r="C74" s="1495" t="s">
        <v>1649</v>
      </c>
      <c r="D74" s="1495" t="s">
        <v>1650</v>
      </c>
      <c r="E74" s="1582">
        <v>0.2</v>
      </c>
      <c r="F74" s="1569">
        <v>30</v>
      </c>
    </row>
    <row r="75" spans="1:6" s="1565" customFormat="1" ht="24">
      <c r="A75" s="1569">
        <v>15</v>
      </c>
      <c r="B75" s="3804"/>
      <c r="C75" s="1495" t="s">
        <v>1651</v>
      </c>
      <c r="D75" s="1495" t="s">
        <v>1652</v>
      </c>
      <c r="E75" s="1582">
        <v>0.2</v>
      </c>
      <c r="F75" s="1569">
        <v>30</v>
      </c>
    </row>
    <row r="76" spans="1:6" s="1565" customFormat="1" ht="24">
      <c r="A76" s="1569">
        <v>16</v>
      </c>
      <c r="B76" s="3804" t="s">
        <v>1653</v>
      </c>
      <c r="C76" s="1495" t="s">
        <v>1654</v>
      </c>
      <c r="D76" s="1495" t="s">
        <v>1655</v>
      </c>
      <c r="E76" s="1582">
        <v>0.5</v>
      </c>
      <c r="F76" s="1569">
        <v>80</v>
      </c>
    </row>
    <row r="77" spans="1:6" s="1565" customFormat="1" ht="24">
      <c r="A77" s="1569">
        <v>17</v>
      </c>
      <c r="B77" s="3804"/>
      <c r="C77" s="1495" t="s">
        <v>1656</v>
      </c>
      <c r="D77" s="1495" t="s">
        <v>1657</v>
      </c>
      <c r="E77" s="1582">
        <v>0.5</v>
      </c>
      <c r="F77" s="1569">
        <v>80</v>
      </c>
    </row>
    <row r="78" spans="1:6" s="1565" customFormat="1" ht="24">
      <c r="A78" s="1569">
        <v>18</v>
      </c>
      <c r="B78" s="3804"/>
      <c r="C78" s="1495" t="s">
        <v>1658</v>
      </c>
      <c r="D78" s="1495" t="s">
        <v>1659</v>
      </c>
      <c r="E78" s="1582">
        <v>0.2</v>
      </c>
      <c r="F78" s="1569">
        <v>30</v>
      </c>
    </row>
    <row r="79" spans="1:6" s="1565" customFormat="1" ht="24">
      <c r="A79" s="1569">
        <v>19</v>
      </c>
      <c r="B79" s="3804"/>
      <c r="C79" s="1495" t="s">
        <v>1660</v>
      </c>
      <c r="D79" s="1495" t="s">
        <v>1661</v>
      </c>
      <c r="E79" s="1582">
        <v>0.5</v>
      </c>
      <c r="F79" s="1569">
        <v>80</v>
      </c>
    </row>
    <row r="80" spans="1:6" s="1565" customFormat="1" ht="36">
      <c r="A80" s="1569">
        <v>20</v>
      </c>
      <c r="B80" s="3804"/>
      <c r="C80" s="1495" t="s">
        <v>1662</v>
      </c>
      <c r="D80" s="1495" t="s">
        <v>1663</v>
      </c>
      <c r="E80" s="1582">
        <v>0.2</v>
      </c>
      <c r="F80" s="1569">
        <v>30</v>
      </c>
    </row>
    <row r="81" spans="1:6" s="1565" customFormat="1" ht="36">
      <c r="A81" s="1569">
        <v>21</v>
      </c>
      <c r="B81" s="3804"/>
      <c r="C81" s="1495" t="s">
        <v>1664</v>
      </c>
      <c r="D81" s="1495" t="s">
        <v>1665</v>
      </c>
      <c r="E81" s="1582">
        <v>0.2</v>
      </c>
      <c r="F81" s="1569">
        <v>30</v>
      </c>
    </row>
    <row r="82" spans="1:6" s="1565" customFormat="1" ht="48">
      <c r="A82" s="1569">
        <v>22</v>
      </c>
      <c r="B82" s="3804"/>
      <c r="C82" s="1495" t="s">
        <v>1666</v>
      </c>
      <c r="D82" s="1495" t="s">
        <v>1667</v>
      </c>
      <c r="E82" s="1582">
        <v>0.2</v>
      </c>
      <c r="F82" s="1569">
        <v>30</v>
      </c>
    </row>
    <row r="83" spans="1:6" s="1565" customFormat="1" ht="48">
      <c r="A83" s="1569">
        <v>23</v>
      </c>
      <c r="B83" s="3804"/>
      <c r="C83" s="1495" t="s">
        <v>1668</v>
      </c>
      <c r="D83" s="1495" t="s">
        <v>1669</v>
      </c>
      <c r="E83" s="1582">
        <v>0.2</v>
      </c>
      <c r="F83" s="1569">
        <v>30</v>
      </c>
    </row>
    <row r="84" spans="1:6" s="1565" customFormat="1" ht="36">
      <c r="A84" s="1569">
        <v>24</v>
      </c>
      <c r="B84" s="3804"/>
      <c r="C84" s="1495" t="s">
        <v>1670</v>
      </c>
      <c r="D84" s="1495" t="s">
        <v>1671</v>
      </c>
      <c r="E84" s="1582">
        <v>0.2</v>
      </c>
      <c r="F84" s="1569">
        <v>30</v>
      </c>
    </row>
    <row r="85" spans="1:6" s="1565" customFormat="1" ht="36">
      <c r="A85" s="1569">
        <v>25</v>
      </c>
      <c r="B85" s="3804"/>
      <c r="C85" s="1495" t="s">
        <v>1672</v>
      </c>
      <c r="D85" s="1495" t="s">
        <v>1673</v>
      </c>
      <c r="E85" s="1582">
        <v>0.5</v>
      </c>
      <c r="F85" s="1569">
        <v>80</v>
      </c>
    </row>
    <row r="86" spans="1:6" s="1565" customFormat="1" ht="36">
      <c r="A86" s="1569">
        <v>26</v>
      </c>
      <c r="B86" s="3804"/>
      <c r="C86" s="1495" t="s">
        <v>1674</v>
      </c>
      <c r="D86" s="1495" t="s">
        <v>1675</v>
      </c>
      <c r="E86" s="1582">
        <v>0.2</v>
      </c>
      <c r="F86" s="1569">
        <v>30</v>
      </c>
    </row>
    <row r="87" spans="1:6" s="1565" customFormat="1" ht="36">
      <c r="A87" s="1569">
        <v>27</v>
      </c>
      <c r="B87" s="3804"/>
      <c r="C87" s="1495" t="s">
        <v>1676</v>
      </c>
      <c r="D87" s="1495" t="s">
        <v>1677</v>
      </c>
      <c r="E87" s="1582">
        <v>0.2</v>
      </c>
      <c r="F87" s="1569">
        <v>30</v>
      </c>
    </row>
    <row r="88" spans="1:6" s="1565" customFormat="1" ht="36">
      <c r="A88" s="1569">
        <v>28</v>
      </c>
      <c r="B88" s="3804"/>
      <c r="C88" s="1495" t="s">
        <v>1678</v>
      </c>
      <c r="D88" s="1495" t="s">
        <v>1679</v>
      </c>
      <c r="E88" s="1582">
        <v>0.2</v>
      </c>
      <c r="F88" s="1569">
        <v>30</v>
      </c>
    </row>
    <row r="89" spans="1:6" s="1565" customFormat="1" ht="24">
      <c r="A89" s="1569">
        <v>29</v>
      </c>
      <c r="B89" s="3804"/>
      <c r="C89" s="1495" t="s">
        <v>1680</v>
      </c>
      <c r="D89" s="1495" t="s">
        <v>1681</v>
      </c>
      <c r="E89" s="1582">
        <v>0.2</v>
      </c>
      <c r="F89" s="1569">
        <v>30</v>
      </c>
    </row>
    <row r="90" spans="1:6" s="1565" customFormat="1" ht="24">
      <c r="A90" s="1569">
        <v>30</v>
      </c>
      <c r="B90" s="3804"/>
      <c r="C90" s="1495" t="s">
        <v>1682</v>
      </c>
      <c r="D90" s="1495" t="s">
        <v>1683</v>
      </c>
      <c r="E90" s="1582">
        <v>0.2</v>
      </c>
      <c r="F90" s="1569">
        <v>30</v>
      </c>
    </row>
    <row r="91" spans="1:6" s="1565" customFormat="1" ht="36">
      <c r="A91" s="1569">
        <v>31</v>
      </c>
      <c r="B91" s="3804"/>
      <c r="C91" s="1495" t="s">
        <v>1684</v>
      </c>
      <c r="D91" s="1495" t="s">
        <v>1685</v>
      </c>
      <c r="E91" s="1582">
        <v>0.2</v>
      </c>
      <c r="F91" s="1569">
        <v>30</v>
      </c>
    </row>
    <row r="92" spans="1:6" s="1565" customFormat="1" ht="24">
      <c r="A92" s="1569">
        <v>32</v>
      </c>
      <c r="B92" s="3804" t="s">
        <v>1686</v>
      </c>
      <c r="C92" s="1569" t="s">
        <v>1687</v>
      </c>
      <c r="D92" s="1495" t="s">
        <v>1688</v>
      </c>
      <c r="E92" s="1582">
        <v>0.2</v>
      </c>
      <c r="F92" s="1569">
        <v>30</v>
      </c>
    </row>
    <row r="93" spans="1:6" s="1565" customFormat="1" ht="36">
      <c r="A93" s="1569">
        <v>33</v>
      </c>
      <c r="B93" s="3804"/>
      <c r="C93" s="1569" t="s">
        <v>1689</v>
      </c>
      <c r="D93" s="1495" t="s">
        <v>1690</v>
      </c>
      <c r="E93" s="1582">
        <v>0.2</v>
      </c>
      <c r="F93" s="1569">
        <v>30</v>
      </c>
    </row>
    <row r="94" spans="1:6" s="1565" customFormat="1" ht="48">
      <c r="A94" s="1569">
        <v>34</v>
      </c>
      <c r="B94" s="3804"/>
      <c r="C94" s="1569" t="s">
        <v>1691</v>
      </c>
      <c r="D94" s="1495" t="s">
        <v>1692</v>
      </c>
      <c r="E94" s="1582">
        <v>0.2</v>
      </c>
      <c r="F94" s="1569">
        <v>30</v>
      </c>
    </row>
    <row r="95" spans="1:6" s="1565" customFormat="1" ht="36">
      <c r="A95" s="1569">
        <v>35</v>
      </c>
      <c r="B95" s="3804"/>
      <c r="C95" s="1569" t="s">
        <v>1693</v>
      </c>
      <c r="D95" s="1495" t="s">
        <v>1694</v>
      </c>
      <c r="E95" s="1582">
        <v>0.2</v>
      </c>
      <c r="F95" s="1569">
        <v>30</v>
      </c>
    </row>
    <row r="96" spans="1:6" s="1565" customFormat="1" ht="48">
      <c r="A96" s="1569">
        <v>36</v>
      </c>
      <c r="B96" s="3804"/>
      <c r="C96" s="1495" t="s">
        <v>1695</v>
      </c>
      <c r="D96" s="1495" t="s">
        <v>1696</v>
      </c>
      <c r="E96" s="1582">
        <v>0.2</v>
      </c>
      <c r="F96" s="1569">
        <v>30</v>
      </c>
    </row>
    <row r="97" spans="1:6" s="1565" customFormat="1" ht="36">
      <c r="A97" s="1569">
        <v>37</v>
      </c>
      <c r="B97" s="3804"/>
      <c r="C97" s="1569" t="s">
        <v>1697</v>
      </c>
      <c r="D97" s="1495" t="s">
        <v>1698</v>
      </c>
      <c r="E97" s="1582">
        <v>0.2</v>
      </c>
      <c r="F97" s="1569">
        <v>30</v>
      </c>
    </row>
    <row r="98" spans="1:6" s="1565" customFormat="1" ht="36">
      <c r="A98" s="1569">
        <v>38</v>
      </c>
      <c r="B98" s="3804"/>
      <c r="C98" s="1569" t="s">
        <v>1699</v>
      </c>
      <c r="D98" s="1495" t="s">
        <v>1700</v>
      </c>
      <c r="E98" s="1582">
        <v>0.2</v>
      </c>
      <c r="F98" s="1569">
        <v>30</v>
      </c>
    </row>
    <row r="99" spans="1:6" s="1565" customFormat="1" ht="36">
      <c r="A99" s="1569">
        <v>39</v>
      </c>
      <c r="B99" s="3804" t="s">
        <v>1701</v>
      </c>
      <c r="C99" s="1569" t="s">
        <v>1702</v>
      </c>
      <c r="D99" s="1495" t="s">
        <v>1703</v>
      </c>
      <c r="E99" s="1582">
        <v>0.3</v>
      </c>
      <c r="F99" s="1569">
        <v>50</v>
      </c>
    </row>
    <row r="100" spans="1:6" s="1565" customFormat="1" ht="24">
      <c r="A100" s="1569">
        <v>40</v>
      </c>
      <c r="B100" s="3804"/>
      <c r="C100" s="1569" t="s">
        <v>1704</v>
      </c>
      <c r="D100" s="1495" t="s">
        <v>1705</v>
      </c>
      <c r="E100" s="1582">
        <v>0.2</v>
      </c>
      <c r="F100" s="1569">
        <v>30</v>
      </c>
    </row>
    <row r="101" spans="1:6" s="1565" customFormat="1" ht="36">
      <c r="A101" s="1569">
        <v>41</v>
      </c>
      <c r="B101" s="3804"/>
      <c r="C101" s="1569" t="s">
        <v>1706</v>
      </c>
      <c r="D101" s="1495" t="s">
        <v>1703</v>
      </c>
      <c r="E101" s="1582">
        <v>0.2</v>
      </c>
      <c r="F101" s="1569">
        <v>30</v>
      </c>
    </row>
    <row r="102" spans="1:6" s="1565" customFormat="1" ht="48">
      <c r="A102" s="1569">
        <v>42</v>
      </c>
      <c r="B102" s="1569" t="s">
        <v>1707</v>
      </c>
      <c r="C102" s="1495" t="s">
        <v>1708</v>
      </c>
      <c r="D102" s="1495" t="s">
        <v>1709</v>
      </c>
      <c r="E102" s="1582">
        <v>0.2</v>
      </c>
      <c r="F102" s="1569">
        <v>30</v>
      </c>
    </row>
    <row r="103" spans="1:6" s="1565" customFormat="1" ht="24">
      <c r="A103" s="1569">
        <v>43</v>
      </c>
      <c r="B103" s="1569" t="s">
        <v>1710</v>
      </c>
      <c r="C103" s="1569" t="s">
        <v>1711</v>
      </c>
      <c r="D103" s="1495" t="s">
        <v>1712</v>
      </c>
      <c r="E103" s="1582">
        <v>0.2</v>
      </c>
      <c r="F103" s="1569">
        <v>30</v>
      </c>
    </row>
    <row r="104" spans="1:6" s="1565" customFormat="1" ht="36">
      <c r="A104" s="1569">
        <v>44</v>
      </c>
      <c r="B104" s="1569" t="s">
        <v>1713</v>
      </c>
      <c r="C104" s="1569" t="s">
        <v>1714</v>
      </c>
      <c r="D104" s="1495" t="s">
        <v>1715</v>
      </c>
      <c r="E104" s="1582">
        <v>0.2</v>
      </c>
      <c r="F104" s="1569">
        <v>30</v>
      </c>
    </row>
    <row r="105" spans="1:6" s="1565" customFormat="1" ht="36">
      <c r="A105" s="1569">
        <v>45</v>
      </c>
      <c r="B105" s="3804" t="s">
        <v>1716</v>
      </c>
      <c r="C105" s="1569" t="s">
        <v>1717</v>
      </c>
      <c r="D105" s="1495" t="s">
        <v>1718</v>
      </c>
      <c r="E105" s="1582">
        <v>0.2</v>
      </c>
      <c r="F105" s="1569">
        <v>30</v>
      </c>
    </row>
    <row r="106" spans="1:6" s="1565" customFormat="1" ht="36">
      <c r="A106" s="1569">
        <v>46</v>
      </c>
      <c r="B106" s="3804"/>
      <c r="C106" s="1569" t="s">
        <v>1719</v>
      </c>
      <c r="D106" s="1495" t="s">
        <v>1720</v>
      </c>
      <c r="E106" s="1582">
        <v>0.2</v>
      </c>
      <c r="F106" s="1569">
        <v>30</v>
      </c>
    </row>
    <row r="107" spans="1:6" s="1565" customFormat="1" ht="36">
      <c r="A107" s="1569">
        <v>47</v>
      </c>
      <c r="B107" s="3804" t="s">
        <v>1721</v>
      </c>
      <c r="C107" s="1569" t="s">
        <v>1722</v>
      </c>
      <c r="D107" s="1495" t="s">
        <v>1723</v>
      </c>
      <c r="E107" s="1582">
        <v>0.3</v>
      </c>
      <c r="F107" s="1569">
        <v>50</v>
      </c>
    </row>
    <row r="108" spans="1:6" s="1565" customFormat="1" ht="36">
      <c r="A108" s="1569">
        <v>48</v>
      </c>
      <c r="B108" s="3804"/>
      <c r="C108" s="1569" t="s">
        <v>1724</v>
      </c>
      <c r="D108" s="1495" t="s">
        <v>1725</v>
      </c>
      <c r="E108" s="1582">
        <v>0.2</v>
      </c>
      <c r="F108" s="1569">
        <v>30</v>
      </c>
    </row>
    <row r="109" spans="1:6" s="1565" customFormat="1" ht="36">
      <c r="A109" s="1569">
        <v>49</v>
      </c>
      <c r="B109" s="1569" t="s">
        <v>1726</v>
      </c>
      <c r="C109" s="1569" t="s">
        <v>1727</v>
      </c>
      <c r="D109" s="1495" t="s">
        <v>1728</v>
      </c>
      <c r="E109" s="1582">
        <v>0.2</v>
      </c>
      <c r="F109" s="1569">
        <v>30</v>
      </c>
    </row>
    <row r="110" spans="1:6" s="1565" customFormat="1" ht="36">
      <c r="A110" s="1569">
        <v>50</v>
      </c>
      <c r="B110" s="1569" t="s">
        <v>1729</v>
      </c>
      <c r="C110" s="1569" t="s">
        <v>1730</v>
      </c>
      <c r="D110" s="1495" t="s">
        <v>1731</v>
      </c>
      <c r="E110" s="1582">
        <v>0.2</v>
      </c>
      <c r="F110" s="1569">
        <v>30</v>
      </c>
    </row>
    <row r="111" spans="1:6" s="1565" customFormat="1" ht="36">
      <c r="A111" s="1569">
        <v>51</v>
      </c>
      <c r="B111" s="3804" t="s">
        <v>1732</v>
      </c>
      <c r="C111" s="1569" t="s">
        <v>1733</v>
      </c>
      <c r="D111" s="1495" t="s">
        <v>1734</v>
      </c>
      <c r="E111" s="1582">
        <v>0.2</v>
      </c>
      <c r="F111" s="1569">
        <v>30</v>
      </c>
    </row>
    <row r="112" spans="1:6" s="1565" customFormat="1" ht="24">
      <c r="A112" s="1569">
        <v>52</v>
      </c>
      <c r="B112" s="3804"/>
      <c r="C112" s="1569" t="s">
        <v>1735</v>
      </c>
      <c r="D112" s="1495" t="s">
        <v>1736</v>
      </c>
      <c r="E112" s="1582">
        <v>0.2</v>
      </c>
      <c r="F112" s="1569">
        <v>30</v>
      </c>
    </row>
    <row r="113" spans="1:6" s="1565" customFormat="1" ht="24">
      <c r="A113" s="1569">
        <v>53</v>
      </c>
      <c r="B113" s="3804"/>
      <c r="C113" s="1569" t="s">
        <v>1737</v>
      </c>
      <c r="D113" s="1495" t="s">
        <v>1738</v>
      </c>
      <c r="E113" s="1582">
        <v>0.2</v>
      </c>
      <c r="F113" s="1569">
        <v>30</v>
      </c>
    </row>
    <row r="114" spans="1:6" ht="36">
      <c r="A114" s="1569">
        <v>54</v>
      </c>
      <c r="B114" s="1569" t="s">
        <v>1739</v>
      </c>
      <c r="C114" s="1569" t="s">
        <v>1740</v>
      </c>
      <c r="D114" s="1495" t="s">
        <v>1741</v>
      </c>
      <c r="E114" s="1582">
        <v>0.2</v>
      </c>
      <c r="F114" s="1569">
        <v>30</v>
      </c>
    </row>
    <row r="115" spans="1:6" ht="24">
      <c r="A115" s="1569">
        <v>55</v>
      </c>
      <c r="B115" s="1569" t="s">
        <v>1742</v>
      </c>
      <c r="C115" s="1569" t="s">
        <v>1743</v>
      </c>
      <c r="D115" s="1495" t="s">
        <v>1744</v>
      </c>
      <c r="E115" s="1582">
        <v>0.2</v>
      </c>
      <c r="F115" s="1569">
        <v>30</v>
      </c>
    </row>
    <row r="116" spans="1:6" ht="24">
      <c r="A116" s="1569">
        <v>56</v>
      </c>
      <c r="B116" s="3804" t="s">
        <v>1745</v>
      </c>
      <c r="C116" s="1569" t="s">
        <v>1746</v>
      </c>
      <c r="D116" s="1495" t="s">
        <v>1747</v>
      </c>
      <c r="E116" s="1582">
        <v>0.2</v>
      </c>
      <c r="F116" s="1569">
        <v>30</v>
      </c>
    </row>
    <row r="117" spans="1:6" ht="36">
      <c r="A117" s="1569">
        <v>57</v>
      </c>
      <c r="B117" s="3804"/>
      <c r="C117" s="1569" t="s">
        <v>1748</v>
      </c>
      <c r="D117" s="1495" t="s">
        <v>1749</v>
      </c>
      <c r="E117" s="1582">
        <v>0.2</v>
      </c>
      <c r="F117" s="1569">
        <v>30</v>
      </c>
    </row>
    <row r="118" spans="1:6" ht="36">
      <c r="A118" s="1569">
        <v>58</v>
      </c>
      <c r="B118" s="1569" t="s">
        <v>1750</v>
      </c>
      <c r="C118" s="1569" t="s">
        <v>1751</v>
      </c>
      <c r="D118" s="1495" t="s">
        <v>1752</v>
      </c>
      <c r="E118" s="1582">
        <v>0.2</v>
      </c>
      <c r="F118" s="1569">
        <v>30</v>
      </c>
    </row>
    <row r="119" spans="1:6" ht="13.5">
      <c r="A119" s="1569"/>
      <c r="B119" s="1569"/>
      <c r="C119" s="1569" t="s">
        <v>1753</v>
      </c>
      <c r="D119" s="1569"/>
      <c r="E119" s="1582" t="s">
        <v>1563</v>
      </c>
      <c r="F119" s="1569"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1763</v>
      </c>
      <c r="B1" s="1593"/>
      <c r="C1" s="1593"/>
      <c r="D1" s="1593"/>
      <c r="E1" s="1593"/>
      <c r="F1" s="1593"/>
      <c r="G1" s="1593"/>
      <c r="H1" s="1593"/>
      <c r="I1" s="1593"/>
      <c r="J1" s="1593"/>
      <c r="K1" s="1593"/>
      <c r="L1" s="1593"/>
      <c r="M1" s="1593"/>
      <c r="N1" s="1593"/>
    </row>
    <row r="2" spans="1:14">
      <c r="A2" s="1595" t="s">
        <v>1760</v>
      </c>
      <c r="B2" s="1596" t="s">
        <v>1165</v>
      </c>
      <c r="C2" s="1596" t="s">
        <v>1166</v>
      </c>
      <c r="D2" s="1596" t="s">
        <v>1167</v>
      </c>
      <c r="E2" s="1596" t="s">
        <v>1168</v>
      </c>
      <c r="F2" s="1596" t="s">
        <v>1169</v>
      </c>
      <c r="G2" s="1596" t="s">
        <v>1170</v>
      </c>
      <c r="H2" s="1597" t="s">
        <v>1171</v>
      </c>
      <c r="I2" s="1597" t="s">
        <v>1172</v>
      </c>
      <c r="J2" s="1598" t="s">
        <v>1173</v>
      </c>
      <c r="K2" s="1598" t="s">
        <v>1174</v>
      </c>
      <c r="L2" s="1598" t="s">
        <v>1175</v>
      </c>
      <c r="M2" s="1598" t="s">
        <v>1176</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1769</v>
      </c>
      <c r="B103" s="1593"/>
      <c r="C103" s="1593"/>
      <c r="D103" s="1593"/>
      <c r="E103" s="1593"/>
      <c r="F103" s="1593"/>
      <c r="G103" s="1593"/>
      <c r="H103" s="1593"/>
      <c r="I103" s="1593"/>
      <c r="J103" s="1593"/>
      <c r="K103" s="1593"/>
      <c r="L103" s="1593"/>
      <c r="M103" s="1593"/>
      <c r="N103" s="1593"/>
    </row>
    <row r="104" spans="1:14" ht="14.25">
      <c r="A104" s="1595" t="s">
        <v>1760</v>
      </c>
      <c r="B104" s="1596" t="s">
        <v>1165</v>
      </c>
      <c r="C104" s="1596" t="s">
        <v>1166</v>
      </c>
      <c r="D104" s="1596" t="s">
        <v>1167</v>
      </c>
      <c r="E104" s="1596" t="s">
        <v>1168</v>
      </c>
      <c r="F104" s="1596" t="s">
        <v>1169</v>
      </c>
      <c r="G104" s="1596" t="s">
        <v>1170</v>
      </c>
      <c r="H104" s="1597" t="s">
        <v>1171</v>
      </c>
      <c r="I104" s="1597" t="s">
        <v>1172</v>
      </c>
      <c r="J104" s="1598" t="s">
        <v>1173</v>
      </c>
      <c r="K104" s="1598" t="s">
        <v>1174</v>
      </c>
      <c r="L104" s="1598" t="s">
        <v>1175</v>
      </c>
      <c r="M104" s="1598" t="s">
        <v>1176</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1770</v>
      </c>
      <c r="B205" s="1593"/>
      <c r="C205" s="1593"/>
      <c r="D205" s="1593"/>
      <c r="E205" s="1593"/>
      <c r="F205" s="1593"/>
      <c r="G205" s="1593"/>
      <c r="H205" s="1593"/>
      <c r="I205" s="1593"/>
      <c r="J205" s="1593"/>
      <c r="K205" s="1593"/>
      <c r="L205" s="1593"/>
      <c r="M205" s="1593"/>
    </row>
    <row r="206" spans="1:13">
      <c r="A206" s="1595" t="s">
        <v>1760</v>
      </c>
      <c r="B206" s="1596" t="s">
        <v>1165</v>
      </c>
      <c r="C206" s="1596" t="s">
        <v>1166</v>
      </c>
      <c r="D206" s="1596" t="s">
        <v>1167</v>
      </c>
      <c r="E206" s="1596" t="s">
        <v>1168</v>
      </c>
      <c r="F206" s="1596" t="s">
        <v>1169</v>
      </c>
      <c r="G206" s="1596" t="s">
        <v>1170</v>
      </c>
      <c r="H206" s="1597" t="s">
        <v>1171</v>
      </c>
      <c r="I206" s="1597" t="s">
        <v>1172</v>
      </c>
      <c r="J206" s="1598" t="s">
        <v>1173</v>
      </c>
      <c r="K206" s="1598" t="s">
        <v>1174</v>
      </c>
      <c r="L206" s="1598" t="s">
        <v>1175</v>
      </c>
      <c r="M206" s="1598" t="s">
        <v>1176</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1771</v>
      </c>
      <c r="B307" s="1593"/>
      <c r="C307" s="1593"/>
      <c r="D307" s="1593"/>
      <c r="E307" s="1593"/>
      <c r="F307" s="1593"/>
      <c r="G307" s="1593"/>
      <c r="H307" s="1593"/>
      <c r="I307" s="1593"/>
      <c r="J307" s="1593"/>
      <c r="K307" s="1593"/>
      <c r="L307" s="1593"/>
      <c r="M307" s="1593"/>
    </row>
    <row r="308" spans="1:13">
      <c r="A308" s="1595" t="s">
        <v>1760</v>
      </c>
      <c r="B308" s="1596" t="s">
        <v>1165</v>
      </c>
      <c r="C308" s="1596" t="s">
        <v>1166</v>
      </c>
      <c r="D308" s="1596" t="s">
        <v>1167</v>
      </c>
      <c r="E308" s="1596" t="s">
        <v>1168</v>
      </c>
      <c r="F308" s="1596" t="s">
        <v>1169</v>
      </c>
      <c r="G308" s="1596" t="s">
        <v>1170</v>
      </c>
      <c r="H308" s="1597" t="s">
        <v>1171</v>
      </c>
      <c r="I308" s="1597" t="s">
        <v>1172</v>
      </c>
      <c r="J308" s="1598" t="s">
        <v>1173</v>
      </c>
      <c r="K308" s="1598" t="s">
        <v>1174</v>
      </c>
      <c r="L308" s="1598" t="s">
        <v>1175</v>
      </c>
      <c r="M308" s="1598" t="s">
        <v>1176</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3057</v>
      </c>
    </row>
    <row r="2" spans="1:5" ht="14.25">
      <c r="A2" s="3334" t="s">
        <v>207</v>
      </c>
      <c r="B2" s="3331" t="e">
        <f ca="1">SUMIF(B6:B13,"&lt;&gt;#ref!",B6:B13)</f>
        <v>#DIV/0!</v>
      </c>
      <c r="C2" s="3334" t="s">
        <v>2667</v>
      </c>
      <c r="D2" s="3334" t="s">
        <v>3052</v>
      </c>
      <c r="E2" s="3331" t="e">
        <f ca="1">SUM(E6:E13)</f>
        <v>#REF!</v>
      </c>
    </row>
    <row r="3" spans="1:5" ht="14.25">
      <c r="A3" s="3334" t="s">
        <v>8</v>
      </c>
      <c r="B3" s="3331" t="e">
        <f ca="1">ROUND(B2*10000/E2,0)</f>
        <v>#DIV/0!</v>
      </c>
      <c r="C3" s="3334" t="s">
        <v>2668</v>
      </c>
      <c r="D3" s="3332"/>
      <c r="E3" s="3332"/>
    </row>
    <row r="4" spans="1:5" ht="14.25">
      <c r="A4" s="3335"/>
      <c r="B4" s="3332"/>
      <c r="C4" s="3332"/>
      <c r="D4" s="3332"/>
      <c r="E4" s="3332"/>
    </row>
    <row r="5" spans="1:5" ht="28.5">
      <c r="A5" s="3336" t="s">
        <v>3055</v>
      </c>
      <c r="B5" s="3334" t="s">
        <v>3053</v>
      </c>
      <c r="C5" s="3331"/>
      <c r="D5" s="3332"/>
      <c r="E5" s="3334" t="s">
        <v>3054</v>
      </c>
    </row>
    <row r="6" spans="1:5" ht="14.25">
      <c r="A6" s="3337" t="s">
        <v>3056</v>
      </c>
      <c r="B6" s="3333" t="e">
        <f ca="1">SUMIF(INDIRECT("'"&amp;A6&amp;"'"&amp;"!A:A"),"总价",INDIRECT("'"&amp;A6&amp;"'"&amp;"!B:B"))</f>
        <v>#DIV/0!</v>
      </c>
      <c r="C6" s="3334" t="s">
        <v>2667</v>
      </c>
      <c r="D6" s="3332"/>
      <c r="E6" s="2785">
        <f ca="1">SUMIF(INDIRECT("'"&amp;A6&amp;"'"&amp;"!C:C"),"建筑面积",INDIRECT("'"&amp;A6&amp;"'"&amp;"!D:D"))</f>
        <v>0</v>
      </c>
    </row>
    <row r="7" spans="1:5" ht="14.25">
      <c r="A7" s="3337"/>
      <c r="B7" s="3333" t="e">
        <f ca="1">SUMIF(INDIRECT("'"&amp;A7&amp;"'"&amp;"!A:A"),"总价",INDIRECT("'"&amp;A7&amp;"'"&amp;"!B:B"))</f>
        <v>#REF!</v>
      </c>
      <c r="C7" s="3334" t="s">
        <v>2667</v>
      </c>
      <c r="D7" s="3332"/>
      <c r="E7" s="2785" t="e">
        <f t="shared" ref="E7:E13" ca="1" si="0">SUMIF(INDIRECT("'"&amp;A7&amp;"'"&amp;"!C:C"),"建筑面积",INDIRECT("'"&amp;A7&amp;"'"&amp;"!D:D"))</f>
        <v>#REF!</v>
      </c>
    </row>
    <row r="8" spans="1:5" ht="14.25">
      <c r="A8" s="3337"/>
      <c r="B8" s="3333" t="e">
        <f t="shared" ref="B8:B13" ca="1" si="1">SUMIF(INDIRECT("'"&amp;A8&amp;"'"&amp;"!A:A"),"总价",INDIRECT("'"&amp;A8&amp;"'"&amp;"!B:B"))</f>
        <v>#REF!</v>
      </c>
      <c r="C8" s="3334" t="s">
        <v>2667</v>
      </c>
      <c r="D8" s="3332"/>
      <c r="E8" s="2785" t="e">
        <f t="shared" ca="1" si="0"/>
        <v>#REF!</v>
      </c>
    </row>
    <row r="9" spans="1:5" ht="14.25">
      <c r="A9" s="3337"/>
      <c r="B9" s="3333" t="e">
        <f t="shared" ca="1" si="1"/>
        <v>#REF!</v>
      </c>
      <c r="C9" s="3334" t="s">
        <v>2667</v>
      </c>
      <c r="D9" s="3332"/>
      <c r="E9" s="2785" t="e">
        <f t="shared" ca="1" si="0"/>
        <v>#REF!</v>
      </c>
    </row>
    <row r="10" spans="1:5" ht="14.25">
      <c r="A10" s="3337"/>
      <c r="B10" s="3333" t="e">
        <f t="shared" ca="1" si="1"/>
        <v>#REF!</v>
      </c>
      <c r="C10" s="3334" t="s">
        <v>2667</v>
      </c>
      <c r="D10" s="3332"/>
      <c r="E10" s="2785" t="e">
        <f t="shared" ca="1" si="0"/>
        <v>#REF!</v>
      </c>
    </row>
    <row r="11" spans="1:5" ht="14.25">
      <c r="A11" s="3337"/>
      <c r="B11" s="3333" t="e">
        <f t="shared" ca="1" si="1"/>
        <v>#REF!</v>
      </c>
      <c r="C11" s="3334" t="s">
        <v>2667</v>
      </c>
      <c r="D11" s="3332"/>
      <c r="E11" s="2785" t="e">
        <f t="shared" ca="1" si="0"/>
        <v>#REF!</v>
      </c>
    </row>
    <row r="12" spans="1:5" ht="14.25">
      <c r="A12" s="3337"/>
      <c r="B12" s="3333" t="e">
        <f t="shared" ca="1" si="1"/>
        <v>#REF!</v>
      </c>
      <c r="C12" s="3334" t="s">
        <v>2667</v>
      </c>
      <c r="D12" s="3332"/>
      <c r="E12" s="2785" t="e">
        <f t="shared" ca="1" si="0"/>
        <v>#REF!</v>
      </c>
    </row>
    <row r="13" spans="1:5" ht="14.25">
      <c r="A13" s="3337"/>
      <c r="B13" s="3333" t="e">
        <f t="shared" ca="1" si="1"/>
        <v>#REF!</v>
      </c>
      <c r="C13" s="3334" t="s">
        <v>2667</v>
      </c>
      <c r="D13" s="3332"/>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B47" sqref="B47"/>
    </sheetView>
  </sheetViews>
  <sheetFormatPr defaultRowHeight="13.5"/>
  <cols>
    <col min="1" max="1" width="10.5" style="91" customWidth="1"/>
    <col min="2" max="2" width="15.75" style="91" customWidth="1"/>
    <col min="3" max="3" width="17.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974</v>
      </c>
      <c r="C1" s="3098" t="s">
        <v>128</v>
      </c>
      <c r="D1" s="3099" t="s">
        <v>3329</v>
      </c>
      <c r="E1" s="3100"/>
      <c r="F1" s="3101" t="s">
        <v>2691</v>
      </c>
      <c r="G1" s="3103" t="s">
        <v>976</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172</v>
      </c>
      <c r="B2" s="2840" t="e">
        <f ca="1">IF(C2="——",ROUND(C49*D3/10000,0),ROUND(C49*D3/10000,0)-D2)</f>
        <v>#REF!</v>
      </c>
      <c r="C2" s="3093"/>
      <c r="D2" s="2720" t="e">
        <f ca="1">SUMIF(INDIRECT("'"&amp;F2&amp;"'"&amp;"!A:A"),"承租人权益价值",INDIRECT("'"&amp;F2&amp;"'"&amp;"!c:c"))</f>
        <v>#REF!</v>
      </c>
      <c r="E2" s="3094" t="s">
        <v>862</v>
      </c>
      <c r="F2" s="3095"/>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173</v>
      </c>
      <c r="B3" s="741" t="e">
        <f ca="1">IF(C2="——",C49,ROUND(B2*10000/D3,0))</f>
        <v>#REF!</v>
      </c>
      <c r="C3" s="142" t="s">
        <v>167</v>
      </c>
      <c r="D3" s="741">
        <f>IF(D1="",'数据-汇总表'!E3,SUMIF('数据-汇总表'!$C19:$C33,D1,'数据-汇总表'!$E19:$E33))</f>
        <v>8554.24</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53</v>
      </c>
      <c r="B4" s="144"/>
      <c r="C4" s="3742" t="s">
        <v>54</v>
      </c>
      <c r="D4" s="3743"/>
      <c r="E4" s="3744" t="s">
        <v>55</v>
      </c>
      <c r="F4" s="3745"/>
      <c r="G4" s="3742" t="s">
        <v>56</v>
      </c>
      <c r="H4" s="3743"/>
      <c r="I4" s="3742" t="s">
        <v>57</v>
      </c>
      <c r="J4" s="3743"/>
      <c r="K4" s="145" t="s">
        <v>58</v>
      </c>
      <c r="L4" s="2291"/>
      <c r="M4" s="2292"/>
      <c r="N4" s="2292"/>
      <c r="O4" s="2292"/>
      <c r="P4" s="3746" t="s">
        <v>53</v>
      </c>
      <c r="Q4" s="3747"/>
      <c r="R4" s="3737" t="s">
        <v>55</v>
      </c>
      <c r="S4" s="3738"/>
      <c r="T4" s="3737" t="s">
        <v>56</v>
      </c>
      <c r="U4" s="3738"/>
      <c r="V4" s="3754" t="s">
        <v>57</v>
      </c>
      <c r="W4" s="3754"/>
      <c r="X4" s="3357"/>
      <c r="Y4" s="3737" t="s">
        <v>53</v>
      </c>
      <c r="Z4" s="3738"/>
      <c r="AA4" s="3732" t="s">
        <v>55</v>
      </c>
      <c r="AB4" s="3732" t="s">
        <v>56</v>
      </c>
      <c r="AC4" s="3732" t="s">
        <v>57</v>
      </c>
    </row>
    <row r="5" spans="1:29">
      <c r="A5" s="146"/>
      <c r="B5" s="147"/>
      <c r="C5" s="3667" t="s">
        <v>59</v>
      </c>
      <c r="D5" s="3668"/>
      <c r="E5" s="3665" t="s">
        <v>3369</v>
      </c>
      <c r="F5" s="3666"/>
      <c r="G5" s="3667" t="s">
        <v>3359</v>
      </c>
      <c r="H5" s="3668"/>
      <c r="I5" s="3667" t="s">
        <v>3362</v>
      </c>
      <c r="J5" s="3668"/>
      <c r="K5" s="152"/>
      <c r="L5" s="2291"/>
      <c r="M5" s="2292"/>
      <c r="N5" s="2292"/>
      <c r="O5" s="2292"/>
      <c r="P5" s="3748"/>
      <c r="Q5" s="3749"/>
      <c r="R5" s="3739"/>
      <c r="S5" s="3740"/>
      <c r="T5" s="3739"/>
      <c r="U5" s="3740"/>
      <c r="V5" s="3754"/>
      <c r="W5" s="3754"/>
      <c r="X5" s="3357"/>
      <c r="Y5" s="3739"/>
      <c r="Z5" s="3740"/>
      <c r="AA5" s="3733"/>
      <c r="AB5" s="3733"/>
      <c r="AC5" s="3733"/>
    </row>
    <row r="6" spans="1:29" ht="32.25" customHeight="1" thickBot="1">
      <c r="A6" s="148"/>
      <c r="B6" s="149"/>
      <c r="C6" s="3669" t="s">
        <v>63</v>
      </c>
      <c r="D6" s="3670"/>
      <c r="E6" s="3671" t="s">
        <v>3370</v>
      </c>
      <c r="F6" s="3672"/>
      <c r="G6" s="3669" t="s">
        <v>3360</v>
      </c>
      <c r="H6" s="3670"/>
      <c r="I6" s="3669" t="s">
        <v>3363</v>
      </c>
      <c r="J6" s="3670"/>
      <c r="K6" s="152" t="s">
        <v>117</v>
      </c>
      <c r="L6" s="2291"/>
      <c r="M6" s="2292"/>
      <c r="N6" s="2292"/>
      <c r="O6" s="2292"/>
      <c r="P6" s="3750"/>
      <c r="Q6" s="3751"/>
      <c r="R6" s="3739"/>
      <c r="S6" s="3740"/>
      <c r="T6" s="3752"/>
      <c r="U6" s="3753"/>
      <c r="V6" s="3754"/>
      <c r="W6" s="3754"/>
      <c r="X6" s="3357"/>
      <c r="Y6" s="3752"/>
      <c r="Z6" s="3753"/>
      <c r="AA6" s="3734"/>
      <c r="AB6" s="3734"/>
      <c r="AC6" s="3734"/>
    </row>
    <row r="7" spans="1:29" s="40" customFormat="1" ht="15" thickBot="1">
      <c r="A7" s="1011" t="s">
        <v>64</v>
      </c>
      <c r="B7" s="1012"/>
      <c r="C7" s="1013">
        <f>'数据-取费表'!B2</f>
        <v>42975</v>
      </c>
      <c r="D7" s="753">
        <v>100</v>
      </c>
      <c r="E7" s="1014">
        <f>C7</f>
        <v>42975</v>
      </c>
      <c r="F7" s="755">
        <f>SUMIF(58:58,YEAR(E7)&amp;"-"&amp;MONTH(E7),59:59)</f>
        <v>100</v>
      </c>
      <c r="G7" s="1014">
        <f>E7</f>
        <v>42975</v>
      </c>
      <c r="H7" s="753">
        <f>SUMIF(58:58,YEAR(G7)&amp;"-"&amp;MONTH(G7),59:59)</f>
        <v>100</v>
      </c>
      <c r="I7" s="1014">
        <f>G7</f>
        <v>42975</v>
      </c>
      <c r="J7" s="753">
        <f>SUMIF(58:58,YEAR(I7)&amp;"-"&amp;MONTH(I7),59:59)</f>
        <v>100</v>
      </c>
      <c r="K7" s="1338"/>
      <c r="L7" s="2293"/>
      <c r="M7" s="2255"/>
      <c r="N7" s="2255"/>
      <c r="O7" s="2255"/>
      <c r="P7" s="3735" t="s">
        <v>64</v>
      </c>
      <c r="Q7" s="3755"/>
      <c r="R7" s="1339" t="s">
        <v>65</v>
      </c>
      <c r="S7" s="1340">
        <f t="shared" ref="S7:S15" si="0">F7</f>
        <v>100</v>
      </c>
      <c r="T7" s="1339" t="s">
        <v>65</v>
      </c>
      <c r="U7" s="1340">
        <f t="shared" ref="U7:U15" si="1">H7</f>
        <v>100</v>
      </c>
      <c r="V7" s="1339" t="s">
        <v>65</v>
      </c>
      <c r="W7" s="1340">
        <f t="shared" ref="W7:W15" si="2">J7</f>
        <v>100</v>
      </c>
      <c r="X7" s="287"/>
      <c r="Y7" s="3735" t="s">
        <v>64</v>
      </c>
      <c r="Z7" s="3736"/>
      <c r="AA7" s="1341">
        <f>D7/F7</f>
        <v>1</v>
      </c>
      <c r="AB7" s="1341">
        <f>D7/H7</f>
        <v>1</v>
      </c>
      <c r="AC7" s="1341">
        <f>D7/J7</f>
        <v>1</v>
      </c>
    </row>
    <row r="8" spans="1:29" s="40" customFormat="1" ht="15" thickBot="1">
      <c r="A8" s="1011" t="s">
        <v>66</v>
      </c>
      <c r="B8" s="1012"/>
      <c r="C8" s="1017" t="s">
        <v>155</v>
      </c>
      <c r="D8" s="753">
        <v>100</v>
      </c>
      <c r="E8" s="1017" t="s">
        <v>155</v>
      </c>
      <c r="F8" s="755">
        <f>SUMIF(61:61,E8,62:62)-SUMIF(61:61,C8,62:62)+100</f>
        <v>100</v>
      </c>
      <c r="G8" s="1017" t="s">
        <v>155</v>
      </c>
      <c r="H8" s="753">
        <f>SUMIF(61:61,G8,62:62)-SUMIF(61:61,C8,62:62)+100</f>
        <v>100</v>
      </c>
      <c r="I8" s="1017" t="s">
        <v>155</v>
      </c>
      <c r="J8" s="753">
        <f>SUMIF(61:61,I8,62:62)-SUMIF(61:61,C8,62:62)+100</f>
        <v>100</v>
      </c>
      <c r="K8" s="1338"/>
      <c r="L8" s="2293"/>
      <c r="M8" s="2255"/>
      <c r="N8" s="2255"/>
      <c r="O8" s="2255"/>
      <c r="P8" s="3735" t="s">
        <v>66</v>
      </c>
      <c r="Q8" s="3736"/>
      <c r="R8" s="1339" t="s">
        <v>65</v>
      </c>
      <c r="S8" s="1340">
        <f t="shared" si="0"/>
        <v>100</v>
      </c>
      <c r="T8" s="1339" t="s">
        <v>65</v>
      </c>
      <c r="U8" s="1340">
        <f t="shared" si="1"/>
        <v>100</v>
      </c>
      <c r="V8" s="1339" t="s">
        <v>65</v>
      </c>
      <c r="W8" s="1340">
        <f t="shared" si="2"/>
        <v>100</v>
      </c>
      <c r="X8" s="287"/>
      <c r="Y8" s="3735" t="s">
        <v>66</v>
      </c>
      <c r="Z8" s="3736"/>
      <c r="AA8" s="1341">
        <f t="shared" ref="AA8:AA19" si="3">D8/F8</f>
        <v>1</v>
      </c>
      <c r="AB8" s="1341">
        <f t="shared" ref="AB8:AB19" si="4">D8/H8</f>
        <v>1</v>
      </c>
      <c r="AC8" s="1341">
        <f t="shared" ref="AC8:AC19" si="5">D8/J8</f>
        <v>1</v>
      </c>
    </row>
    <row r="9" spans="1:29" s="40" customFormat="1" ht="14.25">
      <c r="A9" s="1018" t="s">
        <v>67</v>
      </c>
      <c r="B9" s="62" t="s">
        <v>68</v>
      </c>
      <c r="C9" s="1342" t="s">
        <v>3348</v>
      </c>
      <c r="D9" s="425">
        <v>100</v>
      </c>
      <c r="E9" s="1342" t="s">
        <v>3348</v>
      </c>
      <c r="F9" s="760">
        <f>SUMIF(63:63,E9,64:64)-SUMIF(63:63,C9,64:64)+100</f>
        <v>100</v>
      </c>
      <c r="G9" s="1342" t="s">
        <v>3348</v>
      </c>
      <c r="H9" s="425">
        <f>SUMIF(63:63,G9,64:64)-SUMIF(63:63,C9,64:64)+100</f>
        <v>100</v>
      </c>
      <c r="I9" s="1342" t="s">
        <v>3348</v>
      </c>
      <c r="J9" s="425">
        <f>SUMIF(63:63,I9,64:64)-SUMIF(63:63,C9,64:64)+100</f>
        <v>100</v>
      </c>
      <c r="K9" s="1338"/>
      <c r="L9" s="2293"/>
      <c r="M9" s="2255"/>
      <c r="N9" s="2255"/>
      <c r="O9" s="2255"/>
      <c r="P9" s="3741" t="s">
        <v>67</v>
      </c>
      <c r="Q9" s="3350" t="str">
        <f t="shared" ref="Q9:Q15" si="6">B9</f>
        <v>用途</v>
      </c>
      <c r="R9" s="1339" t="s">
        <v>65</v>
      </c>
      <c r="S9" s="1340">
        <f t="shared" si="0"/>
        <v>100</v>
      </c>
      <c r="T9" s="1339" t="s">
        <v>65</v>
      </c>
      <c r="U9" s="1340">
        <f t="shared" si="1"/>
        <v>100</v>
      </c>
      <c r="V9" s="1339" t="s">
        <v>65</v>
      </c>
      <c r="W9" s="1340">
        <f t="shared" si="2"/>
        <v>100</v>
      </c>
      <c r="X9" s="287"/>
      <c r="Y9" s="3528" t="s">
        <v>67</v>
      </c>
      <c r="Z9" s="3351" t="str">
        <f t="shared" ref="Z9:Z15" si="7">Q9</f>
        <v>用途</v>
      </c>
      <c r="AA9" s="1341">
        <f t="shared" si="3"/>
        <v>1</v>
      </c>
      <c r="AB9" s="1341">
        <f t="shared" si="4"/>
        <v>1</v>
      </c>
      <c r="AC9" s="1341">
        <f t="shared" si="5"/>
        <v>1</v>
      </c>
    </row>
    <row r="10" spans="1:29" s="92" customFormat="1" ht="27">
      <c r="A10" s="150"/>
      <c r="B10" s="3355" t="s">
        <v>106</v>
      </c>
      <c r="C10" s="1345" t="s">
        <v>3320</v>
      </c>
      <c r="D10" s="426">
        <v>100</v>
      </c>
      <c r="E10" s="1345" t="s">
        <v>3320</v>
      </c>
      <c r="F10" s="767">
        <f>SUMIF(65:65,E10,66:66)-SUMIF(65:65,C10,66:66)+100</f>
        <v>100</v>
      </c>
      <c r="G10" s="1345" t="s">
        <v>3320</v>
      </c>
      <c r="H10" s="426">
        <f>SUMIF(65:65,G10,66:66)-SUMIF(65:65,C10,66:66)+100</f>
        <v>100</v>
      </c>
      <c r="I10" s="1345" t="s">
        <v>3320</v>
      </c>
      <c r="J10" s="426">
        <f>SUMIF(65:65,I10,66:66)-SUMIF(65:65,C10,66:66)+100</f>
        <v>100</v>
      </c>
      <c r="K10" s="768">
        <v>1</v>
      </c>
      <c r="L10" s="2294"/>
      <c r="M10" s="2295"/>
      <c r="N10" s="2295"/>
      <c r="O10" s="2295"/>
      <c r="P10" s="3741"/>
      <c r="Q10" s="3350" t="str">
        <f t="shared" si="6"/>
        <v>土地使用年限（年）</v>
      </c>
      <c r="R10" s="1339" t="s">
        <v>65</v>
      </c>
      <c r="S10" s="1340">
        <f t="shared" si="0"/>
        <v>100</v>
      </c>
      <c r="T10" s="1339" t="s">
        <v>65</v>
      </c>
      <c r="U10" s="1340">
        <f t="shared" si="1"/>
        <v>100</v>
      </c>
      <c r="V10" s="1339" t="s">
        <v>65</v>
      </c>
      <c r="W10" s="1340">
        <f t="shared" si="2"/>
        <v>100</v>
      </c>
      <c r="X10" s="287"/>
      <c r="Y10" s="3528"/>
      <c r="Z10" s="3351" t="str">
        <f t="shared" si="7"/>
        <v>土地使用年限（年）</v>
      </c>
      <c r="AA10" s="1341">
        <f t="shared" si="3"/>
        <v>1</v>
      </c>
      <c r="AB10" s="1341">
        <f t="shared" si="4"/>
        <v>1</v>
      </c>
      <c r="AC10" s="1341">
        <f t="shared" si="5"/>
        <v>1</v>
      </c>
    </row>
    <row r="11" spans="1:29" ht="15">
      <c r="A11" s="151"/>
      <c r="B11" s="3355" t="s">
        <v>93</v>
      </c>
      <c r="C11" s="771">
        <f>'土地比较法-住宅、综合'!C11</f>
        <v>1.61</v>
      </c>
      <c r="D11" s="426">
        <v>100</v>
      </c>
      <c r="E11" s="772">
        <v>2.2000000000000002</v>
      </c>
      <c r="F11" s="767">
        <f>LOOKUP(E11,68:68,69:69)-LOOKUP(C11,68:68,69:69)+100</f>
        <v>98</v>
      </c>
      <c r="G11" s="771">
        <v>1.31</v>
      </c>
      <c r="H11" s="426">
        <f>LOOKUP(G11,68:68,69:69)-LOOKUP(C11,68:68,69:69)+100</f>
        <v>100</v>
      </c>
      <c r="I11" s="771">
        <v>2.8</v>
      </c>
      <c r="J11" s="426">
        <f>LOOKUP(I11,68:68,69:69)-LOOKUP(C11,68:68,69:69)+100</f>
        <v>98</v>
      </c>
      <c r="K11" s="768">
        <f>'土地比较法-住宅、综合'!K11</f>
        <v>2</v>
      </c>
      <c r="L11" s="2296"/>
      <c r="M11" s="2292"/>
      <c r="N11" s="2292"/>
      <c r="O11" s="2292"/>
      <c r="P11" s="3741"/>
      <c r="Q11" s="3350" t="str">
        <f t="shared" si="6"/>
        <v>容积率</v>
      </c>
      <c r="R11" s="1339" t="s">
        <v>65</v>
      </c>
      <c r="S11" s="1340">
        <f t="shared" si="0"/>
        <v>98</v>
      </c>
      <c r="T11" s="1339" t="s">
        <v>65</v>
      </c>
      <c r="U11" s="1340">
        <f t="shared" si="1"/>
        <v>100</v>
      </c>
      <c r="V11" s="1339" t="s">
        <v>65</v>
      </c>
      <c r="W11" s="1340">
        <f t="shared" si="2"/>
        <v>98</v>
      </c>
      <c r="X11" s="287"/>
      <c r="Y11" s="3528"/>
      <c r="Z11" s="3351" t="str">
        <f t="shared" si="7"/>
        <v>容积率</v>
      </c>
      <c r="AA11" s="1341">
        <f t="shared" si="3"/>
        <v>1.0204081632653061</v>
      </c>
      <c r="AB11" s="1341">
        <f t="shared" si="4"/>
        <v>1</v>
      </c>
      <c r="AC11" s="1341">
        <f t="shared" si="5"/>
        <v>1.0204081632653061</v>
      </c>
    </row>
    <row r="12" spans="1:29" s="40" customFormat="1" ht="14.25">
      <c r="A12" s="1027"/>
      <c r="B12" s="1028"/>
      <c r="C12" s="1021"/>
      <c r="D12" s="775">
        <v>100</v>
      </c>
      <c r="E12" s="1021"/>
      <c r="F12" s="767">
        <f>SUMIF(70:70,E12,71:71)-SUMIF(70:70,C12,71:71)+100</f>
        <v>100</v>
      </c>
      <c r="G12" s="1021"/>
      <c r="H12" s="426">
        <f>SUMIF(70:70,G12,71:71)-SUMIF(70:70,C12,71:71)+100</f>
        <v>100</v>
      </c>
      <c r="I12" s="1021"/>
      <c r="J12" s="426">
        <f>SUMIF(70:70,I12,71:71)-SUMIF(70:70,C12,71:71)+100</f>
        <v>100</v>
      </c>
      <c r="K12" s="153"/>
      <c r="L12" s="2293"/>
      <c r="M12" s="2255"/>
      <c r="N12" s="2255"/>
      <c r="O12" s="2255"/>
      <c r="P12" s="3741"/>
      <c r="Q12" s="3350">
        <f t="shared" si="6"/>
        <v>0</v>
      </c>
      <c r="R12" s="1339" t="s">
        <v>65</v>
      </c>
      <c r="S12" s="1340">
        <f t="shared" si="0"/>
        <v>100</v>
      </c>
      <c r="T12" s="1339" t="s">
        <v>65</v>
      </c>
      <c r="U12" s="1340">
        <f t="shared" si="1"/>
        <v>100</v>
      </c>
      <c r="V12" s="1339" t="s">
        <v>65</v>
      </c>
      <c r="W12" s="1340">
        <f t="shared" si="2"/>
        <v>100</v>
      </c>
      <c r="X12" s="287"/>
      <c r="Y12" s="3528"/>
      <c r="Z12" s="3351">
        <f t="shared" si="7"/>
        <v>0</v>
      </c>
      <c r="AA12" s="1341">
        <f>D12/F12</f>
        <v>1</v>
      </c>
      <c r="AB12" s="1341">
        <f>D12/H12</f>
        <v>1</v>
      </c>
      <c r="AC12" s="1341">
        <f>D12/J12</f>
        <v>1</v>
      </c>
    </row>
    <row r="13" spans="1:29" ht="14.25">
      <c r="A13" s="151"/>
      <c r="B13" s="1028"/>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741"/>
      <c r="Q13" s="3350">
        <f t="shared" si="6"/>
        <v>0</v>
      </c>
      <c r="R13" s="1339" t="s">
        <v>65</v>
      </c>
      <c r="S13" s="1340">
        <f t="shared" si="0"/>
        <v>100</v>
      </c>
      <c r="T13" s="1339" t="s">
        <v>65</v>
      </c>
      <c r="U13" s="1340">
        <f t="shared" si="1"/>
        <v>100</v>
      </c>
      <c r="V13" s="1339" t="s">
        <v>65</v>
      </c>
      <c r="W13" s="1340">
        <f t="shared" si="2"/>
        <v>100</v>
      </c>
      <c r="X13" s="287"/>
      <c r="Y13" s="3528"/>
      <c r="Z13" s="3351">
        <f t="shared" si="7"/>
        <v>0</v>
      </c>
      <c r="AA13" s="1341">
        <f t="shared" si="3"/>
        <v>1</v>
      </c>
      <c r="AB13" s="1341">
        <f t="shared" si="4"/>
        <v>1</v>
      </c>
      <c r="AC13" s="1341">
        <f t="shared" si="5"/>
        <v>1</v>
      </c>
    </row>
    <row r="14" spans="1:29" ht="15" thickBot="1">
      <c r="A14" s="154"/>
      <c r="B14" s="1029"/>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741"/>
      <c r="Q14" s="3350">
        <f t="shared" si="6"/>
        <v>0</v>
      </c>
      <c r="R14" s="1339" t="s">
        <v>65</v>
      </c>
      <c r="S14" s="1340">
        <f t="shared" si="0"/>
        <v>100</v>
      </c>
      <c r="T14" s="1339" t="s">
        <v>65</v>
      </c>
      <c r="U14" s="1340">
        <f t="shared" si="1"/>
        <v>100</v>
      </c>
      <c r="V14" s="1339" t="s">
        <v>65</v>
      </c>
      <c r="W14" s="1340">
        <f t="shared" si="2"/>
        <v>100</v>
      </c>
      <c r="X14" s="287"/>
      <c r="Y14" s="3528"/>
      <c r="Z14" s="3351">
        <f t="shared" si="7"/>
        <v>0</v>
      </c>
      <c r="AA14" s="1341">
        <f t="shared" si="3"/>
        <v>1</v>
      </c>
      <c r="AB14" s="1341">
        <f t="shared" si="4"/>
        <v>1</v>
      </c>
      <c r="AC14" s="1341">
        <f t="shared" si="5"/>
        <v>1</v>
      </c>
    </row>
    <row r="15" spans="1:29" ht="94.5">
      <c r="A15" s="155" t="s">
        <v>69</v>
      </c>
      <c r="B15" s="58" t="s">
        <v>52</v>
      </c>
      <c r="C15" s="157" t="str">
        <f>估价对象房地状况!C3</f>
        <v>估价对象周边居住用地比例较低，周边3公里内有潭墅苑、鲁新家园的住宅项目，综合评价居住社区成熟度较差。</v>
      </c>
      <c r="D15" s="783">
        <v>100</v>
      </c>
      <c r="E15" s="96" t="s">
        <v>3330</v>
      </c>
      <c r="F15" s="783">
        <f>SUMIF(76:76,E16,77:77)-SUMIF(76:76,C16,77:77)+100</f>
        <v>103</v>
      </c>
      <c r="G15" s="96" t="s">
        <v>3361</v>
      </c>
      <c r="H15" s="783">
        <f>SUMIF(76:76,G16,77:77)-SUMIF(76:76,C16,77:77)+100</f>
        <v>106</v>
      </c>
      <c r="I15" s="784" t="s">
        <v>3292</v>
      </c>
      <c r="J15" s="783">
        <f>SUMIF(76:76,I16,77:77)-SUMIF(76:76,C16,77:77)+100</f>
        <v>103</v>
      </c>
      <c r="K15" s="787">
        <f>'土地比较法-住宅、综合'!K15</f>
        <v>3</v>
      </c>
      <c r="L15" s="2297"/>
      <c r="M15" s="2292"/>
      <c r="N15" s="2292"/>
      <c r="O15" s="2292"/>
      <c r="P15" s="3768" t="s">
        <v>69</v>
      </c>
      <c r="Q15" s="3359" t="str">
        <f t="shared" si="6"/>
        <v>居住社区成熟度</v>
      </c>
      <c r="R15" s="1348" t="s">
        <v>65</v>
      </c>
      <c r="S15" s="1349">
        <f t="shared" si="0"/>
        <v>103</v>
      </c>
      <c r="T15" s="1348" t="s">
        <v>65</v>
      </c>
      <c r="U15" s="1349">
        <f t="shared" si="1"/>
        <v>106</v>
      </c>
      <c r="V15" s="1348" t="s">
        <v>65</v>
      </c>
      <c r="W15" s="1349">
        <f t="shared" si="2"/>
        <v>103</v>
      </c>
      <c r="X15" s="3357"/>
      <c r="Y15" s="3761" t="s">
        <v>69</v>
      </c>
      <c r="Z15" s="3358" t="str">
        <f t="shared" si="7"/>
        <v>居住社区成熟度</v>
      </c>
      <c r="AA15" s="3360">
        <f t="shared" si="3"/>
        <v>0.970873786407767</v>
      </c>
      <c r="AB15" s="3360">
        <f t="shared" si="4"/>
        <v>0.94339622641509435</v>
      </c>
      <c r="AC15" s="3360">
        <f t="shared" si="5"/>
        <v>0.970873786407767</v>
      </c>
    </row>
    <row r="16" spans="1:29" ht="14.25">
      <c r="A16" s="151"/>
      <c r="B16" s="156"/>
      <c r="C16" s="97" t="s">
        <v>3302</v>
      </c>
      <c r="D16" s="790"/>
      <c r="E16" s="99" t="s">
        <v>3285</v>
      </c>
      <c r="F16" s="790"/>
      <c r="G16" s="98" t="s">
        <v>3286</v>
      </c>
      <c r="H16" s="792"/>
      <c r="I16" s="98" t="s">
        <v>3285</v>
      </c>
      <c r="J16" s="790"/>
      <c r="K16" s="159"/>
      <c r="L16" s="2297"/>
      <c r="M16" s="2292"/>
      <c r="N16" s="2292"/>
      <c r="O16" s="2292"/>
      <c r="P16" s="3769"/>
      <c r="Q16" s="3359"/>
      <c r="R16" s="1348"/>
      <c r="S16" s="1349"/>
      <c r="T16" s="1348"/>
      <c r="U16" s="1349"/>
      <c r="V16" s="1348"/>
      <c r="W16" s="1349"/>
      <c r="X16" s="3357"/>
      <c r="Y16" s="3762"/>
      <c r="Z16" s="3358"/>
      <c r="AA16" s="3360">
        <v>1</v>
      </c>
      <c r="AB16" s="3360">
        <v>1</v>
      </c>
      <c r="AC16" s="3360">
        <v>1</v>
      </c>
    </row>
    <row r="17" spans="1:29" ht="94.5">
      <c r="A17" s="151"/>
      <c r="B17" s="1352" t="s">
        <v>72</v>
      </c>
      <c r="C17" s="158" t="str">
        <f>估价对象房地状况!C6</f>
        <v>估价对象周边道路密集度一般、周边有931、948路等公交线路经过，停车便捷程度较好，综合评价交通便捷度较差。</v>
      </c>
      <c r="D17" s="792">
        <v>100</v>
      </c>
      <c r="E17" s="101" t="s">
        <v>3331</v>
      </c>
      <c r="F17" s="792">
        <f>SUMIF(78:78,E18,79:79)-SUMIF(78:78,C18,79:79)+100</f>
        <v>102</v>
      </c>
      <c r="G17" s="101" t="s">
        <v>3352</v>
      </c>
      <c r="H17" s="797">
        <f>SUMIF(78:78,G18,79:79)-SUMIF(78:78,C18,79:79)+100</f>
        <v>102</v>
      </c>
      <c r="I17" s="794" t="s">
        <v>3293</v>
      </c>
      <c r="J17" s="797">
        <f>SUMIF(78:78,I18,79:79)-SUMIF(78:78,C18,79:79)+100</f>
        <v>100</v>
      </c>
      <c r="K17" s="787">
        <f>'土地比较法-住宅、综合'!K21</f>
        <v>2</v>
      </c>
      <c r="L17" s="2297"/>
      <c r="M17" s="2292"/>
      <c r="N17" s="2292"/>
      <c r="O17" s="2292"/>
      <c r="P17" s="3769"/>
      <c r="Q17" s="3359" t="str">
        <f>B17</f>
        <v>交通便捷度</v>
      </c>
      <c r="R17" s="1348" t="s">
        <v>65</v>
      </c>
      <c r="S17" s="1349">
        <f>F17</f>
        <v>102</v>
      </c>
      <c r="T17" s="1348" t="s">
        <v>65</v>
      </c>
      <c r="U17" s="1349">
        <f>H17</f>
        <v>102</v>
      </c>
      <c r="V17" s="1348" t="s">
        <v>65</v>
      </c>
      <c r="W17" s="1349">
        <f>J17</f>
        <v>100</v>
      </c>
      <c r="X17" s="3357"/>
      <c r="Y17" s="3762"/>
      <c r="Z17" s="3358" t="str">
        <f>Q17</f>
        <v>交通便捷度</v>
      </c>
      <c r="AA17" s="3360">
        <f t="shared" si="3"/>
        <v>0.98039215686274506</v>
      </c>
      <c r="AB17" s="3360">
        <f t="shared" si="4"/>
        <v>0.98039215686274506</v>
      </c>
      <c r="AC17" s="3360">
        <f t="shared" si="5"/>
        <v>1</v>
      </c>
    </row>
    <row r="18" spans="1:29" ht="14.25">
      <c r="A18" s="151"/>
      <c r="B18" s="1037"/>
      <c r="C18" s="102" t="s">
        <v>3285</v>
      </c>
      <c r="D18" s="792"/>
      <c r="E18" s="104" t="s">
        <v>3286</v>
      </c>
      <c r="F18" s="792"/>
      <c r="G18" s="103" t="s">
        <v>3286</v>
      </c>
      <c r="H18" s="790"/>
      <c r="I18" s="103" t="s">
        <v>3285</v>
      </c>
      <c r="J18" s="790"/>
      <c r="K18" s="159"/>
      <c r="L18" s="2297"/>
      <c r="M18" s="2292"/>
      <c r="N18" s="2292"/>
      <c r="O18" s="2292"/>
      <c r="P18" s="3769"/>
      <c r="Q18" s="3359"/>
      <c r="R18" s="1348"/>
      <c r="S18" s="1349"/>
      <c r="T18" s="1348"/>
      <c r="U18" s="1349"/>
      <c r="V18" s="1348"/>
      <c r="W18" s="1349"/>
      <c r="X18" s="3357"/>
      <c r="Y18" s="3762"/>
      <c r="Z18" s="3358"/>
      <c r="AA18" s="3360">
        <v>1</v>
      </c>
      <c r="AB18" s="3360">
        <v>1</v>
      </c>
      <c r="AC18" s="3360">
        <v>1</v>
      </c>
    </row>
    <row r="19" spans="1:29" ht="94.5">
      <c r="A19" s="151"/>
      <c r="B19" s="1352" t="s">
        <v>2628</v>
      </c>
      <c r="C19" s="158" t="str">
        <f>估价对象房地状况!C7</f>
        <v>估价对象周边有银行、购物场所、餐饮等配套设施，基础设施水平较高；综合评价公用设施及基础设施水平较差。</v>
      </c>
      <c r="D19" s="797">
        <v>100</v>
      </c>
      <c r="E19" s="106" t="s">
        <v>3287</v>
      </c>
      <c r="F19" s="797">
        <f>SUMIF(80:80,E20,81:81)-SUMIF(80:80,C20,81:81)+100</f>
        <v>102</v>
      </c>
      <c r="G19" s="106" t="s">
        <v>3353</v>
      </c>
      <c r="H19" s="792">
        <f>SUMIF(80:80,G20,81:81)-SUMIF(80:80,C20,81:81)+100</f>
        <v>104</v>
      </c>
      <c r="I19" s="794" t="s">
        <v>3295</v>
      </c>
      <c r="J19" s="792">
        <f>SUMIF(80:80,I20,81:81)-SUMIF(80:80,C20,81:81)+100</f>
        <v>102</v>
      </c>
      <c r="K19" s="787">
        <f>'土地比较法-住宅、综合'!K27</f>
        <v>2</v>
      </c>
      <c r="L19" s="2297"/>
      <c r="M19" s="2292"/>
      <c r="N19" s="2292"/>
      <c r="O19" s="2292"/>
      <c r="P19" s="3769"/>
      <c r="Q19" s="3359" t="str">
        <f>B19</f>
        <v>公共配套设施</v>
      </c>
      <c r="R19" s="1348" t="s">
        <v>65</v>
      </c>
      <c r="S19" s="1349">
        <f>F19</f>
        <v>102</v>
      </c>
      <c r="T19" s="1348" t="s">
        <v>65</v>
      </c>
      <c r="U19" s="1349">
        <f>H19</f>
        <v>104</v>
      </c>
      <c r="V19" s="1348" t="s">
        <v>65</v>
      </c>
      <c r="W19" s="1349">
        <f>J19</f>
        <v>102</v>
      </c>
      <c r="X19" s="3357"/>
      <c r="Y19" s="3762"/>
      <c r="Z19" s="3358" t="str">
        <f>Q19</f>
        <v>公共配套设施</v>
      </c>
      <c r="AA19" s="3360">
        <f t="shared" si="3"/>
        <v>0.98039215686274506</v>
      </c>
      <c r="AB19" s="3360">
        <f t="shared" si="4"/>
        <v>0.96153846153846156</v>
      </c>
      <c r="AC19" s="3360">
        <f t="shared" si="5"/>
        <v>0.98039215686274506</v>
      </c>
    </row>
    <row r="20" spans="1:29" ht="14.25">
      <c r="A20" s="151"/>
      <c r="B20" s="1037"/>
      <c r="C20" s="97" t="s">
        <v>3302</v>
      </c>
      <c r="D20" s="790"/>
      <c r="E20" s="99" t="s">
        <v>3285</v>
      </c>
      <c r="F20" s="790"/>
      <c r="G20" s="98" t="s">
        <v>3286</v>
      </c>
      <c r="H20" s="790"/>
      <c r="I20" s="98" t="s">
        <v>3285</v>
      </c>
      <c r="J20" s="790"/>
      <c r="K20" s="159"/>
      <c r="L20" s="2297"/>
      <c r="M20" s="2292"/>
      <c r="N20" s="2292"/>
      <c r="O20" s="2292"/>
      <c r="P20" s="3769"/>
      <c r="Q20" s="3359"/>
      <c r="R20" s="1348"/>
      <c r="S20" s="1349"/>
      <c r="T20" s="1348"/>
      <c r="U20" s="1349"/>
      <c r="V20" s="1348"/>
      <c r="W20" s="1349"/>
      <c r="X20" s="3357"/>
      <c r="Y20" s="3762"/>
      <c r="Z20" s="3358"/>
      <c r="AA20" s="3360">
        <v>1</v>
      </c>
      <c r="AB20" s="3360">
        <v>1</v>
      </c>
      <c r="AC20" s="3360">
        <v>1</v>
      </c>
    </row>
    <row r="21" spans="1:29" ht="15">
      <c r="A21" s="151"/>
      <c r="B21" s="1408" t="s">
        <v>2627</v>
      </c>
      <c r="C21" s="158" t="str">
        <f>估价对象房地状况!C8</f>
        <v>七通</v>
      </c>
      <c r="D21" s="792">
        <v>100</v>
      </c>
      <c r="E21" s="106" t="s">
        <v>3355</v>
      </c>
      <c r="F21" s="797">
        <f>SUMIF(82:82,E22,83:83)-SUMIF(82:82,C22,83:83)+100</f>
        <v>100</v>
      </c>
      <c r="G21" s="106" t="s">
        <v>3355</v>
      </c>
      <c r="H21" s="792">
        <f>SUMIF(82:82,G22,83:83)-SUMIF(82:82,C22,83:83)+100</f>
        <v>100</v>
      </c>
      <c r="I21" s="106" t="s">
        <v>3355</v>
      </c>
      <c r="J21" s="792">
        <f>SUMIF(82:82,I22,83:83)-SUMIF(82:82,C22,83:83)+100</f>
        <v>100</v>
      </c>
      <c r="K21" s="787">
        <v>1</v>
      </c>
      <c r="L21" s="2297"/>
      <c r="M21" s="2292"/>
      <c r="N21" s="2292"/>
      <c r="O21" s="2292"/>
      <c r="P21" s="3769"/>
      <c r="Q21" s="3359" t="str">
        <f>B21</f>
        <v>基础设施水平</v>
      </c>
      <c r="R21" s="1348" t="s">
        <v>65</v>
      </c>
      <c r="S21" s="1349">
        <f>F21</f>
        <v>100</v>
      </c>
      <c r="T21" s="1348" t="s">
        <v>65</v>
      </c>
      <c r="U21" s="1349">
        <f>H21</f>
        <v>100</v>
      </c>
      <c r="V21" s="1348" t="s">
        <v>65</v>
      </c>
      <c r="W21" s="1349">
        <f>J21</f>
        <v>100</v>
      </c>
      <c r="X21" s="3357"/>
      <c r="Y21" s="3762"/>
      <c r="Z21" s="3358" t="str">
        <f>Q21</f>
        <v>基础设施水平</v>
      </c>
      <c r="AA21" s="3360">
        <f t="shared" ref="AA21" si="8">D21/F21</f>
        <v>1</v>
      </c>
      <c r="AB21" s="3360">
        <f t="shared" ref="AB21" si="9">D21/H21</f>
        <v>1</v>
      </c>
      <c r="AC21" s="3360">
        <f t="shared" ref="AC21" si="10">D21/J21</f>
        <v>1</v>
      </c>
    </row>
    <row r="22" spans="1:29" ht="14.25">
      <c r="A22" s="151"/>
      <c r="B22" s="1408"/>
      <c r="C22" s="102" t="s">
        <v>3298</v>
      </c>
      <c r="D22" s="790"/>
      <c r="E22" s="102" t="s">
        <v>3298</v>
      </c>
      <c r="F22" s="790"/>
      <c r="G22" s="102" t="s">
        <v>3298</v>
      </c>
      <c r="H22" s="790"/>
      <c r="I22" s="102" t="s">
        <v>3298</v>
      </c>
      <c r="J22" s="790"/>
      <c r="K22" s="2759"/>
      <c r="L22" s="2297"/>
      <c r="M22" s="2292"/>
      <c r="N22" s="2292"/>
      <c r="O22" s="2292"/>
      <c r="P22" s="3769"/>
      <c r="Q22" s="3359"/>
      <c r="R22" s="1348"/>
      <c r="S22" s="1349"/>
      <c r="T22" s="1348"/>
      <c r="U22" s="1349"/>
      <c r="V22" s="1348"/>
      <c r="W22" s="1349"/>
      <c r="X22" s="3357"/>
      <c r="Y22" s="3762"/>
      <c r="Z22" s="3358"/>
      <c r="AA22" s="3360">
        <v>1</v>
      </c>
      <c r="AB22" s="3360">
        <v>1</v>
      </c>
      <c r="AC22" s="3360">
        <v>1</v>
      </c>
    </row>
    <row r="23" spans="1:29" ht="57">
      <c r="A23" s="151"/>
      <c r="B23" s="1352" t="s">
        <v>73</v>
      </c>
      <c r="C23" s="158" t="str">
        <f>估价对象房地状况!C9</f>
        <v>临近潭柘寺景区、戒台寺景区，绿化率高，综合评价环境状况较好</v>
      </c>
      <c r="D23" s="792">
        <v>100</v>
      </c>
      <c r="E23" s="794" t="s">
        <v>3294</v>
      </c>
      <c r="F23" s="792">
        <f>SUMIF(84:84,E24,85:85)-SUMIF(84:84,C24,85:85)+100</f>
        <v>95</v>
      </c>
      <c r="G23" s="106" t="s">
        <v>3354</v>
      </c>
      <c r="H23" s="792">
        <f>SUMIF(84:84,G24,85:85)-SUMIF(84:84,C24,85:85)+100</f>
        <v>95</v>
      </c>
      <c r="I23" s="794" t="s">
        <v>3294</v>
      </c>
      <c r="J23" s="792">
        <f>SUMIF(84:84,I24,85:85)-SUMIF(84:84,C24,85:85)+100</f>
        <v>95</v>
      </c>
      <c r="K23" s="787">
        <f>'土地比较法-住宅、综合'!K25</f>
        <v>5</v>
      </c>
      <c r="L23" s="2297"/>
      <c r="M23" s="2292"/>
      <c r="N23" s="2292"/>
      <c r="O23" s="2292"/>
      <c r="P23" s="3769"/>
      <c r="Q23" s="3359" t="str">
        <f>B23</f>
        <v>自然及人文环境</v>
      </c>
      <c r="R23" s="1348" t="s">
        <v>65</v>
      </c>
      <c r="S23" s="1349">
        <f>F23</f>
        <v>95</v>
      </c>
      <c r="T23" s="1348" t="s">
        <v>65</v>
      </c>
      <c r="U23" s="1349">
        <f>H23</f>
        <v>95</v>
      </c>
      <c r="V23" s="1348" t="s">
        <v>65</v>
      </c>
      <c r="W23" s="1349">
        <f>J23</f>
        <v>95</v>
      </c>
      <c r="X23" s="3357"/>
      <c r="Y23" s="3762"/>
      <c r="Z23" s="3358" t="str">
        <f>Q23</f>
        <v>自然及人文环境</v>
      </c>
      <c r="AA23" s="3360">
        <f>D23/F23</f>
        <v>1.0526315789473684</v>
      </c>
      <c r="AB23" s="3360">
        <f>D23/H23</f>
        <v>1.0526315789473684</v>
      </c>
      <c r="AC23" s="3360">
        <f>D23/J23</f>
        <v>1.0526315789473684</v>
      </c>
    </row>
    <row r="24" spans="1:29" ht="14.25">
      <c r="A24" s="151"/>
      <c r="B24" s="1037"/>
      <c r="C24" s="97" t="s">
        <v>3286</v>
      </c>
      <c r="D24" s="790"/>
      <c r="E24" s="99" t="s">
        <v>3285</v>
      </c>
      <c r="F24" s="790"/>
      <c r="G24" s="98" t="s">
        <v>3285</v>
      </c>
      <c r="H24" s="790"/>
      <c r="I24" s="98" t="s">
        <v>3285</v>
      </c>
      <c r="J24" s="790"/>
      <c r="K24" s="159"/>
      <c r="L24" s="2297"/>
      <c r="M24" s="2292"/>
      <c r="N24" s="2292"/>
      <c r="O24" s="2292"/>
      <c r="P24" s="3769"/>
      <c r="Q24" s="3359"/>
      <c r="R24" s="1348"/>
      <c r="S24" s="1349"/>
      <c r="T24" s="1348"/>
      <c r="U24" s="1349"/>
      <c r="V24" s="1348"/>
      <c r="W24" s="1349"/>
      <c r="X24" s="3357"/>
      <c r="Y24" s="3762"/>
      <c r="Z24" s="3358"/>
      <c r="AA24" s="3360">
        <v>1</v>
      </c>
      <c r="AB24" s="3360">
        <v>1</v>
      </c>
      <c r="AC24" s="3360">
        <v>1</v>
      </c>
    </row>
    <row r="25" spans="1:29" ht="15">
      <c r="A25" s="151"/>
      <c r="B25" s="3355" t="s">
        <v>2289</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769"/>
      <c r="Q25" s="3359" t="str">
        <f t="shared" ref="Q25:Q46" si="11">B25</f>
        <v>楼层-1</v>
      </c>
      <c r="R25" s="1348" t="s">
        <v>65</v>
      </c>
      <c r="S25" s="1349">
        <f t="shared" ref="S25:S46" si="12">F25</f>
        <v>100</v>
      </c>
      <c r="T25" s="1348" t="s">
        <v>65</v>
      </c>
      <c r="U25" s="1349">
        <f t="shared" ref="U25:U46" si="13">H25</f>
        <v>100</v>
      </c>
      <c r="V25" s="1348" t="s">
        <v>65</v>
      </c>
      <c r="W25" s="1349">
        <f t="shared" ref="W25:W46" si="14">J25</f>
        <v>100</v>
      </c>
      <c r="X25" s="3357"/>
      <c r="Y25" s="3762"/>
      <c r="Z25" s="3358" t="str">
        <f>Q25</f>
        <v>楼层-1</v>
      </c>
      <c r="AA25" s="3360">
        <f t="shared" ref="AA25:AA46" si="15">D25/F25</f>
        <v>1</v>
      </c>
      <c r="AB25" s="3360">
        <f t="shared" ref="AB25:AB46" si="16">D25/H25</f>
        <v>1</v>
      </c>
      <c r="AC25" s="3360">
        <f t="shared" ref="AC25:AC46" si="17">D25/J25</f>
        <v>1</v>
      </c>
    </row>
    <row r="26" spans="1:29" ht="15.75" thickBot="1">
      <c r="A26" s="151"/>
      <c r="B26" s="3355"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769"/>
      <c r="Q26" s="3359" t="str">
        <f t="shared" si="11"/>
        <v>朝向</v>
      </c>
      <c r="R26" s="1348" t="s">
        <v>65</v>
      </c>
      <c r="S26" s="1349">
        <f t="shared" si="12"/>
        <v>100</v>
      </c>
      <c r="T26" s="1348" t="s">
        <v>65</v>
      </c>
      <c r="U26" s="1349">
        <f t="shared" si="13"/>
        <v>100</v>
      </c>
      <c r="V26" s="1348" t="s">
        <v>65</v>
      </c>
      <c r="W26" s="1349">
        <f t="shared" si="14"/>
        <v>100</v>
      </c>
      <c r="X26" s="3357"/>
      <c r="Y26" s="3762"/>
      <c r="Z26" s="3358" t="str">
        <f>Q26</f>
        <v>朝向</v>
      </c>
      <c r="AA26" s="3360">
        <f t="shared" si="15"/>
        <v>1</v>
      </c>
      <c r="AB26" s="3360">
        <f t="shared" si="16"/>
        <v>1</v>
      </c>
      <c r="AC26" s="3360">
        <f t="shared" si="17"/>
        <v>1</v>
      </c>
    </row>
    <row r="27" spans="1:29" s="40" customFormat="1" ht="15" thickTop="1">
      <c r="A27" s="1027"/>
      <c r="B27" s="1353" t="s">
        <v>3356</v>
      </c>
      <c r="C27" s="139" t="s">
        <v>3321</v>
      </c>
      <c r="D27" s="804">
        <v>100</v>
      </c>
      <c r="E27" s="1021" t="s">
        <v>3371</v>
      </c>
      <c r="F27" s="804">
        <f>SUMIF(90:90,E27,91:91)-SUMIF(90:90,C27,91:91)+100</f>
        <v>99.5</v>
      </c>
      <c r="G27" s="1021" t="s">
        <v>3322</v>
      </c>
      <c r="H27" s="804">
        <f>SUMIF(90:90,G27,91:91)-SUMIF(90:90,C27,91:91)+100</f>
        <v>99.5</v>
      </c>
      <c r="I27" s="1024" t="s">
        <v>3364</v>
      </c>
      <c r="J27" s="804">
        <f>SUMIF(90:90,I27,91:91)-SUMIF(90:90,C27,91:91)+100</f>
        <v>99</v>
      </c>
      <c r="K27" s="153"/>
      <c r="L27" s="2293"/>
      <c r="M27" s="2255"/>
      <c r="N27" s="2255"/>
      <c r="O27" s="2255"/>
      <c r="P27" s="3769"/>
      <c r="Q27" s="3350" t="str">
        <f t="shared" si="11"/>
        <v>道路级别</v>
      </c>
      <c r="R27" s="1339" t="s">
        <v>65</v>
      </c>
      <c r="S27" s="1340">
        <f t="shared" si="12"/>
        <v>99.5</v>
      </c>
      <c r="T27" s="1339" t="s">
        <v>65</v>
      </c>
      <c r="U27" s="1340">
        <f t="shared" si="13"/>
        <v>99.5</v>
      </c>
      <c r="V27" s="1339" t="s">
        <v>65</v>
      </c>
      <c r="W27" s="1340">
        <f t="shared" si="14"/>
        <v>99</v>
      </c>
      <c r="X27" s="287"/>
      <c r="Y27" s="3762"/>
      <c r="Z27" s="3351" t="str">
        <f>Q27</f>
        <v>道路级别</v>
      </c>
      <c r="AA27" s="3360">
        <f t="shared" si="15"/>
        <v>1.0050251256281406</v>
      </c>
      <c r="AB27" s="3360">
        <f t="shared" si="16"/>
        <v>1.0050251256281406</v>
      </c>
      <c r="AC27" s="3360">
        <f t="shared" si="17"/>
        <v>1.0101010101010102</v>
      </c>
    </row>
    <row r="28" spans="1:29" ht="14.25">
      <c r="A28" s="151"/>
      <c r="B28" s="1353">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769"/>
      <c r="Q28" s="3359">
        <f t="shared" si="11"/>
        <v>111</v>
      </c>
      <c r="R28" s="1348" t="s">
        <v>65</v>
      </c>
      <c r="S28" s="1349">
        <f t="shared" si="12"/>
        <v>100</v>
      </c>
      <c r="T28" s="1348" t="s">
        <v>65</v>
      </c>
      <c r="U28" s="1349">
        <f t="shared" si="13"/>
        <v>100</v>
      </c>
      <c r="V28" s="1348" t="s">
        <v>65</v>
      </c>
      <c r="W28" s="1349">
        <f t="shared" si="14"/>
        <v>100</v>
      </c>
      <c r="X28" s="3357"/>
      <c r="Y28" s="3762"/>
      <c r="Z28" s="3358">
        <f t="shared" ref="Z28:Z46" si="18">Q28</f>
        <v>111</v>
      </c>
      <c r="AA28" s="3360">
        <f t="shared" si="15"/>
        <v>1</v>
      </c>
      <c r="AB28" s="3360">
        <f t="shared" si="16"/>
        <v>1</v>
      </c>
      <c r="AC28" s="3360">
        <f t="shared" si="17"/>
        <v>1</v>
      </c>
    </row>
    <row r="29" spans="1:29" ht="14.25">
      <c r="A29" s="151"/>
      <c r="B29" s="1353">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769"/>
      <c r="Q29" s="3359">
        <f t="shared" si="11"/>
        <v>111</v>
      </c>
      <c r="R29" s="1348" t="s">
        <v>65</v>
      </c>
      <c r="S29" s="1349">
        <f t="shared" si="12"/>
        <v>100</v>
      </c>
      <c r="T29" s="1348" t="s">
        <v>65</v>
      </c>
      <c r="U29" s="1349">
        <f t="shared" si="13"/>
        <v>100</v>
      </c>
      <c r="V29" s="1348" t="s">
        <v>65</v>
      </c>
      <c r="W29" s="1349">
        <f t="shared" si="14"/>
        <v>100</v>
      </c>
      <c r="X29" s="3357"/>
      <c r="Y29" s="3762"/>
      <c r="Z29" s="3358">
        <f t="shared" si="18"/>
        <v>111</v>
      </c>
      <c r="AA29" s="3360">
        <f t="shared" si="15"/>
        <v>1</v>
      </c>
      <c r="AB29" s="3360">
        <f t="shared" si="16"/>
        <v>1</v>
      </c>
      <c r="AC29" s="3360">
        <f t="shared" si="17"/>
        <v>1</v>
      </c>
    </row>
    <row r="30" spans="1:29" ht="14.25">
      <c r="A30" s="151"/>
      <c r="B30" s="1353">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769"/>
      <c r="Q30" s="3359">
        <f t="shared" si="11"/>
        <v>111</v>
      </c>
      <c r="R30" s="1348" t="s">
        <v>65</v>
      </c>
      <c r="S30" s="1349">
        <f t="shared" si="12"/>
        <v>100</v>
      </c>
      <c r="T30" s="1348" t="s">
        <v>65</v>
      </c>
      <c r="U30" s="1349">
        <f t="shared" si="13"/>
        <v>100</v>
      </c>
      <c r="V30" s="1348" t="s">
        <v>65</v>
      </c>
      <c r="W30" s="1349">
        <f t="shared" si="14"/>
        <v>100</v>
      </c>
      <c r="X30" s="3357"/>
      <c r="Y30" s="3762"/>
      <c r="Z30" s="3358">
        <f t="shared" si="18"/>
        <v>111</v>
      </c>
      <c r="AA30" s="3360">
        <f t="shared" si="15"/>
        <v>1</v>
      </c>
      <c r="AB30" s="3360">
        <f t="shared" si="16"/>
        <v>1</v>
      </c>
      <c r="AC30" s="3360">
        <f t="shared" si="17"/>
        <v>1</v>
      </c>
    </row>
    <row r="31" spans="1:29" ht="15" thickBot="1">
      <c r="A31" s="154"/>
      <c r="B31" s="1353">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769"/>
      <c r="Q31" s="3359">
        <f t="shared" si="11"/>
        <v>111</v>
      </c>
      <c r="R31" s="1348" t="s">
        <v>65</v>
      </c>
      <c r="S31" s="1349">
        <f t="shared" si="12"/>
        <v>100</v>
      </c>
      <c r="T31" s="1348" t="s">
        <v>65</v>
      </c>
      <c r="U31" s="1349">
        <f t="shared" si="13"/>
        <v>100</v>
      </c>
      <c r="V31" s="1348" t="s">
        <v>65</v>
      </c>
      <c r="W31" s="1349">
        <f t="shared" si="14"/>
        <v>100</v>
      </c>
      <c r="X31" s="3357"/>
      <c r="Y31" s="3762"/>
      <c r="Z31" s="3358">
        <f t="shared" si="18"/>
        <v>111</v>
      </c>
      <c r="AA31" s="3360">
        <f t="shared" si="15"/>
        <v>1</v>
      </c>
      <c r="AB31" s="3360">
        <f t="shared" si="16"/>
        <v>1</v>
      </c>
      <c r="AC31" s="3360">
        <f t="shared" si="17"/>
        <v>1</v>
      </c>
    </row>
    <row r="32" spans="1:29" ht="15">
      <c r="A32" s="155" t="s">
        <v>70</v>
      </c>
      <c r="B32" s="62" t="s">
        <v>75</v>
      </c>
      <c r="C32" s="110" t="s">
        <v>3347</v>
      </c>
      <c r="D32" s="807">
        <v>100</v>
      </c>
      <c r="E32" s="111" t="s">
        <v>3347</v>
      </c>
      <c r="F32" s="803">
        <f>SUMIF(100:100,E32,101:101)-SUMIF(100:100,C32,101:101)+100</f>
        <v>100</v>
      </c>
      <c r="G32" s="110" t="s">
        <v>3347</v>
      </c>
      <c r="H32" s="807">
        <f>SUMIF(100:100,G32,101:101)-SUMIF(100:100,C32,101:101)+100</f>
        <v>100</v>
      </c>
      <c r="I32" s="111" t="s">
        <v>3323</v>
      </c>
      <c r="J32" s="777">
        <f>SUMIF(100:100,I32,101:101)-SUMIF(100:100,C32,101:101)+100</f>
        <v>94</v>
      </c>
      <c r="K32" s="768">
        <v>3</v>
      </c>
      <c r="L32" s="2297"/>
      <c r="M32" s="2292"/>
      <c r="N32" s="2292"/>
      <c r="O32" s="2292"/>
      <c r="P32" s="3763" t="s">
        <v>70</v>
      </c>
      <c r="Q32" s="3359" t="str">
        <f t="shared" si="11"/>
        <v>建筑类型</v>
      </c>
      <c r="R32" s="1348" t="s">
        <v>65</v>
      </c>
      <c r="S32" s="1349">
        <f t="shared" si="12"/>
        <v>100</v>
      </c>
      <c r="T32" s="1348" t="s">
        <v>65</v>
      </c>
      <c r="U32" s="1349">
        <f t="shared" si="13"/>
        <v>100</v>
      </c>
      <c r="V32" s="1348" t="s">
        <v>65</v>
      </c>
      <c r="W32" s="1349">
        <f t="shared" si="14"/>
        <v>94</v>
      </c>
      <c r="X32" s="3357"/>
      <c r="Y32" s="3766" t="s">
        <v>70</v>
      </c>
      <c r="Z32" s="3358" t="str">
        <f t="shared" si="18"/>
        <v>建筑类型</v>
      </c>
      <c r="AA32" s="3360">
        <f t="shared" si="15"/>
        <v>1</v>
      </c>
      <c r="AB32" s="3360">
        <f t="shared" si="16"/>
        <v>1</v>
      </c>
      <c r="AC32" s="3360">
        <f t="shared" si="17"/>
        <v>1.0638297872340425</v>
      </c>
    </row>
    <row r="33" spans="1:29" s="1036" customFormat="1" ht="14.25">
      <c r="A33" s="1040"/>
      <c r="B33" s="3355" t="s">
        <v>76</v>
      </c>
      <c r="C33" s="809">
        <v>100</v>
      </c>
      <c r="D33" s="426">
        <v>100</v>
      </c>
      <c r="E33" s="809">
        <v>100</v>
      </c>
      <c r="F33" s="767">
        <f>LOOKUP(E33,103:103,104:104)-LOOKUP(C33,103:103,104:104)+100</f>
        <v>100</v>
      </c>
      <c r="G33" s="809">
        <v>100</v>
      </c>
      <c r="H33" s="426">
        <f>LOOKUP(G33,103:103,104:104)-LOOKUP(C33,103:103,104:104)+100</f>
        <v>100</v>
      </c>
      <c r="I33" s="809">
        <v>100</v>
      </c>
      <c r="J33" s="426">
        <f>LOOKUP(I33,103:103,104:104)-LOOKUP(C33,103:103,104:104)+100</f>
        <v>100</v>
      </c>
      <c r="K33" s="153"/>
      <c r="L33" s="2296"/>
      <c r="M33" s="2298"/>
      <c r="N33" s="2298"/>
      <c r="O33" s="2298"/>
      <c r="P33" s="3764"/>
      <c r="Q33" s="1355" t="str">
        <f t="shared" si="11"/>
        <v>项目建筑规模</v>
      </c>
      <c r="R33" s="1356" t="s">
        <v>65</v>
      </c>
      <c r="S33" s="1357">
        <f t="shared" si="12"/>
        <v>100</v>
      </c>
      <c r="T33" s="1356" t="s">
        <v>65</v>
      </c>
      <c r="U33" s="1357">
        <f t="shared" si="13"/>
        <v>100</v>
      </c>
      <c r="V33" s="1356" t="s">
        <v>65</v>
      </c>
      <c r="W33" s="1357">
        <f t="shared" si="14"/>
        <v>100</v>
      </c>
      <c r="X33" s="1358"/>
      <c r="Y33" s="3766"/>
      <c r="Z33" s="1359" t="str">
        <f t="shared" si="18"/>
        <v>项目建筑规模</v>
      </c>
      <c r="AA33" s="3360">
        <f t="shared" si="15"/>
        <v>1</v>
      </c>
      <c r="AB33" s="3360">
        <f t="shared" si="16"/>
        <v>1</v>
      </c>
      <c r="AC33" s="3360">
        <f t="shared" si="17"/>
        <v>1</v>
      </c>
    </row>
    <row r="34" spans="1:29" ht="15">
      <c r="A34" s="161"/>
      <c r="B34" s="3355" t="s">
        <v>77</v>
      </c>
      <c r="C34" s="112" t="s">
        <v>3325</v>
      </c>
      <c r="D34" s="777">
        <v>100</v>
      </c>
      <c r="E34" s="113" t="s">
        <v>3325</v>
      </c>
      <c r="F34" s="803">
        <f>SUMIF(105:105,E34,106:106)-SUMIF(105:105,C34,106:106)+100</f>
        <v>100</v>
      </c>
      <c r="G34" s="113" t="s">
        <v>3325</v>
      </c>
      <c r="H34" s="777">
        <f>SUMIF(105:105,G34,106:106)-SUMIF(105:105,C34,106:106)+100</f>
        <v>100</v>
      </c>
      <c r="I34" s="113" t="s">
        <v>3325</v>
      </c>
      <c r="J34" s="777">
        <f>SUMIF(105:105,I34,106:106)-SUMIF(105:105,C34,106:106)+100</f>
        <v>100</v>
      </c>
      <c r="K34" s="768">
        <v>1</v>
      </c>
      <c r="L34" s="2297"/>
      <c r="M34" s="2292"/>
      <c r="N34" s="2292"/>
      <c r="O34" s="2292"/>
      <c r="P34" s="3764"/>
      <c r="Q34" s="3359" t="str">
        <f t="shared" si="11"/>
        <v>建筑结构</v>
      </c>
      <c r="R34" s="1348" t="s">
        <v>65</v>
      </c>
      <c r="S34" s="1349">
        <f t="shared" si="12"/>
        <v>100</v>
      </c>
      <c r="T34" s="1348" t="s">
        <v>65</v>
      </c>
      <c r="U34" s="1349">
        <f t="shared" si="13"/>
        <v>100</v>
      </c>
      <c r="V34" s="1348" t="s">
        <v>65</v>
      </c>
      <c r="W34" s="1349">
        <f t="shared" si="14"/>
        <v>100</v>
      </c>
      <c r="X34" s="3357"/>
      <c r="Y34" s="3766"/>
      <c r="Z34" s="3358" t="str">
        <f t="shared" si="18"/>
        <v>建筑结构</v>
      </c>
      <c r="AA34" s="3360">
        <f t="shared" si="15"/>
        <v>1</v>
      </c>
      <c r="AB34" s="3360">
        <f t="shared" si="16"/>
        <v>1</v>
      </c>
      <c r="AC34" s="3360">
        <f t="shared" si="17"/>
        <v>1</v>
      </c>
    </row>
    <row r="35" spans="1:29" ht="15">
      <c r="A35" s="161"/>
      <c r="B35" s="3355"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764"/>
      <c r="Q35" s="3359" t="str">
        <f t="shared" si="11"/>
        <v>建筑品质</v>
      </c>
      <c r="R35" s="1348" t="s">
        <v>65</v>
      </c>
      <c r="S35" s="1349">
        <f t="shared" si="12"/>
        <v>100</v>
      </c>
      <c r="T35" s="1348" t="s">
        <v>65</v>
      </c>
      <c r="U35" s="1349">
        <f t="shared" si="13"/>
        <v>100</v>
      </c>
      <c r="V35" s="1348" t="s">
        <v>65</v>
      </c>
      <c r="W35" s="1349">
        <f t="shared" si="14"/>
        <v>100</v>
      </c>
      <c r="X35" s="3357"/>
      <c r="Y35" s="3766"/>
      <c r="Z35" s="3358" t="str">
        <f t="shared" si="18"/>
        <v>建筑品质</v>
      </c>
      <c r="AA35" s="3360">
        <f t="shared" si="15"/>
        <v>1</v>
      </c>
      <c r="AB35" s="3360">
        <f t="shared" si="16"/>
        <v>1</v>
      </c>
      <c r="AC35" s="3360">
        <f t="shared" si="17"/>
        <v>1</v>
      </c>
    </row>
    <row r="36" spans="1:29" ht="15">
      <c r="A36" s="161"/>
      <c r="B36" s="3355" t="s">
        <v>79</v>
      </c>
      <c r="C36" s="109" t="s">
        <v>3326</v>
      </c>
      <c r="D36" s="777">
        <v>100</v>
      </c>
      <c r="E36" s="109" t="s">
        <v>3326</v>
      </c>
      <c r="F36" s="803">
        <f>SUMIF(109:109,E36,110:110)-SUMIF(109:109,C36,110:110)+100</f>
        <v>100</v>
      </c>
      <c r="G36" s="109" t="s">
        <v>3326</v>
      </c>
      <c r="H36" s="777">
        <f>SUMIF(109:109,G36,110:110)-SUMIF(109:109,C36,110:110)+100</f>
        <v>100</v>
      </c>
      <c r="I36" s="109" t="s">
        <v>3326</v>
      </c>
      <c r="J36" s="777">
        <f>SUMIF(109:109,I36,110:110)-SUMIF(109:109,C36,110:110)+100</f>
        <v>100</v>
      </c>
      <c r="K36" s="768">
        <v>2</v>
      </c>
      <c r="L36" s="2297"/>
      <c r="M36" s="2292"/>
      <c r="N36" s="2292"/>
      <c r="O36" s="2292"/>
      <c r="P36" s="3764"/>
      <c r="Q36" s="3359" t="str">
        <f t="shared" si="11"/>
        <v>公共部分装修</v>
      </c>
      <c r="R36" s="1348" t="s">
        <v>65</v>
      </c>
      <c r="S36" s="1349">
        <f t="shared" si="12"/>
        <v>100</v>
      </c>
      <c r="T36" s="1348" t="s">
        <v>65</v>
      </c>
      <c r="U36" s="1349">
        <f t="shared" si="13"/>
        <v>100</v>
      </c>
      <c r="V36" s="1348" t="s">
        <v>65</v>
      </c>
      <c r="W36" s="1349">
        <f t="shared" si="14"/>
        <v>100</v>
      </c>
      <c r="X36" s="3357"/>
      <c r="Y36" s="3766"/>
      <c r="Z36" s="3358" t="str">
        <f t="shared" si="18"/>
        <v>公共部分装修</v>
      </c>
      <c r="AA36" s="3360">
        <f t="shared" si="15"/>
        <v>1</v>
      </c>
      <c r="AB36" s="3360">
        <f t="shared" si="16"/>
        <v>1</v>
      </c>
      <c r="AC36" s="3360">
        <f t="shared" si="17"/>
        <v>1</v>
      </c>
    </row>
    <row r="37" spans="1:29" s="40" customFormat="1" ht="15">
      <c r="A37" s="1038"/>
      <c r="B37" s="3355" t="s">
        <v>80</v>
      </c>
      <c r="C37" s="814">
        <v>1</v>
      </c>
      <c r="D37" s="426">
        <v>100</v>
      </c>
      <c r="E37" s="814">
        <v>1</v>
      </c>
      <c r="F37" s="767">
        <f>LOOKUP(E37,112:112,113:113)-LOOKUP(C37,112:112,113:113)+100</f>
        <v>100</v>
      </c>
      <c r="G37" s="814">
        <v>1</v>
      </c>
      <c r="H37" s="426">
        <f>LOOKUP(G37,112:112,113:113)-LOOKUP(C37,112:112,113:113)+100</f>
        <v>100</v>
      </c>
      <c r="I37" s="814">
        <v>1</v>
      </c>
      <c r="J37" s="426">
        <f>LOOKUP(I37,112:112,113:113)-LOOKUP(C37,112:112,113:113)+100</f>
        <v>100</v>
      </c>
      <c r="K37" s="768">
        <v>1</v>
      </c>
      <c r="L37" s="2293"/>
      <c r="M37" s="2255"/>
      <c r="N37" s="2255"/>
      <c r="O37" s="2255"/>
      <c r="P37" s="3764"/>
      <c r="Q37" s="3350" t="str">
        <f t="shared" si="11"/>
        <v>成新度</v>
      </c>
      <c r="R37" s="1339" t="s">
        <v>65</v>
      </c>
      <c r="S37" s="1340">
        <f t="shared" si="12"/>
        <v>100</v>
      </c>
      <c r="T37" s="1339" t="s">
        <v>65</v>
      </c>
      <c r="U37" s="1340">
        <f t="shared" si="13"/>
        <v>100</v>
      </c>
      <c r="V37" s="1339" t="s">
        <v>65</v>
      </c>
      <c r="W37" s="1340">
        <f t="shared" si="14"/>
        <v>100</v>
      </c>
      <c r="X37" s="287"/>
      <c r="Y37" s="3766"/>
      <c r="Z37" s="3351" t="str">
        <f t="shared" si="18"/>
        <v>成新度</v>
      </c>
      <c r="AA37" s="1341">
        <f t="shared" si="15"/>
        <v>1</v>
      </c>
      <c r="AB37" s="1341">
        <f t="shared" si="16"/>
        <v>1</v>
      </c>
      <c r="AC37" s="1341">
        <f t="shared" si="17"/>
        <v>1</v>
      </c>
    </row>
    <row r="38" spans="1:29" ht="15">
      <c r="A38" s="161"/>
      <c r="B38" s="3355" t="s">
        <v>81</v>
      </c>
      <c r="C38" s="109" t="s">
        <v>3327</v>
      </c>
      <c r="D38" s="777">
        <v>100</v>
      </c>
      <c r="E38" s="109" t="s">
        <v>3327</v>
      </c>
      <c r="F38" s="803">
        <f>SUMIF(114:114,E38,115:115)-SUMIF(114:114,C38,115:115)+100</f>
        <v>100</v>
      </c>
      <c r="G38" s="109" t="s">
        <v>3327</v>
      </c>
      <c r="H38" s="777">
        <f>SUMIF(114:114,G38,115:115)-SUMIF(114:114,C38,115:115)+100</f>
        <v>100</v>
      </c>
      <c r="I38" s="109" t="s">
        <v>3327</v>
      </c>
      <c r="J38" s="777">
        <f>SUMIF(114:114,I38,115:115)-SUMIF(114:114,C38,115:115)+100</f>
        <v>100</v>
      </c>
      <c r="K38" s="768">
        <v>2</v>
      </c>
      <c r="L38" s="2297"/>
      <c r="M38" s="2292"/>
      <c r="N38" s="2292"/>
      <c r="O38" s="2292"/>
      <c r="P38" s="3764" t="s">
        <v>70</v>
      </c>
      <c r="Q38" s="3359" t="str">
        <f t="shared" si="11"/>
        <v>物业管理</v>
      </c>
      <c r="R38" s="1348" t="s">
        <v>65</v>
      </c>
      <c r="S38" s="1349">
        <f t="shared" si="12"/>
        <v>100</v>
      </c>
      <c r="T38" s="1348" t="s">
        <v>65</v>
      </c>
      <c r="U38" s="1349">
        <f t="shared" si="13"/>
        <v>100</v>
      </c>
      <c r="V38" s="1348" t="s">
        <v>65</v>
      </c>
      <c r="W38" s="1349">
        <f t="shared" si="14"/>
        <v>100</v>
      </c>
      <c r="X38" s="3357"/>
      <c r="Y38" s="3766" t="s">
        <v>70</v>
      </c>
      <c r="Z38" s="3358" t="str">
        <f t="shared" si="18"/>
        <v>物业管理</v>
      </c>
      <c r="AA38" s="3360">
        <f t="shared" si="15"/>
        <v>1</v>
      </c>
      <c r="AB38" s="3360">
        <f t="shared" si="16"/>
        <v>1</v>
      </c>
      <c r="AC38" s="3360">
        <f t="shared" si="17"/>
        <v>1</v>
      </c>
    </row>
    <row r="39" spans="1:29" ht="15">
      <c r="A39" s="161"/>
      <c r="B39" s="3355" t="s">
        <v>2640</v>
      </c>
      <c r="C39" s="109" t="s">
        <v>3296</v>
      </c>
      <c r="D39" s="777">
        <v>100</v>
      </c>
      <c r="E39" s="109" t="s">
        <v>3296</v>
      </c>
      <c r="F39" s="803">
        <f>SUMIF(116:116,E39,117:117)-SUMIF(116:116,C39,117:117)+100</f>
        <v>100</v>
      </c>
      <c r="G39" s="109" t="s">
        <v>3296</v>
      </c>
      <c r="H39" s="777">
        <f>SUMIF(116:116,G39,117:117)-SUMIF(116:116,C39,117:117)+100</f>
        <v>100</v>
      </c>
      <c r="I39" s="109" t="s">
        <v>3296</v>
      </c>
      <c r="J39" s="777">
        <f>SUMIF(116:116,I39,117:117)-SUMIF(116:116,C39,117:117)+100</f>
        <v>100</v>
      </c>
      <c r="K39" s="768">
        <v>1</v>
      </c>
      <c r="L39" s="2297"/>
      <c r="M39" s="2292"/>
      <c r="N39" s="2292"/>
      <c r="O39" s="2292"/>
      <c r="P39" s="3764"/>
      <c r="Q39" s="3359" t="str">
        <f t="shared" si="11"/>
        <v>市政基础设施</v>
      </c>
      <c r="R39" s="1348" t="s">
        <v>65</v>
      </c>
      <c r="S39" s="1349">
        <f t="shared" si="12"/>
        <v>100</v>
      </c>
      <c r="T39" s="1348" t="s">
        <v>65</v>
      </c>
      <c r="U39" s="1349">
        <f t="shared" si="13"/>
        <v>100</v>
      </c>
      <c r="V39" s="1348" t="s">
        <v>65</v>
      </c>
      <c r="W39" s="1349">
        <f t="shared" si="14"/>
        <v>100</v>
      </c>
      <c r="X39" s="3357"/>
      <c r="Y39" s="3766"/>
      <c r="Z39" s="3358" t="str">
        <f t="shared" si="18"/>
        <v>市政基础设施</v>
      </c>
      <c r="AA39" s="3360">
        <f t="shared" si="15"/>
        <v>1</v>
      </c>
      <c r="AB39" s="3360">
        <f t="shared" si="16"/>
        <v>1</v>
      </c>
      <c r="AC39" s="3360">
        <f t="shared" si="17"/>
        <v>1</v>
      </c>
    </row>
    <row r="40" spans="1:29" ht="15">
      <c r="A40" s="161"/>
      <c r="B40" s="3355"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764"/>
      <c r="Q40" s="3359" t="str">
        <f t="shared" si="11"/>
        <v>房型</v>
      </c>
      <c r="R40" s="1348" t="s">
        <v>65</v>
      </c>
      <c r="S40" s="1349">
        <f t="shared" si="12"/>
        <v>100</v>
      </c>
      <c r="T40" s="1348" t="s">
        <v>65</v>
      </c>
      <c r="U40" s="1349">
        <f t="shared" si="13"/>
        <v>100</v>
      </c>
      <c r="V40" s="1348" t="s">
        <v>65</v>
      </c>
      <c r="W40" s="1349">
        <f t="shared" si="14"/>
        <v>100</v>
      </c>
      <c r="X40" s="3357"/>
      <c r="Y40" s="3766"/>
      <c r="Z40" s="3358" t="str">
        <f t="shared" si="18"/>
        <v>房型</v>
      </c>
      <c r="AA40" s="3360">
        <f t="shared" si="15"/>
        <v>1</v>
      </c>
      <c r="AB40" s="3360">
        <f t="shared" si="16"/>
        <v>1</v>
      </c>
      <c r="AC40" s="3360">
        <f t="shared" si="17"/>
        <v>1</v>
      </c>
    </row>
    <row r="41" spans="1:29" s="1036" customFormat="1" ht="27">
      <c r="A41" s="1040"/>
      <c r="B41" s="3355" t="s">
        <v>105</v>
      </c>
      <c r="C41" s="1354"/>
      <c r="D41" s="426">
        <v>100</v>
      </c>
      <c r="E41" s="1026"/>
      <c r="F41" s="767">
        <f>SUMIF(120:120,E41,121:121)-SUMIF(120:120,C41,121:121)+100</f>
        <v>100</v>
      </c>
      <c r="G41" s="1025"/>
      <c r="H41" s="426">
        <f>SUMIF(120:120,G41,121:121)-SUMIF(120:120,C41,121:121)+100</f>
        <v>100</v>
      </c>
      <c r="I41" s="114"/>
      <c r="J41" s="777">
        <f>SUMIF(120:120,I41,121:121)-SUMIF(120:120,C41,121:121)+100</f>
        <v>100</v>
      </c>
      <c r="K41" s="153"/>
      <c r="L41" s="2296"/>
      <c r="M41" s="2298"/>
      <c r="N41" s="2298"/>
      <c r="O41" s="2298"/>
      <c r="P41" s="3764"/>
      <c r="Q41" s="1355" t="str">
        <f t="shared" si="11"/>
        <v>单套/主力户型建筑面积</v>
      </c>
      <c r="R41" s="1356" t="s">
        <v>65</v>
      </c>
      <c r="S41" s="1357">
        <f t="shared" si="12"/>
        <v>100</v>
      </c>
      <c r="T41" s="1356" t="s">
        <v>65</v>
      </c>
      <c r="U41" s="1357">
        <f t="shared" si="13"/>
        <v>100</v>
      </c>
      <c r="V41" s="1356" t="s">
        <v>65</v>
      </c>
      <c r="W41" s="1357">
        <f t="shared" si="14"/>
        <v>100</v>
      </c>
      <c r="X41" s="1358"/>
      <c r="Y41" s="3766"/>
      <c r="Z41" s="1359" t="str">
        <f t="shared" si="18"/>
        <v>单套/主力户型建筑面积</v>
      </c>
      <c r="AA41" s="3360">
        <f t="shared" si="15"/>
        <v>1</v>
      </c>
      <c r="AB41" s="3360">
        <f t="shared" si="16"/>
        <v>1</v>
      </c>
      <c r="AC41" s="3360">
        <f t="shared" si="17"/>
        <v>1</v>
      </c>
    </row>
    <row r="42" spans="1:29" ht="15">
      <c r="A42" s="161"/>
      <c r="B42" s="3355" t="s">
        <v>83</v>
      </c>
      <c r="C42" s="109" t="s">
        <v>3328</v>
      </c>
      <c r="D42" s="777">
        <v>100</v>
      </c>
      <c r="E42" s="109" t="s">
        <v>3328</v>
      </c>
      <c r="F42" s="803">
        <f>SUMIF(122:122,E42,123:123)-SUMIF(122:122,C42,123:123)+100</f>
        <v>100</v>
      </c>
      <c r="G42" s="109" t="s">
        <v>3328</v>
      </c>
      <c r="H42" s="777">
        <f>SUMIF(122:122,G42,123:123)-SUMIF(122:122,C42,123:123)+100</f>
        <v>100</v>
      </c>
      <c r="I42" s="109" t="s">
        <v>3326</v>
      </c>
      <c r="J42" s="777">
        <f>SUMIF(122:122,I42,123:123)-SUMIF(122:122,C42,123:123)+100</f>
        <v>106</v>
      </c>
      <c r="K42" s="768">
        <v>2</v>
      </c>
      <c r="L42" s="2297"/>
      <c r="M42" s="2292"/>
      <c r="N42" s="2292"/>
      <c r="O42" s="2292"/>
      <c r="P42" s="3764"/>
      <c r="Q42" s="3359" t="str">
        <f t="shared" si="11"/>
        <v>内部装修</v>
      </c>
      <c r="R42" s="1348" t="s">
        <v>65</v>
      </c>
      <c r="S42" s="1349">
        <f t="shared" si="12"/>
        <v>100</v>
      </c>
      <c r="T42" s="1348" t="s">
        <v>65</v>
      </c>
      <c r="U42" s="1349">
        <f t="shared" si="13"/>
        <v>100</v>
      </c>
      <c r="V42" s="1348" t="s">
        <v>65</v>
      </c>
      <c r="W42" s="1349">
        <f t="shared" si="14"/>
        <v>106</v>
      </c>
      <c r="X42" s="3357"/>
      <c r="Y42" s="3766"/>
      <c r="Z42" s="3358" t="str">
        <f t="shared" si="18"/>
        <v>内部装修</v>
      </c>
      <c r="AA42" s="3360">
        <f t="shared" si="15"/>
        <v>1</v>
      </c>
      <c r="AB42" s="3360">
        <f t="shared" si="16"/>
        <v>1</v>
      </c>
      <c r="AC42" s="3360">
        <f t="shared" si="17"/>
        <v>0.94339622641509435</v>
      </c>
    </row>
    <row r="43" spans="1:29" ht="27">
      <c r="A43" s="161"/>
      <c r="B43" s="3355" t="s">
        <v>84</v>
      </c>
      <c r="C43" s="109" t="s">
        <v>3286</v>
      </c>
      <c r="D43" s="777">
        <v>100</v>
      </c>
      <c r="E43" s="109" t="s">
        <v>3286</v>
      </c>
      <c r="F43" s="803">
        <f>SUMIF(124:124,E43,125:125)-SUMIF(124:124,C43,125:125)+100</f>
        <v>100</v>
      </c>
      <c r="G43" s="109" t="s">
        <v>3286</v>
      </c>
      <c r="H43" s="777">
        <f>SUMIF(124:124,G43,125:125)-SUMIF(124:124,C43,125:125)+100</f>
        <v>100</v>
      </c>
      <c r="I43" s="109" t="s">
        <v>3286</v>
      </c>
      <c r="J43" s="777">
        <f>SUMIF(124:124,I43,125:125)-SUMIF(124:124,C43,125:125)+100</f>
        <v>100</v>
      </c>
      <c r="K43" s="768">
        <v>2</v>
      </c>
      <c r="L43" s="2297"/>
      <c r="M43" s="2292"/>
      <c r="N43" s="2292"/>
      <c r="O43" s="2292"/>
      <c r="P43" s="3764"/>
      <c r="Q43" s="3359" t="str">
        <f t="shared" si="11"/>
        <v>内部装修维护情况</v>
      </c>
      <c r="R43" s="1348" t="s">
        <v>65</v>
      </c>
      <c r="S43" s="1349">
        <f t="shared" si="12"/>
        <v>100</v>
      </c>
      <c r="T43" s="1348" t="s">
        <v>65</v>
      </c>
      <c r="U43" s="1349">
        <f t="shared" si="13"/>
        <v>100</v>
      </c>
      <c r="V43" s="1348" t="s">
        <v>65</v>
      </c>
      <c r="W43" s="1349">
        <f t="shared" si="14"/>
        <v>100</v>
      </c>
      <c r="X43" s="3357"/>
      <c r="Y43" s="3766"/>
      <c r="Z43" s="3358" t="str">
        <f t="shared" si="18"/>
        <v>内部装修维护情况</v>
      </c>
      <c r="AA43" s="3360">
        <f t="shared" si="15"/>
        <v>1</v>
      </c>
      <c r="AB43" s="3360">
        <f t="shared" si="16"/>
        <v>1</v>
      </c>
      <c r="AC43" s="3360">
        <f t="shared" si="17"/>
        <v>1</v>
      </c>
    </row>
    <row r="44" spans="1:29" s="40" customFormat="1" ht="14.25">
      <c r="A44" s="1038"/>
      <c r="B44" s="1353">
        <v>111</v>
      </c>
      <c r="C44" s="1354"/>
      <c r="D44" s="426">
        <v>100</v>
      </c>
      <c r="E44" s="1354"/>
      <c r="F44" s="767">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764"/>
      <c r="Q44" s="3350">
        <f t="shared" si="11"/>
        <v>111</v>
      </c>
      <c r="R44" s="1339" t="s">
        <v>65</v>
      </c>
      <c r="S44" s="1340">
        <f t="shared" si="12"/>
        <v>100</v>
      </c>
      <c r="T44" s="1339" t="s">
        <v>65</v>
      </c>
      <c r="U44" s="1340">
        <f t="shared" si="13"/>
        <v>100</v>
      </c>
      <c r="V44" s="1339" t="s">
        <v>65</v>
      </c>
      <c r="W44" s="1340">
        <f t="shared" si="14"/>
        <v>100</v>
      </c>
      <c r="X44" s="287"/>
      <c r="Y44" s="3766"/>
      <c r="Z44" s="3351">
        <f t="shared" si="18"/>
        <v>111</v>
      </c>
      <c r="AA44" s="1341">
        <f t="shared" si="15"/>
        <v>1</v>
      </c>
      <c r="AB44" s="1341">
        <f t="shared" si="16"/>
        <v>1</v>
      </c>
      <c r="AC44" s="1341">
        <f t="shared" si="17"/>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764"/>
      <c r="Q45" s="3359">
        <f t="shared" si="11"/>
        <v>111</v>
      </c>
      <c r="R45" s="1348" t="s">
        <v>65</v>
      </c>
      <c r="S45" s="1349">
        <f t="shared" si="12"/>
        <v>100</v>
      </c>
      <c r="T45" s="1348" t="s">
        <v>65</v>
      </c>
      <c r="U45" s="1349">
        <f t="shared" si="13"/>
        <v>100</v>
      </c>
      <c r="V45" s="1348" t="s">
        <v>65</v>
      </c>
      <c r="W45" s="1349">
        <f t="shared" si="14"/>
        <v>100</v>
      </c>
      <c r="X45" s="3357"/>
      <c r="Y45" s="3766"/>
      <c r="Z45" s="3358">
        <f t="shared" si="18"/>
        <v>111</v>
      </c>
      <c r="AA45" s="3360">
        <f t="shared" si="15"/>
        <v>1</v>
      </c>
      <c r="AB45" s="3360">
        <f t="shared" si="16"/>
        <v>1</v>
      </c>
      <c r="AC45" s="3360">
        <f t="shared" si="17"/>
        <v>1</v>
      </c>
    </row>
    <row r="46" spans="1:29" ht="15" thickBot="1">
      <c r="A46" s="162"/>
      <c r="B46" s="1029">
        <v>0.95</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765"/>
      <c r="Q46" s="3359">
        <f t="shared" si="11"/>
        <v>0.95</v>
      </c>
      <c r="R46" s="1348" t="s">
        <v>65</v>
      </c>
      <c r="S46" s="1349">
        <f t="shared" si="12"/>
        <v>100</v>
      </c>
      <c r="T46" s="1348" t="s">
        <v>65</v>
      </c>
      <c r="U46" s="1349">
        <f t="shared" si="13"/>
        <v>100</v>
      </c>
      <c r="V46" s="1348" t="s">
        <v>65</v>
      </c>
      <c r="W46" s="1349">
        <f t="shared" si="14"/>
        <v>100</v>
      </c>
      <c r="X46" s="3357"/>
      <c r="Y46" s="3767"/>
      <c r="Z46" s="3358">
        <f t="shared" si="18"/>
        <v>0.95</v>
      </c>
      <c r="AA46" s="3360">
        <f t="shared" si="15"/>
        <v>1</v>
      </c>
      <c r="AB46" s="3360">
        <f t="shared" si="16"/>
        <v>1</v>
      </c>
      <c r="AC46" s="3360">
        <f t="shared" si="17"/>
        <v>1</v>
      </c>
    </row>
    <row r="47" spans="1:29" ht="15">
      <c r="A47" s="163" t="s">
        <v>102</v>
      </c>
      <c r="B47" s="164"/>
      <c r="C47" s="2829" t="s">
        <v>23</v>
      </c>
      <c r="D47" s="2830"/>
      <c r="E47" s="2831">
        <f>ROUND(58317*B46,0)</f>
        <v>55401</v>
      </c>
      <c r="F47" s="2832"/>
      <c r="G47" s="2831">
        <f>ROUND(66571*B46,0)</f>
        <v>63242</v>
      </c>
      <c r="H47" s="2834"/>
      <c r="I47" s="2831">
        <f>ROUND(54951*B46,0)</f>
        <v>52203</v>
      </c>
      <c r="J47" s="2834"/>
      <c r="K47" s="1360"/>
      <c r="L47" s="2299"/>
      <c r="M47" s="2300"/>
      <c r="N47" s="2292"/>
      <c r="O47" s="2300"/>
      <c r="P47" s="3759" t="str">
        <f>A47</f>
        <v>成交单价（元/平方米）</v>
      </c>
      <c r="Q47" s="3759"/>
      <c r="R47" s="3760">
        <f>E47</f>
        <v>55401</v>
      </c>
      <c r="S47" s="3760"/>
      <c r="T47" s="3760">
        <f>G47</f>
        <v>63242</v>
      </c>
      <c r="U47" s="3760"/>
      <c r="V47" s="3760">
        <f>I47</f>
        <v>52203</v>
      </c>
      <c r="W47" s="3760"/>
      <c r="X47" s="1361"/>
      <c r="Y47" s="1362"/>
      <c r="Z47" s="1361"/>
      <c r="AA47" s="1361"/>
      <c r="AB47" s="1361"/>
      <c r="AC47" s="1361"/>
    </row>
    <row r="48" spans="1:29" ht="15.75" thickBot="1">
      <c r="A48" s="165" t="s">
        <v>100</v>
      </c>
      <c r="B48" s="166"/>
      <c r="C48" s="2835">
        <f>R49</f>
        <v>56471</v>
      </c>
      <c r="D48" s="2836"/>
      <c r="E48" s="2837">
        <f>R48</f>
        <v>55809</v>
      </c>
      <c r="F48" s="2837"/>
      <c r="G48" s="2835">
        <f>T48</f>
        <v>59500</v>
      </c>
      <c r="H48" s="2836"/>
      <c r="I48" s="2837">
        <f>V48</f>
        <v>54105</v>
      </c>
      <c r="J48" s="2836"/>
      <c r="K48" s="1363"/>
      <c r="L48" s="2299"/>
      <c r="M48" s="2300"/>
      <c r="N48" s="2300"/>
      <c r="O48" s="2300"/>
      <c r="P48" s="3759" t="str">
        <f>A48</f>
        <v>比较价值（元/平方米）</v>
      </c>
      <c r="Q48" s="3759"/>
      <c r="R48" s="3760">
        <f>IF(F1="售价",ROUND(PRODUCT(R47,AA7:AA46),0),ROUND(PRODUCT(R47,AA7:AA46),1))</f>
        <v>55809</v>
      </c>
      <c r="S48" s="3760"/>
      <c r="T48" s="3760">
        <f>IF(F1="售价",ROUND(PRODUCT(T47,AB7:AB46),0),ROUND(PRODUCT(T47,AB7:AB46),1))</f>
        <v>59500</v>
      </c>
      <c r="U48" s="3760"/>
      <c r="V48" s="3760">
        <f>IF(F1="售价",ROUND(PRODUCT(V47,AC7:AC46),0),ROUND(PRODUCT(V47,AC7:AC46),1))</f>
        <v>54105</v>
      </c>
      <c r="W48" s="3760"/>
      <c r="X48" s="1361"/>
      <c r="Y48" s="1361"/>
      <c r="Z48" s="1361"/>
      <c r="AA48" s="1361"/>
      <c r="AB48" s="1361"/>
      <c r="AC48" s="1361"/>
    </row>
    <row r="49" spans="1:29" ht="15.75" thickBot="1">
      <c r="A49" s="115" t="s">
        <v>3012</v>
      </c>
      <c r="B49" s="116"/>
      <c r="C49" s="2838">
        <f>R49</f>
        <v>56471</v>
      </c>
      <c r="D49" s="2839"/>
      <c r="E49" s="2839"/>
      <c r="F49" s="2839"/>
      <c r="G49" s="2839"/>
      <c r="H49" s="2839"/>
      <c r="I49" s="2839"/>
      <c r="J49" s="2839"/>
      <c r="K49" s="1364"/>
      <c r="L49" s="2299"/>
      <c r="M49" s="2300"/>
      <c r="N49" s="2300"/>
      <c r="O49" s="2300"/>
      <c r="P49" s="3756" t="str">
        <f>A49</f>
        <v>估价对象XX用房的比较价值（楼面单价，元/平方米）</v>
      </c>
      <c r="Q49" s="3757"/>
      <c r="R49" s="3758">
        <f>IF(F1="售价",ROUND(AVERAGE(R48:V48),0),ROUND(AVERAGE(R48:V48),1))</f>
        <v>56471</v>
      </c>
      <c r="S49" s="3758"/>
      <c r="T49" s="3758"/>
      <c r="U49" s="3758"/>
      <c r="V49" s="3758"/>
      <c r="W49" s="3758"/>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997</v>
      </c>
      <c r="D52" s="838"/>
      <c r="E52" s="839">
        <f>IF(E47&lt;E48,E48/E47-1,E47/E48-1)</f>
        <v>7.3644880056316087E-3</v>
      </c>
      <c r="F52" s="840" t="str">
        <f>IF(OR(E52&gt;=0.3,E52&lt;=-0.3),"超过30%","")</f>
        <v/>
      </c>
      <c r="G52" s="839">
        <f>IF(G47&lt;G48,G48/G47-1,G47/G48-1)</f>
        <v>6.2890756302520945E-2</v>
      </c>
      <c r="H52" s="840" t="str">
        <f>IF(OR(G52&gt;=0.3,G52&lt;=-0.3),"超过30%","")</f>
        <v/>
      </c>
      <c r="I52" s="839">
        <f>IF(I47&lt;I48,I48/I47-1,I47/I48-1)</f>
        <v>3.6434687661628606E-2</v>
      </c>
      <c r="J52" s="840" t="str">
        <f>IF(OR(I52&gt;=0.3,I52&lt;=-0.3),"超过30%","")</f>
        <v/>
      </c>
      <c r="K52" s="2301"/>
      <c r="L52" s="2302"/>
      <c r="M52" s="2300"/>
      <c r="N52" s="2300"/>
      <c r="O52" s="2300"/>
    </row>
    <row r="53" spans="1:29" ht="13.5" customHeight="1">
      <c r="A53" s="2300"/>
      <c r="B53" s="2300"/>
      <c r="C53" s="837" t="s">
        <v>410</v>
      </c>
      <c r="D53" s="841"/>
      <c r="E53" s="839">
        <f>IF(E48&lt;G48,G48/E48-1,E48/G48-1)</f>
        <v>6.6136286262072463E-2</v>
      </c>
      <c r="F53" s="840" t="str">
        <f>IF(OR(E53&gt;=0.2,E53&lt;=-0.2),"超过20%","")</f>
        <v/>
      </c>
      <c r="G53" s="839">
        <f>IF(G48&lt;I48,I48/G48-1,G48/I48-1)</f>
        <v>9.9713520007393086E-2</v>
      </c>
      <c r="H53" s="840" t="str">
        <f>IF(OR(G53&gt;=0.2,G53&lt;=-0.2),"超过20%","")</f>
        <v/>
      </c>
      <c r="I53" s="839">
        <f>IF(I48&lt;E48,E48/I48-1,I48/E48-1)</f>
        <v>3.1494316606598183E-2</v>
      </c>
      <c r="J53" s="840" t="str">
        <f>IF(OR(I53&gt;=0.2,I53&lt;=-0.2),"超过20%","")</f>
        <v/>
      </c>
      <c r="K53" s="2301"/>
      <c r="L53" s="2302"/>
      <c r="M53" s="2300"/>
      <c r="N53" s="2300"/>
      <c r="O53" s="2300"/>
    </row>
    <row r="54" spans="1:29" s="119" customFormat="1" ht="13.5" customHeight="1">
      <c r="A54" s="2305"/>
      <c r="B54" s="2305"/>
      <c r="C54" s="837" t="s">
        <v>999</v>
      </c>
      <c r="D54" s="841"/>
      <c r="E54" s="839">
        <f>IF(E47&lt;G47,G47/E47-1,E47/G47-1)</f>
        <v>0.14153174130430868</v>
      </c>
      <c r="F54" s="840" t="str">
        <f>IF(OR(E54&gt;=0.3,E54&lt;=-0.3),"超过30%","")</f>
        <v/>
      </c>
      <c r="G54" s="839">
        <f>IF(G47&lt;I47,I47/G47-1,G47/I47-1)</f>
        <v>0.21146294274275435</v>
      </c>
      <c r="H54" s="840" t="str">
        <f>IF(OR(G54&gt;=0.3,G54&lt;=-0.3),"超过30%","")</f>
        <v/>
      </c>
      <c r="I54" s="839">
        <f>IF(I47&lt;E47,E47/I47-1,I47/E47-1)</f>
        <v>6.1260847077754255E-2</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1"/>
    </row>
    <row r="58" spans="1:29" s="848" customFormat="1" ht="15">
      <c r="A58" s="845" t="s">
        <v>395</v>
      </c>
      <c r="B58" s="846"/>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2"/>
      <c r="B59" s="3034"/>
      <c r="C59" s="3035">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417</v>
      </c>
      <c r="D65" s="879" t="s">
        <v>1001</v>
      </c>
      <c r="E65" s="879" t="s">
        <v>1002</v>
      </c>
      <c r="F65" s="879" t="s">
        <v>420</v>
      </c>
      <c r="G65" s="879" t="s">
        <v>435</v>
      </c>
      <c r="H65" s="879" t="s">
        <v>436</v>
      </c>
      <c r="I65" s="879" t="s">
        <v>1006</v>
      </c>
      <c r="J65" s="879"/>
      <c r="K65" s="880"/>
      <c r="L65" s="881"/>
      <c r="M65" s="882"/>
      <c r="N65" s="1385"/>
      <c r="O65" s="1385"/>
      <c r="P65" s="1375"/>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90" t="str">
        <f>M68&amp;"（含）"&amp;"-"&amp;P68</f>
        <v>（含）-</v>
      </c>
      <c r="N67" s="1386"/>
      <c r="O67" s="1386"/>
      <c r="P67" s="1375"/>
      <c r="Q67" s="121"/>
    </row>
    <row r="68" spans="1:17" ht="14.25">
      <c r="A68" s="173"/>
      <c r="B68" s="1054"/>
      <c r="C68" s="889">
        <v>0</v>
      </c>
      <c r="D68" s="889">
        <v>1</v>
      </c>
      <c r="E68" s="889">
        <v>2</v>
      </c>
      <c r="F68" s="889">
        <v>3</v>
      </c>
      <c r="G68" s="889">
        <v>4</v>
      </c>
      <c r="H68" s="889"/>
      <c r="I68" s="889"/>
      <c r="J68" s="889"/>
      <c r="K68" s="890"/>
      <c r="L68" s="891"/>
      <c r="M68" s="892"/>
      <c r="N68" s="1385"/>
      <c r="O68" s="1385"/>
      <c r="P68" s="1375"/>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6" customFormat="1" ht="15" thickTop="1">
      <c r="A70" s="1055"/>
      <c r="B70" s="1051">
        <f>B12</f>
        <v>0</v>
      </c>
      <c r="C70" s="894"/>
      <c r="D70" s="894"/>
      <c r="E70" s="894"/>
      <c r="F70" s="894"/>
      <c r="G70" s="894"/>
      <c r="H70" s="895"/>
      <c r="I70" s="895"/>
      <c r="J70" s="895"/>
      <c r="K70" s="895"/>
      <c r="L70" s="896"/>
      <c r="M70" s="897"/>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5" thickTop="1">
      <c r="A72" s="1055"/>
      <c r="B72" s="1051">
        <f>B13</f>
        <v>0</v>
      </c>
      <c r="C72" s="894"/>
      <c r="D72" s="894"/>
      <c r="E72" s="894"/>
      <c r="F72" s="894"/>
      <c r="G72" s="894"/>
      <c r="H72" s="895"/>
      <c r="I72" s="895"/>
      <c r="J72" s="895"/>
      <c r="K72" s="895"/>
      <c r="L72" s="896"/>
      <c r="M72" s="897"/>
      <c r="N72" s="1387"/>
      <c r="O72" s="1387"/>
      <c r="P72" s="1377"/>
      <c r="Q72" s="1062"/>
    </row>
    <row r="73" spans="1:17" s="1036" customFormat="1" ht="15" thickBot="1">
      <c r="A73" s="1055"/>
      <c r="B73" s="1052"/>
      <c r="C73" s="900"/>
      <c r="D73" s="900"/>
      <c r="E73" s="900"/>
      <c r="F73" s="900"/>
      <c r="G73" s="900"/>
      <c r="H73" s="902"/>
      <c r="I73" s="902"/>
      <c r="J73" s="902"/>
      <c r="K73" s="902"/>
      <c r="L73" s="902"/>
      <c r="M73" s="903"/>
      <c r="N73" s="1387"/>
      <c r="O73" s="1387"/>
      <c r="P73" s="1376"/>
      <c r="Q73" s="1060"/>
    </row>
    <row r="74" spans="1:17" s="1036" customFormat="1" ht="15" thickTop="1">
      <c r="A74" s="1055"/>
      <c r="B74" s="1053">
        <f>B14</f>
        <v>0</v>
      </c>
      <c r="C74" s="894"/>
      <c r="D74" s="894"/>
      <c r="E74" s="894"/>
      <c r="F74" s="894"/>
      <c r="G74" s="863"/>
      <c r="H74" s="904"/>
      <c r="I74" s="904"/>
      <c r="J74" s="904"/>
      <c r="K74" s="904"/>
      <c r="L74" s="905"/>
      <c r="M74" s="906"/>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69</v>
      </c>
      <c r="B76" s="286" t="s">
        <v>110</v>
      </c>
      <c r="C76" s="913" t="s">
        <v>1007</v>
      </c>
      <c r="D76" s="913" t="s">
        <v>423</v>
      </c>
      <c r="E76" s="913" t="s">
        <v>1009</v>
      </c>
      <c r="F76" s="913" t="s">
        <v>425</v>
      </c>
      <c r="G76" s="913" t="s">
        <v>426</v>
      </c>
      <c r="H76" s="869"/>
      <c r="I76" s="869"/>
      <c r="J76" s="869"/>
      <c r="K76" s="914"/>
      <c r="L76" s="915"/>
      <c r="M76" s="916"/>
      <c r="N76" s="1385"/>
      <c r="O76" s="1385"/>
      <c r="P76" s="1379"/>
      <c r="Q76" s="121"/>
    </row>
    <row r="77" spans="1:17" ht="15" thickBot="1">
      <c r="A77" s="173"/>
      <c r="B77" s="1052"/>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1" t="s">
        <v>92</v>
      </c>
      <c r="C78" s="918" t="s">
        <v>1007</v>
      </c>
      <c r="D78" s="918" t="s">
        <v>423</v>
      </c>
      <c r="E78" s="918" t="s">
        <v>1009</v>
      </c>
      <c r="F78" s="918" t="s">
        <v>425</v>
      </c>
      <c r="G78" s="918" t="s">
        <v>426</v>
      </c>
      <c r="H78" s="879"/>
      <c r="I78" s="879"/>
      <c r="J78" s="879"/>
      <c r="K78" s="880"/>
      <c r="L78" s="881"/>
      <c r="M78" s="882"/>
      <c r="N78" s="1385"/>
      <c r="O78" s="1385"/>
      <c r="P78" s="1375"/>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1" t="s">
        <v>31</v>
      </c>
      <c r="C80" s="918" t="s">
        <v>1007</v>
      </c>
      <c r="D80" s="918" t="s">
        <v>423</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3" t="s">
        <v>2627</v>
      </c>
      <c r="C82" s="177" t="s">
        <v>2643</v>
      </c>
      <c r="D82" s="177" t="s">
        <v>2647</v>
      </c>
      <c r="E82" s="177" t="s">
        <v>2644</v>
      </c>
      <c r="F82" s="177" t="s">
        <v>2645</v>
      </c>
      <c r="G82" s="177" t="s">
        <v>2646</v>
      </c>
      <c r="H82" s="879"/>
      <c r="I82" s="879"/>
      <c r="J82" s="879"/>
      <c r="K82" s="879"/>
      <c r="L82" s="879"/>
      <c r="M82" s="2761"/>
      <c r="N82" s="1386"/>
      <c r="O82" s="1386"/>
      <c r="P82" s="1375"/>
      <c r="Q82" s="121"/>
    </row>
    <row r="83" spans="1:17" ht="15" thickBot="1">
      <c r="A83" s="173"/>
      <c r="B83" s="1053"/>
      <c r="C83" s="1000">
        <v>100</v>
      </c>
      <c r="D83" s="1000">
        <f>C83-$K21</f>
        <v>99</v>
      </c>
      <c r="E83" s="1000">
        <f t="shared" ref="E83:G83" si="23">D83-$K21</f>
        <v>98</v>
      </c>
      <c r="F83" s="1000">
        <f t="shared" si="23"/>
        <v>97</v>
      </c>
      <c r="G83" s="1000">
        <f t="shared" si="23"/>
        <v>96</v>
      </c>
      <c r="H83" s="1000"/>
      <c r="I83" s="1000"/>
      <c r="J83" s="1000"/>
      <c r="K83" s="1000"/>
      <c r="L83" s="1000"/>
      <c r="M83" s="792"/>
      <c r="N83" s="1386"/>
      <c r="O83" s="1386"/>
      <c r="P83" s="1375"/>
      <c r="Q83" s="121"/>
    </row>
    <row r="84" spans="1:17" ht="15" thickTop="1">
      <c r="A84" s="173"/>
      <c r="B84" s="1051" t="s">
        <v>98</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95</v>
      </c>
      <c r="E85" s="884">
        <f>D85-$K23</f>
        <v>90</v>
      </c>
      <c r="F85" s="884">
        <f>E85-$K23</f>
        <v>85</v>
      </c>
      <c r="G85" s="884">
        <f>F85-$K23</f>
        <v>80</v>
      </c>
      <c r="H85" s="884"/>
      <c r="I85" s="884"/>
      <c r="J85" s="884"/>
      <c r="K85" s="884"/>
      <c r="L85" s="884"/>
      <c r="M85" s="885"/>
      <c r="N85" s="1386"/>
      <c r="O85" s="1386"/>
      <c r="P85" s="1375"/>
      <c r="Q85" s="121"/>
    </row>
    <row r="86" spans="1:17" s="40" customFormat="1" ht="14.25" thickTop="1">
      <c r="A86" s="1069"/>
      <c r="B86" s="1051" t="s">
        <v>2290</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9"/>
      <c r="B88" s="1051" t="s">
        <v>97</v>
      </c>
      <c r="C88" s="139"/>
      <c r="D88" s="139"/>
      <c r="E88" s="139"/>
      <c r="F88" s="1382"/>
      <c r="G88" s="139"/>
      <c r="H88" s="139"/>
      <c r="I88" s="139"/>
      <c r="J88" s="139"/>
      <c r="K88" s="139"/>
      <c r="L88" s="139"/>
      <c r="M88" s="1381"/>
      <c r="N88" s="1384"/>
      <c r="O88" s="1384"/>
      <c r="P88" s="1375"/>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thickTop="1">
      <c r="A90" s="1055"/>
      <c r="B90" s="1051" t="str">
        <f>B27</f>
        <v>道路级别</v>
      </c>
      <c r="C90" s="139" t="s">
        <v>3332</v>
      </c>
      <c r="D90" s="139" t="s">
        <v>3333</v>
      </c>
      <c r="E90" s="139" t="s">
        <v>3321</v>
      </c>
      <c r="F90" s="139" t="s">
        <v>3322</v>
      </c>
      <c r="G90" s="139" t="s">
        <v>3265</v>
      </c>
      <c r="H90" s="1056"/>
      <c r="I90" s="1056"/>
      <c r="J90" s="1056"/>
      <c r="K90" s="1056"/>
      <c r="L90" s="1057"/>
      <c r="M90" s="1058"/>
      <c r="N90" s="1387"/>
      <c r="O90" s="1387"/>
      <c r="P90" s="1376"/>
      <c r="Q90" s="1060"/>
    </row>
    <row r="91" spans="1:17" s="1036" customFormat="1" ht="15" thickBot="1">
      <c r="A91" s="1055"/>
      <c r="B91" s="1052"/>
      <c r="C91" s="900">
        <v>100</v>
      </c>
      <c r="D91" s="900">
        <v>99.5</v>
      </c>
      <c r="E91" s="900">
        <v>99</v>
      </c>
      <c r="F91" s="900">
        <v>98.5</v>
      </c>
      <c r="G91" s="900">
        <v>98</v>
      </c>
      <c r="H91" s="902"/>
      <c r="I91" s="902"/>
      <c r="J91" s="902"/>
      <c r="K91" s="902"/>
      <c r="L91" s="902"/>
      <c r="M91" s="903"/>
      <c r="N91" s="1387"/>
      <c r="O91" s="1387"/>
      <c r="P91" s="1376"/>
      <c r="Q91" s="1060"/>
    </row>
    <row r="92" spans="1:17" ht="15" thickTop="1">
      <c r="A92" s="173"/>
      <c r="B92" s="1051">
        <f>B28</f>
        <v>111</v>
      </c>
      <c r="C92" s="894"/>
      <c r="D92" s="894"/>
      <c r="E92" s="894"/>
      <c r="F92" s="894"/>
      <c r="G92" s="923"/>
      <c r="H92" s="923"/>
      <c r="I92" s="923"/>
      <c r="J92" s="923"/>
      <c r="K92" s="924"/>
      <c r="L92" s="925"/>
      <c r="M92" s="926"/>
      <c r="N92" s="1385"/>
      <c r="O92" s="1385"/>
      <c r="P92" s="1375"/>
      <c r="Q92" s="121"/>
    </row>
    <row r="93" spans="1:17" ht="15" thickBot="1">
      <c r="A93" s="173"/>
      <c r="B93" s="1052"/>
      <c r="C93" s="900"/>
      <c r="D93" s="876"/>
      <c r="E93" s="876"/>
      <c r="F93" s="876"/>
      <c r="G93" s="876"/>
      <c r="H93" s="876"/>
      <c r="I93" s="876"/>
      <c r="J93" s="876"/>
      <c r="K93" s="876"/>
      <c r="L93" s="876"/>
      <c r="M93" s="877"/>
      <c r="N93" s="1386"/>
      <c r="O93" s="1386"/>
      <c r="P93" s="1375"/>
      <c r="Q93" s="121"/>
    </row>
    <row r="94" spans="1:17" ht="15" thickTop="1">
      <c r="A94" s="173"/>
      <c r="B94" s="1051">
        <f>B29</f>
        <v>111</v>
      </c>
      <c r="C94" s="894"/>
      <c r="D94" s="894"/>
      <c r="E94" s="894"/>
      <c r="F94" s="894"/>
      <c r="G94" s="923"/>
      <c r="H94" s="923"/>
      <c r="I94" s="923"/>
      <c r="J94" s="923"/>
      <c r="K94" s="924"/>
      <c r="L94" s="925"/>
      <c r="M94" s="926"/>
      <c r="N94" s="1385"/>
      <c r="O94" s="1385"/>
      <c r="P94" s="1375"/>
      <c r="Q94" s="121"/>
    </row>
    <row r="95" spans="1:17" ht="15" thickBot="1">
      <c r="A95" s="173"/>
      <c r="B95" s="1052"/>
      <c r="C95" s="900"/>
      <c r="D95" s="900"/>
      <c r="E95" s="900"/>
      <c r="F95" s="900"/>
      <c r="G95" s="876"/>
      <c r="H95" s="876"/>
      <c r="I95" s="876"/>
      <c r="J95" s="876"/>
      <c r="K95" s="876"/>
      <c r="L95" s="876"/>
      <c r="M95" s="877"/>
      <c r="N95" s="1386"/>
      <c r="O95" s="1386"/>
      <c r="P95" s="1375"/>
      <c r="Q95" s="121"/>
    </row>
    <row r="96" spans="1:17" ht="15" thickTop="1">
      <c r="A96" s="173"/>
      <c r="B96" s="1051">
        <f>B30</f>
        <v>111</v>
      </c>
      <c r="C96" s="894"/>
      <c r="D96" s="894"/>
      <c r="E96" s="894"/>
      <c r="F96" s="894"/>
      <c r="G96" s="923"/>
      <c r="H96" s="923"/>
      <c r="I96" s="923"/>
      <c r="J96" s="923"/>
      <c r="K96" s="924"/>
      <c r="L96" s="925"/>
      <c r="M96" s="926"/>
      <c r="N96" s="1385"/>
      <c r="O96" s="1385"/>
      <c r="P96" s="1375"/>
      <c r="Q96" s="121"/>
    </row>
    <row r="97" spans="1:17" ht="15" thickBot="1">
      <c r="A97" s="173"/>
      <c r="B97" s="1052"/>
      <c r="C97" s="910"/>
      <c r="D97" s="910"/>
      <c r="E97" s="910"/>
      <c r="F97" s="910"/>
      <c r="G97" s="876"/>
      <c r="H97" s="876"/>
      <c r="I97" s="876"/>
      <c r="J97" s="876"/>
      <c r="K97" s="876"/>
      <c r="L97" s="876"/>
      <c r="M97" s="877"/>
      <c r="N97" s="1386"/>
      <c r="O97" s="1386"/>
      <c r="P97" s="1375"/>
      <c r="Q97" s="121"/>
    </row>
    <row r="98" spans="1:17" ht="15" thickTop="1">
      <c r="A98" s="173"/>
      <c r="B98" s="1053">
        <f>B31</f>
        <v>111</v>
      </c>
      <c r="C98" s="927"/>
      <c r="D98" s="927"/>
      <c r="E98" s="927"/>
      <c r="F98" s="927"/>
      <c r="G98" s="927"/>
      <c r="H98" s="927"/>
      <c r="I98" s="927"/>
      <c r="J98" s="927"/>
      <c r="K98" s="928"/>
      <c r="L98" s="929"/>
      <c r="M98" s="930"/>
      <c r="N98" s="1385"/>
      <c r="O98" s="1385"/>
      <c r="P98" s="1375"/>
      <c r="Q98" s="121"/>
    </row>
    <row r="99" spans="1:17" ht="15" thickBot="1">
      <c r="A99" s="174"/>
      <c r="B99" s="1068"/>
      <c r="C99" s="931"/>
      <c r="D99" s="931"/>
      <c r="E99" s="931"/>
      <c r="F99" s="931"/>
      <c r="G99" s="931"/>
      <c r="H99" s="931"/>
      <c r="I99" s="931"/>
      <c r="J99" s="931"/>
      <c r="K99" s="931"/>
      <c r="L99" s="931"/>
      <c r="M99" s="932"/>
      <c r="N99" s="1386"/>
      <c r="O99" s="1386"/>
      <c r="P99" s="1375"/>
      <c r="Q99" s="121"/>
    </row>
    <row r="100" spans="1:17">
      <c r="A100" s="172" t="s">
        <v>70</v>
      </c>
      <c r="B100" s="286" t="s">
        <v>123</v>
      </c>
      <c r="C100" s="122" t="s">
        <v>3357</v>
      </c>
      <c r="D100" s="122" t="s">
        <v>3358</v>
      </c>
      <c r="E100" s="122" t="s">
        <v>3345</v>
      </c>
      <c r="F100" s="122" t="s">
        <v>3346</v>
      </c>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97</v>
      </c>
      <c r="E101" s="884">
        <f t="shared" si="26"/>
        <v>94</v>
      </c>
      <c r="F101" s="884">
        <f t="shared" si="26"/>
        <v>91</v>
      </c>
      <c r="G101" s="884">
        <f t="shared" si="26"/>
        <v>88</v>
      </c>
      <c r="H101" s="884">
        <f t="shared" si="26"/>
        <v>85</v>
      </c>
      <c r="I101" s="884">
        <f t="shared" si="26"/>
        <v>82</v>
      </c>
      <c r="J101" s="884">
        <f t="shared" si="26"/>
        <v>79</v>
      </c>
      <c r="K101" s="884">
        <f t="shared" si="26"/>
        <v>76</v>
      </c>
      <c r="L101" s="884">
        <f t="shared" si="26"/>
        <v>73</v>
      </c>
      <c r="M101" s="884">
        <f t="shared" si="26"/>
        <v>70</v>
      </c>
      <c r="N101" s="1386"/>
      <c r="O101" s="1386"/>
      <c r="P101" s="1375"/>
      <c r="Q101" s="121"/>
    </row>
    <row r="102" spans="1:17" ht="15" thickTop="1">
      <c r="A102" s="173"/>
      <c r="B102" s="1051" t="s">
        <v>96</v>
      </c>
      <c r="C102" s="918" t="str">
        <f>C103&amp;"(含)"&amp;"-"&amp;D103</f>
        <v>100(含)-200</v>
      </c>
      <c r="D102" s="918" t="str">
        <f t="shared" ref="D102:L102" si="27">D103&amp;"(含)"&amp;"-"&amp;E103</f>
        <v>200(含)-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100</v>
      </c>
      <c r="D103" s="935">
        <v>200</v>
      </c>
      <c r="E103" s="935"/>
      <c r="F103" s="935"/>
      <c r="G103" s="935"/>
      <c r="H103" s="935"/>
      <c r="I103" s="935"/>
      <c r="J103" s="936"/>
      <c r="K103" s="936"/>
      <c r="L103" s="937"/>
      <c r="M103" s="938"/>
      <c r="N103" s="1387"/>
      <c r="O103" s="1387"/>
      <c r="P103" s="1376"/>
      <c r="Q103" s="1060"/>
    </row>
    <row r="104" spans="1:17" s="1036" customFormat="1" ht="15" thickBot="1">
      <c r="A104" s="1055"/>
      <c r="B104" s="1052"/>
      <c r="C104" s="900">
        <v>100</v>
      </c>
      <c r="D104" s="876"/>
      <c r="E104" s="876"/>
      <c r="F104" s="876"/>
      <c r="G104" s="876"/>
      <c r="H104" s="876"/>
      <c r="I104" s="876"/>
      <c r="J104" s="876"/>
      <c r="K104" s="876"/>
      <c r="L104" s="876"/>
      <c r="M104" s="876"/>
      <c r="N104" s="1386"/>
      <c r="O104" s="1386"/>
      <c r="P104" s="1376"/>
      <c r="Q104" s="1060"/>
    </row>
    <row r="105" spans="1:17" ht="14.25" thickTop="1">
      <c r="A105" s="175"/>
      <c r="B105" s="1051" t="s">
        <v>95</v>
      </c>
      <c r="C105" s="139" t="s">
        <v>3334</v>
      </c>
      <c r="D105" s="139" t="s">
        <v>3335</v>
      </c>
      <c r="E105" s="131" t="s">
        <v>3336</v>
      </c>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99</v>
      </c>
      <c r="E106" s="884">
        <f t="shared" si="28"/>
        <v>98</v>
      </c>
      <c r="F106" s="884">
        <f t="shared" si="28"/>
        <v>97</v>
      </c>
      <c r="G106" s="884">
        <f t="shared" si="28"/>
        <v>96</v>
      </c>
      <c r="H106" s="884">
        <f t="shared" si="28"/>
        <v>95</v>
      </c>
      <c r="I106" s="884">
        <f t="shared" si="28"/>
        <v>94</v>
      </c>
      <c r="J106" s="884">
        <f t="shared" si="28"/>
        <v>93</v>
      </c>
      <c r="K106" s="884">
        <f t="shared" si="28"/>
        <v>92</v>
      </c>
      <c r="L106" s="884">
        <f t="shared" si="28"/>
        <v>91</v>
      </c>
      <c r="M106" s="884">
        <f t="shared" si="28"/>
        <v>90</v>
      </c>
      <c r="N106" s="1386"/>
      <c r="O106" s="1386"/>
      <c r="P106" s="1375"/>
      <c r="Q106" s="121"/>
    </row>
    <row r="107" spans="1:17" ht="14.25" thickTop="1">
      <c r="A107" s="175"/>
      <c r="B107" s="1051" t="s">
        <v>111</v>
      </c>
      <c r="C107" s="131" t="s">
        <v>3337</v>
      </c>
      <c r="D107" s="131" t="s">
        <v>3338</v>
      </c>
      <c r="E107" s="131"/>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3339</v>
      </c>
      <c r="D109" s="139" t="s">
        <v>3340</v>
      </c>
      <c r="E109" s="139" t="s">
        <v>3341</v>
      </c>
      <c r="F109" s="131" t="s">
        <v>3342</v>
      </c>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60"/>
    </row>
    <row r="114" spans="1:17" ht="14.25" thickTop="1">
      <c r="A114" s="175"/>
      <c r="B114" s="1051" t="s">
        <v>125</v>
      </c>
      <c r="C114" s="139" t="s">
        <v>3343</v>
      </c>
      <c r="D114" s="139" t="s">
        <v>3344</v>
      </c>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6"/>
      <c r="O115" s="1386"/>
      <c r="P115" s="1375"/>
      <c r="Q115" s="121"/>
    </row>
    <row r="116" spans="1:17" ht="14.25" thickTop="1">
      <c r="A116" s="175"/>
      <c r="B116" s="1051" t="s">
        <v>2634</v>
      </c>
      <c r="C116" s="139" t="s">
        <v>3273</v>
      </c>
      <c r="D116" s="139" t="s">
        <v>3274</v>
      </c>
      <c r="E116" s="139" t="s">
        <v>3275</v>
      </c>
      <c r="F116" s="139" t="s">
        <v>3276</v>
      </c>
      <c r="G116" s="139" t="s">
        <v>3277</v>
      </c>
      <c r="H116" s="131"/>
      <c r="I116" s="131"/>
      <c r="J116" s="131"/>
      <c r="K116" s="132"/>
      <c r="L116" s="133"/>
      <c r="M116" s="134"/>
      <c r="N116" s="1385"/>
      <c r="O116" s="1385"/>
      <c r="P116" s="1375"/>
      <c r="Q116" s="121"/>
    </row>
    <row r="117" spans="1:17" ht="15" thickBot="1">
      <c r="A117" s="173"/>
      <c r="B117" s="1052"/>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c r="D120" s="139"/>
      <c r="E120" s="139"/>
      <c r="F120" s="139"/>
      <c r="G120" s="139"/>
      <c r="H120" s="139"/>
      <c r="I120" s="139"/>
      <c r="J120" s="139"/>
      <c r="K120" s="139"/>
      <c r="L120" s="1380"/>
      <c r="M120" s="1381"/>
      <c r="N120" s="1387"/>
      <c r="O120" s="1387"/>
      <c r="P120" s="1376"/>
      <c r="Q120" s="1060"/>
    </row>
    <row r="121" spans="1:17" s="1036" customFormat="1" ht="15" thickBot="1">
      <c r="A121" s="1055"/>
      <c r="B121" s="1050"/>
      <c r="C121" s="900"/>
      <c r="D121" s="876"/>
      <c r="E121" s="876"/>
      <c r="F121" s="876"/>
      <c r="G121" s="876"/>
      <c r="H121" s="876"/>
      <c r="I121" s="876"/>
      <c r="J121" s="876"/>
      <c r="K121" s="876"/>
      <c r="L121" s="876"/>
      <c r="M121" s="876"/>
      <c r="N121" s="1387"/>
      <c r="O121" s="1387"/>
      <c r="P121" s="1376"/>
      <c r="Q121" s="1060"/>
    </row>
    <row r="122" spans="1:17" ht="14.25" thickTop="1">
      <c r="A122" s="175"/>
      <c r="B122" s="1051" t="s">
        <v>126</v>
      </c>
      <c r="C122" s="139" t="s">
        <v>3339</v>
      </c>
      <c r="D122" s="139" t="s">
        <v>3340</v>
      </c>
      <c r="E122" s="139" t="s">
        <v>3341</v>
      </c>
      <c r="F122" s="131" t="s">
        <v>3342</v>
      </c>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6"/>
      <c r="O123" s="1386"/>
      <c r="P123" s="1375"/>
      <c r="Q123" s="121"/>
    </row>
    <row r="124" spans="1:17" ht="27.75" thickTop="1">
      <c r="A124" s="175"/>
      <c r="B124" s="1051" t="s">
        <v>94</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900"/>
      <c r="E129" s="900"/>
      <c r="F129" s="900"/>
      <c r="G129" s="876"/>
      <c r="H129" s="876"/>
      <c r="I129" s="876"/>
      <c r="J129" s="876"/>
      <c r="K129" s="876"/>
      <c r="L129" s="876"/>
      <c r="M129" s="877"/>
      <c r="N129" s="1386"/>
      <c r="O129" s="1386"/>
      <c r="P129" s="1375"/>
      <c r="Q129" s="121"/>
    </row>
    <row r="130" spans="1:17" ht="14.25" thickTop="1">
      <c r="A130" s="175"/>
      <c r="B130" s="1053">
        <f>B46</f>
        <v>0.95</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row r="136" spans="1:17" ht="14.25" thickBot="1">
      <c r="B136" s="2137" t="s">
        <v>2291</v>
      </c>
    </row>
    <row r="137" spans="1:17" ht="14.25">
      <c r="B137" s="2138" t="s">
        <v>2292</v>
      </c>
      <c r="C137" s="2139"/>
      <c r="D137" s="2139"/>
      <c r="E137" s="2139"/>
      <c r="F137" s="2139"/>
      <c r="G137" s="2140"/>
      <c r="H137" s="2141"/>
      <c r="I137" s="2142" t="s">
        <v>2293</v>
      </c>
      <c r="J137" s="2139"/>
      <c r="K137" s="2143"/>
    </row>
    <row r="138" spans="1:17" ht="14.25">
      <c r="B138" s="2144"/>
      <c r="C138" s="1774" t="s">
        <v>2294</v>
      </c>
      <c r="D138" s="1774" t="s">
        <v>2295</v>
      </c>
      <c r="E138" s="2145" t="s">
        <v>2296</v>
      </c>
      <c r="F138" s="2146" t="s">
        <v>2297</v>
      </c>
      <c r="G138" s="1774" t="s">
        <v>2295</v>
      </c>
      <c r="H138" s="2147" t="s">
        <v>2296</v>
      </c>
      <c r="I138" s="2148"/>
      <c r="J138" s="1774" t="s">
        <v>2298</v>
      </c>
      <c r="K138" s="2147" t="s">
        <v>2299</v>
      </c>
    </row>
    <row r="139" spans="1:17" ht="15">
      <c r="B139" s="2149">
        <v>6</v>
      </c>
      <c r="C139" s="2150">
        <v>96</v>
      </c>
      <c r="D139" s="2151" t="s">
        <v>2300</v>
      </c>
      <c r="E139" s="2152">
        <v>100</v>
      </c>
      <c r="F139" s="2153">
        <v>102.5</v>
      </c>
      <c r="G139" s="2151" t="s">
        <v>2300</v>
      </c>
      <c r="H139" s="2154">
        <v>105</v>
      </c>
      <c r="I139" s="2155" t="s">
        <v>2301</v>
      </c>
      <c r="J139" s="2150">
        <v>20</v>
      </c>
      <c r="K139" s="2156">
        <f>C145/(J139-2)</f>
        <v>4.0555555555555553E-3</v>
      </c>
    </row>
    <row r="140" spans="1:17" ht="15">
      <c r="B140" s="2157">
        <v>5</v>
      </c>
      <c r="C140" s="2158">
        <v>100</v>
      </c>
      <c r="D140" s="2159"/>
      <c r="E140" s="2160"/>
      <c r="F140" s="2161">
        <v>102</v>
      </c>
      <c r="G140" s="2159"/>
      <c r="H140" s="2162"/>
      <c r="I140" s="2163" t="s">
        <v>2302</v>
      </c>
      <c r="J140" s="647">
        <f>ROUNDUP((J139-1)/2,0)</f>
        <v>10</v>
      </c>
      <c r="K140" s="2164">
        <v>100</v>
      </c>
    </row>
    <row r="141" spans="1:17" ht="15">
      <c r="B141" s="2157">
        <v>4</v>
      </c>
      <c r="C141" s="2158">
        <v>102</v>
      </c>
      <c r="D141" s="2159"/>
      <c r="E141" s="2160"/>
      <c r="F141" s="2161">
        <v>101.5</v>
      </c>
      <c r="G141" s="2159"/>
      <c r="H141" s="2162"/>
      <c r="I141" s="2163" t="s">
        <v>2303</v>
      </c>
      <c r="J141" s="647">
        <v>1</v>
      </c>
      <c r="K141" s="2165">
        <f>ROUND(100+(J141-J140)*K139*100,1)</f>
        <v>96.4</v>
      </c>
    </row>
    <row r="142" spans="1:17" ht="15">
      <c r="B142" s="2157">
        <v>3</v>
      </c>
      <c r="C142" s="2158">
        <v>103</v>
      </c>
      <c r="D142" s="2159"/>
      <c r="E142" s="2160"/>
      <c r="F142" s="2161">
        <v>101</v>
      </c>
      <c r="G142" s="2159"/>
      <c r="H142" s="2162"/>
      <c r="I142" s="2163" t="s">
        <v>2304</v>
      </c>
      <c r="J142" s="647">
        <f>J139</f>
        <v>20</v>
      </c>
      <c r="K142" s="2166">
        <v>95</v>
      </c>
    </row>
    <row r="143" spans="1:17" ht="15">
      <c r="B143" s="2157">
        <v>2</v>
      </c>
      <c r="C143" s="2158">
        <v>100</v>
      </c>
      <c r="D143" s="2159"/>
      <c r="E143" s="2160"/>
      <c r="F143" s="2161">
        <v>100.5</v>
      </c>
      <c r="G143" s="2159"/>
      <c r="H143" s="2162"/>
      <c r="I143" s="2163" t="s">
        <v>1755</v>
      </c>
      <c r="J143" s="2158">
        <v>15</v>
      </c>
      <c r="K143" s="2165">
        <f>ROUND(100+(J143-J140)*K139*100,1)</f>
        <v>102</v>
      </c>
    </row>
    <row r="144" spans="1:17" ht="15">
      <c r="B144" s="2157">
        <v>1</v>
      </c>
      <c r="C144" s="2158">
        <v>98</v>
      </c>
      <c r="D144" s="1157" t="s">
        <v>2306</v>
      </c>
      <c r="E144" s="2160">
        <v>102</v>
      </c>
      <c r="F144" s="2167">
        <v>100</v>
      </c>
      <c r="G144" s="1157" t="s">
        <v>2306</v>
      </c>
      <c r="H144" s="2162">
        <v>105</v>
      </c>
      <c r="I144" s="2163" t="s">
        <v>1755</v>
      </c>
      <c r="J144" s="2158">
        <v>18</v>
      </c>
      <c r="K144" s="2165">
        <f>ROUND(100+(J144-J140)*K139*100,1)</f>
        <v>103.2</v>
      </c>
    </row>
    <row r="145" spans="2:11" ht="15.75" thickBot="1">
      <c r="B145" s="2168" t="s">
        <v>2307</v>
      </c>
      <c r="C145" s="2169">
        <f>ROUND(MAX(C139:C144)/MIN(C139:C144)-1,3)</f>
        <v>7.2999999999999995E-2</v>
      </c>
      <c r="D145" s="2170"/>
      <c r="E145" s="2171"/>
      <c r="F145" s="2172" t="s">
        <v>2308</v>
      </c>
      <c r="G145" s="2173"/>
      <c r="H145" s="2174"/>
      <c r="I145" s="2175" t="s">
        <v>1755</v>
      </c>
      <c r="J145" s="2176">
        <v>8</v>
      </c>
      <c r="K145" s="2177">
        <f>ROUND(100+(J145-J140)*K139*100,1)</f>
        <v>99.2</v>
      </c>
    </row>
    <row r="147" spans="2:11">
      <c r="B147" s="2137" t="s">
        <v>2317</v>
      </c>
    </row>
    <row r="148" spans="2:11">
      <c r="B148" s="2137" t="s">
        <v>2318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23" priority="14" stopIfTrue="1" operator="containsText" text="超过">
      <formula>NOT(ISERROR(SEARCH("超过",F52)))</formula>
    </cfRule>
  </conditionalFormatting>
  <conditionalFormatting sqref="J54">
    <cfRule type="containsText" dxfId="22" priority="13" stopIfTrue="1" operator="containsText" text="超过">
      <formula>NOT(ISERROR(SEARCH("超过",J54)))</formula>
    </cfRule>
  </conditionalFormatting>
  <conditionalFormatting sqref="H54">
    <cfRule type="containsText" dxfId="21" priority="12" stopIfTrue="1" operator="containsText" text="超过">
      <formula>NOT(ISERROR(SEARCH("超过",H54)))</formula>
    </cfRule>
  </conditionalFormatting>
  <conditionalFormatting sqref="F54">
    <cfRule type="containsText" dxfId="20" priority="11" stopIfTrue="1" operator="containsText" text="超过">
      <formula>NOT(ISERROR(SEARCH("超过",F54)))</formula>
    </cfRule>
  </conditionalFormatting>
  <conditionalFormatting sqref="F53 H53 J53">
    <cfRule type="containsText" dxfId="19" priority="10" stopIfTrue="1" operator="containsText" text="超过">
      <formula>NOT(ISERROR(SEARCH("超过",F53)))</formula>
    </cfRule>
  </conditionalFormatting>
  <conditionalFormatting sqref="E52">
    <cfRule type="expression" dxfId="18" priority="9" stopIfTrue="1">
      <formula>$F$52="超过30%"</formula>
    </cfRule>
  </conditionalFormatting>
  <conditionalFormatting sqref="G54">
    <cfRule type="expression" dxfId="17" priority="8" stopIfTrue="1">
      <formula>$H$54="超过30%"</formula>
    </cfRule>
  </conditionalFormatting>
  <conditionalFormatting sqref="E53">
    <cfRule type="expression" dxfId="16" priority="7" stopIfTrue="1">
      <formula>$F$53="超过20%"</formula>
    </cfRule>
  </conditionalFormatting>
  <conditionalFormatting sqref="E54">
    <cfRule type="expression" dxfId="15" priority="6" stopIfTrue="1">
      <formula>$F$54="超过30%"</formula>
    </cfRule>
  </conditionalFormatting>
  <conditionalFormatting sqref="G52">
    <cfRule type="expression" dxfId="14" priority="5" stopIfTrue="1">
      <formula>$H$52="超过30%"</formula>
    </cfRule>
  </conditionalFormatting>
  <conditionalFormatting sqref="G53">
    <cfRule type="expression" dxfId="13" priority="4" stopIfTrue="1">
      <formula>$H$53="超过20%"</formula>
    </cfRule>
  </conditionalFormatting>
  <conditionalFormatting sqref="I52">
    <cfRule type="expression" dxfId="12" priority="3" stopIfTrue="1">
      <formula>$J$52="超过30%"</formula>
    </cfRule>
  </conditionalFormatting>
  <conditionalFormatting sqref="I53">
    <cfRule type="expression" dxfId="11" priority="2" stopIfTrue="1">
      <formula>$J$53="超过20%"</formula>
    </cfRule>
  </conditionalFormatting>
  <conditionalFormatting sqref="I54">
    <cfRule type="expression" dxfId="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45" sqref="D45"/>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903</v>
      </c>
      <c r="B1" s="670"/>
      <c r="C1" s="2388" t="s">
        <v>194</v>
      </c>
      <c r="D1" s="1271"/>
      <c r="E1" s="2581" t="s">
        <v>2440</v>
      </c>
      <c r="F1" s="2582">
        <f ca="1">J53</f>
        <v>47.21</v>
      </c>
      <c r="G1" s="672">
        <f>MATCH(C1,'数据-取费表'!A6:A16,0)+5</f>
        <v>8</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813</v>
      </c>
      <c r="B2" s="1403">
        <f ca="1">C40+J29+L46</f>
        <v>2628</v>
      </c>
      <c r="C2" s="1297" t="s">
        <v>1094</v>
      </c>
      <c r="D2" s="1273"/>
      <c r="E2" s="2571"/>
      <c r="F2" s="1274"/>
      <c r="G2" s="2283"/>
      <c r="H2" s="1272"/>
      <c r="I2" s="1272"/>
      <c r="J2" s="1272"/>
      <c r="K2" s="1296"/>
      <c r="L2" s="1272"/>
      <c r="M2" s="1272"/>
    </row>
    <row r="3" spans="1:37" ht="18" customHeight="1" thickBot="1">
      <c r="A3" s="675" t="s">
        <v>814</v>
      </c>
      <c r="B3" s="1404">
        <f ca="1">IF(ISERROR(B2*10000/F43),0,ROUND(B2*10000/F43,0))</f>
        <v>4415</v>
      </c>
      <c r="C3" s="1297" t="s">
        <v>1095</v>
      </c>
      <c r="D3" s="1273"/>
      <c r="E3" s="2571"/>
      <c r="F3" s="1274"/>
      <c r="G3" s="2283"/>
      <c r="H3" s="676" t="s">
        <v>904</v>
      </c>
      <c r="I3" s="1272"/>
      <c r="J3" s="1272"/>
      <c r="K3" s="1296"/>
      <c r="L3" s="1272"/>
      <c r="M3" s="1272"/>
    </row>
    <row r="4" spans="1:37" ht="18" customHeight="1">
      <c r="A4" s="677" t="s">
        <v>905</v>
      </c>
      <c r="B4" s="678" t="s">
        <v>906</v>
      </c>
      <c r="C4" s="678" t="s">
        <v>907</v>
      </c>
      <c r="D4" s="678" t="s">
        <v>908</v>
      </c>
      <c r="E4" s="679" t="s">
        <v>909</v>
      </c>
      <c r="F4" s="680"/>
      <c r="G4" s="2284"/>
      <c r="H4" s="677" t="s">
        <v>905</v>
      </c>
      <c r="I4" s="678" t="s">
        <v>906</v>
      </c>
      <c r="J4" s="678" t="s">
        <v>907</v>
      </c>
      <c r="K4" s="678" t="s">
        <v>908</v>
      </c>
      <c r="L4" s="679" t="s">
        <v>909</v>
      </c>
      <c r="M4" s="680"/>
    </row>
    <row r="5" spans="1:37" ht="18" customHeight="1">
      <c r="A5" s="681">
        <v>1</v>
      </c>
      <c r="B5" s="682" t="s">
        <v>2530</v>
      </c>
      <c r="C5" s="2622">
        <f ca="1">C6+C10+C12</f>
        <v>165</v>
      </c>
      <c r="D5" s="2632" t="s">
        <v>2532</v>
      </c>
      <c r="E5" s="2623"/>
      <c r="F5" s="2624"/>
      <c r="G5" s="2284"/>
      <c r="H5" s="681">
        <v>1</v>
      </c>
      <c r="I5" s="682" t="s">
        <v>2530</v>
      </c>
      <c r="J5" s="2622">
        <f ca="1">J6+J10+J12</f>
        <v>0</v>
      </c>
      <c r="K5" s="2625" t="s">
        <v>2532</v>
      </c>
      <c r="L5" s="2623"/>
      <c r="M5" s="2624"/>
    </row>
    <row r="6" spans="1:37" ht="18" customHeight="1">
      <c r="A6" s="2618" t="s">
        <v>2537</v>
      </c>
      <c r="B6" s="3705" t="s">
        <v>2531</v>
      </c>
      <c r="C6" s="2627">
        <f ca="1">ROUND(F6*F8*F7*(1-F9)/10000,0)</f>
        <v>165</v>
      </c>
      <c r="D6" s="2621" t="s">
        <v>2533</v>
      </c>
      <c r="E6" s="684" t="s">
        <v>910</v>
      </c>
      <c r="F6" s="685">
        <f ca="1">INDIRECT("'数据-取费表'!u"&amp;$G$1)</f>
        <v>900</v>
      </c>
      <c r="G6" s="2284"/>
      <c r="H6" s="2618" t="s">
        <v>2540</v>
      </c>
      <c r="I6" s="3705" t="s">
        <v>2531</v>
      </c>
      <c r="J6" s="683">
        <f ca="1">ROUND(M6*M8*M7*(1-M9)/10000,0)</f>
        <v>0</v>
      </c>
      <c r="K6" s="2621" t="s">
        <v>2533</v>
      </c>
      <c r="L6" s="684" t="s">
        <v>910</v>
      </c>
      <c r="M6" s="685">
        <f ca="1">INDIRECT("'数据-取费表'!z"&amp;$G$1)</f>
        <v>0</v>
      </c>
    </row>
    <row r="7" spans="1:37" ht="18" customHeight="1">
      <c r="A7" s="2626"/>
      <c r="B7" s="3706"/>
      <c r="C7" s="2628"/>
      <c r="D7" s="2057"/>
      <c r="E7" s="2629" t="s">
        <v>911</v>
      </c>
      <c r="F7" s="685">
        <f ca="1">IF(INDIRECT("'数据-取费表'!ah"&amp;$G$1)="",INDIRECT("'数据-取费表'!k"&amp;$G$1),INDIRECT("'数据-取费表'!ah"&amp;$G$1))</f>
        <v>170</v>
      </c>
      <c r="G7" s="2284"/>
      <c r="H7" s="686"/>
      <c r="I7" s="3706"/>
      <c r="J7" s="688"/>
      <c r="K7" s="689"/>
      <c r="L7" s="684" t="s">
        <v>911</v>
      </c>
      <c r="M7" s="685">
        <f ca="1">F7</f>
        <v>170</v>
      </c>
    </row>
    <row r="8" spans="1:37" ht="18" customHeight="1">
      <c r="A8" s="686"/>
      <c r="B8" s="3706"/>
      <c r="C8" s="688"/>
      <c r="D8" s="689"/>
      <c r="E8" s="684" t="s">
        <v>912</v>
      </c>
      <c r="F8" s="685">
        <f ca="1">INDIRECT("'数据-取费表'!ai"&amp;$G$1)</f>
        <v>12</v>
      </c>
      <c r="G8" s="2284"/>
      <c r="H8" s="686"/>
      <c r="I8" s="3706"/>
      <c r="J8" s="688"/>
      <c r="K8" s="689"/>
      <c r="L8" s="684" t="s">
        <v>912</v>
      </c>
      <c r="M8" s="685">
        <f ca="1">INDIRECT("'数据-取费表'!ai"&amp;$G$1)</f>
        <v>12</v>
      </c>
    </row>
    <row r="9" spans="1:37" ht="18" customHeight="1">
      <c r="A9" s="686"/>
      <c r="B9" s="3707"/>
      <c r="C9" s="688"/>
      <c r="D9" s="689"/>
      <c r="E9" s="684" t="s">
        <v>913</v>
      </c>
      <c r="F9" s="694">
        <f ca="1">INDIRECT("'数据-取费表'!w"&amp;$G$1)</f>
        <v>0.1</v>
      </c>
      <c r="G9" s="2284"/>
      <c r="H9" s="686"/>
      <c r="I9" s="3707"/>
      <c r="J9" s="688"/>
      <c r="K9" s="689"/>
      <c r="L9" s="695" t="s">
        <v>913</v>
      </c>
      <c r="M9" s="696">
        <f ca="1">INDIRECT("'数据-取费表'!ab"&amp;$G$1)</f>
        <v>0</v>
      </c>
    </row>
    <row r="10" spans="1:37" ht="18" customHeight="1">
      <c r="A10" s="2618" t="s">
        <v>2538</v>
      </c>
      <c r="B10" s="2619" t="s">
        <v>2526</v>
      </c>
      <c r="C10" s="698">
        <f>ROUND(IF(F10="押一",F6*F8*F7/12*F11,IF(F10="押二",F6*F8*F7/12*2*F11,IF(F10="押三",F6*F8*F7/12*3*F11,C11*F11)))/10000,0)</f>
        <v>0</v>
      </c>
      <c r="D10" s="2630" t="s">
        <v>2534</v>
      </c>
      <c r="E10" s="2093" t="s">
        <v>2528</v>
      </c>
      <c r="F10" s="2824"/>
      <c r="G10" s="2284"/>
      <c r="H10" s="2618" t="s">
        <v>2541</v>
      </c>
      <c r="I10" s="2619" t="s">
        <v>2526</v>
      </c>
      <c r="J10" s="683">
        <f ca="1">ROUND(IF(M10="押一",M6*M8*M7/12*M11,IF(M10="押二",M6*M8*M7/12*2*M11,IF(M10="押三",M6*M8*M7/12*3*M11,J11*M11)))/10000,0)</f>
        <v>0</v>
      </c>
      <c r="K10" s="2630" t="s">
        <v>2534</v>
      </c>
      <c r="L10" s="2093" t="s">
        <v>2528</v>
      </c>
      <c r="M10" s="2725" t="s">
        <v>2620</v>
      </c>
    </row>
    <row r="11" spans="1:37" ht="18" customHeight="1">
      <c r="A11" s="690"/>
      <c r="B11" s="2620" t="s">
        <v>2692</v>
      </c>
      <c r="C11" s="2411"/>
      <c r="D11" s="2863"/>
      <c r="E11" s="2093" t="s">
        <v>2529</v>
      </c>
      <c r="F11" s="696">
        <f>'数据-取费表'!B39</f>
        <v>4.7500000000000001E-2</v>
      </c>
      <c r="G11" s="2284"/>
      <c r="H11" s="2631"/>
      <c r="I11" s="2620" t="s">
        <v>2692</v>
      </c>
      <c r="J11" s="2411"/>
      <c r="K11" s="1278"/>
      <c r="L11" s="2093" t="s">
        <v>2529</v>
      </c>
      <c r="M11" s="2092">
        <f>'数据-取费表'!B39</f>
        <v>4.7500000000000001E-2</v>
      </c>
    </row>
    <row r="12" spans="1:37" ht="18" customHeight="1" thickBot="1">
      <c r="A12" s="2666" t="s">
        <v>2539</v>
      </c>
      <c r="B12" s="2667" t="s">
        <v>2527</v>
      </c>
      <c r="C12" s="2668"/>
      <c r="D12" s="2669"/>
      <c r="E12" s="2670"/>
      <c r="F12" s="2671"/>
      <c r="G12" s="2284"/>
      <c r="H12" s="2666" t="s">
        <v>2542</v>
      </c>
      <c r="I12" s="2667" t="s">
        <v>2527</v>
      </c>
      <c r="J12" s="2668"/>
      <c r="K12" s="2685"/>
      <c r="L12" s="2670"/>
      <c r="M12" s="2686"/>
    </row>
    <row r="13" spans="1:37" ht="18" customHeight="1" thickTop="1">
      <c r="A13" s="2662">
        <v>2</v>
      </c>
      <c r="B13" s="2663" t="s">
        <v>914</v>
      </c>
      <c r="C13" s="692">
        <f ca="1">ROUND(C29*F13,0)</f>
        <v>1942</v>
      </c>
      <c r="D13" s="2664" t="s">
        <v>915</v>
      </c>
      <c r="E13" s="2664" t="s">
        <v>916</v>
      </c>
      <c r="F13" s="2665">
        <f ca="1">INDIRECT("'数据-取费表'!y"&amp;$G$1)</f>
        <v>1</v>
      </c>
      <c r="G13" s="2284"/>
      <c r="H13" s="2662">
        <v>2</v>
      </c>
      <c r="I13" s="2663" t="s">
        <v>914</v>
      </c>
      <c r="J13" s="2617">
        <f ca="1">ROUND(J14*J15,0)</f>
        <v>0</v>
      </c>
      <c r="K13" s="2672" t="s">
        <v>915</v>
      </c>
      <c r="L13" s="2683"/>
      <c r="M13" s="2684"/>
    </row>
    <row r="14" spans="1:37" ht="18" customHeight="1">
      <c r="A14" s="2434" t="s">
        <v>2367</v>
      </c>
      <c r="B14" s="684" t="s">
        <v>356</v>
      </c>
      <c r="C14" s="701">
        <f ca="1">INDIRECT("'数据-取费表'!m"&amp;$G$1)+INDIRECT("'数据-取费表'!t"&amp;$G$1)</f>
        <v>1417</v>
      </c>
      <c r="D14" s="2211" t="s">
        <v>917</v>
      </c>
      <c r="E14" s="2210"/>
      <c r="F14" s="702"/>
      <c r="G14" s="2284"/>
      <c r="H14" s="2434" t="s">
        <v>2370</v>
      </c>
      <c r="I14" s="684" t="s">
        <v>918</v>
      </c>
      <c r="J14" s="313">
        <f ca="1">C29</f>
        <v>1942</v>
      </c>
      <c r="K14" s="303"/>
      <c r="L14" s="699"/>
      <c r="M14" s="700"/>
    </row>
    <row r="15" spans="1:37" s="705" customFormat="1" ht="18" customHeight="1" thickBot="1">
      <c r="A15" s="2434" t="s">
        <v>2603</v>
      </c>
      <c r="B15" s="684" t="s">
        <v>357</v>
      </c>
      <c r="C15" s="313">
        <f ca="1">ROUND(C14*F15,0)</f>
        <v>43</v>
      </c>
      <c r="D15" s="703" t="s">
        <v>919</v>
      </c>
      <c r="E15" s="703" t="s">
        <v>920</v>
      </c>
      <c r="F15" s="704">
        <f>'数据-取费表'!B33</f>
        <v>0.03</v>
      </c>
      <c r="G15" s="2285"/>
      <c r="H15" s="2674" t="s">
        <v>2377</v>
      </c>
      <c r="I15" s="2675" t="s">
        <v>916</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2604</v>
      </c>
      <c r="B16" s="684" t="s">
        <v>358</v>
      </c>
      <c r="C16" s="313">
        <f ca="1">ROUND(INDIRECT("'数据-取费表'!m"&amp;$G$1)*F16,0)</f>
        <v>0</v>
      </c>
      <c r="D16" s="684" t="s">
        <v>919</v>
      </c>
      <c r="E16" s="684" t="s">
        <v>920</v>
      </c>
      <c r="F16" s="706">
        <f ca="1">IF(INDIRECT("'数据-取费表'!c"&amp;$G$1)="住宅",'数据-取费表'!B34,0)</f>
        <v>0</v>
      </c>
      <c r="G16" s="2284"/>
      <c r="H16" s="2662" t="s">
        <v>2335</v>
      </c>
      <c r="I16" s="2663" t="s">
        <v>921</v>
      </c>
      <c r="J16" s="692">
        <f ca="1">ROUND(J17+J22+J23+J24,0)</f>
        <v>46</v>
      </c>
      <c r="K16" s="2672" t="s">
        <v>922</v>
      </c>
      <c r="L16" s="2673"/>
      <c r="M16" s="2624"/>
    </row>
    <row r="17" spans="1:37" s="705" customFormat="1" ht="18" customHeight="1">
      <c r="A17" s="2434" t="s">
        <v>2605</v>
      </c>
      <c r="B17" s="684" t="s">
        <v>359</v>
      </c>
      <c r="C17" s="313">
        <f ca="1">ROUND(F17*(F43+INDIRECT("'数据-取费表'!S"&amp;$G$1))/10000,0)</f>
        <v>123</v>
      </c>
      <c r="D17" s="684" t="s">
        <v>923</v>
      </c>
      <c r="E17" s="684" t="s">
        <v>924</v>
      </c>
      <c r="F17" s="315">
        <f>'数据-取费表'!B35</f>
        <v>200</v>
      </c>
      <c r="G17" s="2285"/>
      <c r="H17" s="2434" t="s">
        <v>2370</v>
      </c>
      <c r="I17" s="684" t="s">
        <v>360</v>
      </c>
      <c r="J17" s="313">
        <f ca="1">ROUND(IF(项目基本情况!B11="自然人",J5*M17,J18+J19+J20),1)</f>
        <v>16.8</v>
      </c>
      <c r="K17" s="2211" t="s">
        <v>925</v>
      </c>
      <c r="L17" s="2209" t="s">
        <v>926</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2606</v>
      </c>
      <c r="B18" s="684" t="s">
        <v>361</v>
      </c>
      <c r="C18" s="313">
        <f ca="1">ROUND(C14*F18,0)</f>
        <v>21</v>
      </c>
      <c r="D18" s="684" t="s">
        <v>919</v>
      </c>
      <c r="E18" s="684" t="s">
        <v>920</v>
      </c>
      <c r="F18" s="706">
        <f>'数据-取费表'!B36</f>
        <v>1.4999999999999999E-2</v>
      </c>
      <c r="G18" s="2285"/>
      <c r="H18" s="2434" t="s">
        <v>2367</v>
      </c>
      <c r="I18" s="684" t="s">
        <v>927</v>
      </c>
      <c r="J18" s="313">
        <f ca="1">ROUND(J5*M18/(1+'数据-取费表'!C42),2)</f>
        <v>0</v>
      </c>
      <c r="K18" s="2209" t="s">
        <v>928</v>
      </c>
      <c r="L18" s="684" t="s">
        <v>920</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2537</v>
      </c>
      <c r="B19" s="684" t="s">
        <v>363</v>
      </c>
      <c r="C19" s="313">
        <f ca="1">SUM(C14:C18)</f>
        <v>1604</v>
      </c>
      <c r="D19" s="471" t="s">
        <v>929</v>
      </c>
      <c r="E19" s="2219"/>
      <c r="F19" s="315"/>
      <c r="G19" s="2284"/>
      <c r="H19" s="2434" t="s">
        <v>2603</v>
      </c>
      <c r="I19" s="684" t="s">
        <v>930</v>
      </c>
      <c r="J19" s="313">
        <f ca="1">IF(K19="按租金收入计税",ROUND(J5*M19,2),ROUND(C29*M19*0.7,2))</f>
        <v>16.309999999999999</v>
      </c>
      <c r="K19" s="1298" t="s">
        <v>2410</v>
      </c>
      <c r="L19" s="684" t="s">
        <v>920</v>
      </c>
      <c r="M19" s="706">
        <f>IF(K19="按租金收入计税",'数据-取费表'!B51,'数据-取费表'!B50)</f>
        <v>1.2E-2</v>
      </c>
    </row>
    <row r="20" spans="1:37" s="705" customFormat="1" ht="18" customHeight="1">
      <c r="A20" s="2434" t="s">
        <v>2607</v>
      </c>
      <c r="B20" s="684" t="s">
        <v>364</v>
      </c>
      <c r="C20" s="313">
        <f ca="1">ROUND(C19*F20,0)</f>
        <v>32</v>
      </c>
      <c r="D20" s="708" t="s">
        <v>931</v>
      </c>
      <c r="E20" s="684" t="s">
        <v>920</v>
      </c>
      <c r="F20" s="706">
        <f>'数据-取费表'!B37</f>
        <v>0.02</v>
      </c>
      <c r="G20" s="2285"/>
      <c r="H20" s="2434" t="s">
        <v>2604</v>
      </c>
      <c r="I20" s="496" t="s">
        <v>932</v>
      </c>
      <c r="J20" s="314">
        <f ca="1">ROUND(M20*M21/10000,2)</f>
        <v>0.46</v>
      </c>
      <c r="K20" s="709" t="s">
        <v>933</v>
      </c>
      <c r="L20" s="684" t="s">
        <v>934</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2608</v>
      </c>
      <c r="B21" s="684" t="s">
        <v>935</v>
      </c>
      <c r="C21" s="313" t="s">
        <v>71</v>
      </c>
      <c r="D21" s="708" t="s">
        <v>936</v>
      </c>
      <c r="E21" s="684" t="s">
        <v>937</v>
      </c>
      <c r="F21" s="706">
        <f>'数据-取费表'!B38</f>
        <v>0.02</v>
      </c>
      <c r="G21" s="2285"/>
      <c r="H21" s="711"/>
      <c r="I21" s="693"/>
      <c r="J21" s="318"/>
      <c r="K21" s="712"/>
      <c r="L21" s="684" t="s">
        <v>938</v>
      </c>
      <c r="M21" s="685">
        <f ca="1">INDIRECT("'数据-取费表'!r"&amp;$G$1)</f>
        <v>3083.42</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2609</v>
      </c>
      <c r="B22" s="684" t="s">
        <v>939</v>
      </c>
      <c r="C22" s="313"/>
      <c r="D22" s="2697" t="str">
        <f>IF(F23&lt;=1,"单利计息。","复利计息。")&amp;"建造成本、管理费用、销售费用产生的利息。"</f>
        <v>复利计息。建造成本、管理费用、销售费用产生的利息。</v>
      </c>
      <c r="E22" s="2219"/>
      <c r="F22" s="315"/>
      <c r="G22" s="2284"/>
      <c r="H22" s="2434" t="s">
        <v>2377</v>
      </c>
      <c r="I22" s="684" t="s">
        <v>940</v>
      </c>
      <c r="J22" s="313">
        <f ca="1">ROUND(J14*M22,1)</f>
        <v>29.1</v>
      </c>
      <c r="K22" s="2209" t="s">
        <v>941</v>
      </c>
      <c r="L22" s="684" t="s">
        <v>920</v>
      </c>
      <c r="M22" s="713">
        <f ca="1">INDIRECT("'数据-取费表'!Ak"&amp;$G$1)</f>
        <v>1.4999999999999999E-2</v>
      </c>
    </row>
    <row r="23" spans="1:37" s="705" customFormat="1" ht="18" customHeight="1">
      <c r="A23" s="2434" t="s">
        <v>2367</v>
      </c>
      <c r="B23" s="684" t="s">
        <v>2523</v>
      </c>
      <c r="C23" s="313">
        <f ca="1">IF('数据-取费表'!B22&lt;=1,ROUND(C19*F24*F23/2,0)+ROUND(C20*F24*F23/2,0),ROUND(C19*(POWER((1+F24),F23/2)-1),0)+ROUND(C20*(POWER((1+F24),F23/2)-1),0))</f>
        <v>78</v>
      </c>
      <c r="D23" s="2701" t="str">
        <f>IF(F23&lt;=1,"(建造成本+管理费用)×利率×(建设周期÷2)","(建造成本+管理费用)×((1+利率)^(建设周期÷2)-1)")</f>
        <v>(建造成本+管理费用)×((1+利率)^(建设周期÷2)-1)</v>
      </c>
      <c r="E23" s="684" t="s">
        <v>942</v>
      </c>
      <c r="F23" s="710">
        <f>'数据-取费表'!B20</f>
        <v>2</v>
      </c>
      <c r="G23" s="2285"/>
      <c r="H23" s="2434" t="s">
        <v>2608</v>
      </c>
      <c r="I23" s="684" t="s">
        <v>365</v>
      </c>
      <c r="J23" s="313">
        <f ca="1">ROUND(J13*M23,1)</f>
        <v>0</v>
      </c>
      <c r="K23" s="2209" t="s">
        <v>943</v>
      </c>
      <c r="L23" s="684" t="s">
        <v>920</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2373</v>
      </c>
      <c r="B24" s="684" t="s">
        <v>944</v>
      </c>
      <c r="C24" s="313">
        <f ca="1">ROUND(IF('数据-取费表'!B22&lt;=1,F21*F24*F23/2,F21*(POWER((1+F24),F23/2)-1)),4)</f>
        <v>1E-3</v>
      </c>
      <c r="D24" s="2701" t="str">
        <f>IF(F23&lt;=1,"销售费用×利率×(建设周期÷2)","销售费用×((1+利率)^(建设周期÷2)-1)")</f>
        <v>销售费用×((1+利率)^(建设周期÷2)-1)</v>
      </c>
      <c r="E24" s="684" t="s">
        <v>945</v>
      </c>
      <c r="F24" s="716">
        <f ca="1">'数据-取费表'!B40</f>
        <v>4.7500000000000001E-2</v>
      </c>
      <c r="G24" s="2285"/>
      <c r="H24" s="2674" t="s">
        <v>2609</v>
      </c>
      <c r="I24" s="2675" t="s">
        <v>364</v>
      </c>
      <c r="J24" s="2676">
        <f ca="1">ROUND(J5*M24,1)</f>
        <v>0</v>
      </c>
      <c r="K24" s="2677" t="s">
        <v>946</v>
      </c>
      <c r="L24" s="2675" t="s">
        <v>920</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2374</v>
      </c>
      <c r="B25" s="684" t="s">
        <v>369</v>
      </c>
      <c r="C25" s="313"/>
      <c r="D25" s="471" t="s">
        <v>947</v>
      </c>
      <c r="E25" s="2219"/>
      <c r="F25" s="315"/>
      <c r="G25" s="2284"/>
      <c r="H25" s="2662" t="s">
        <v>2350</v>
      </c>
      <c r="I25" s="2679" t="s">
        <v>948</v>
      </c>
      <c r="J25" s="692">
        <f ca="1">J5-J16</f>
        <v>-46</v>
      </c>
      <c r="K25" s="2680" t="s">
        <v>949</v>
      </c>
      <c r="L25" s="2681"/>
      <c r="M25" s="2682"/>
    </row>
    <row r="26" spans="1:37" ht="18" customHeight="1">
      <c r="A26" s="2434" t="s">
        <v>2367</v>
      </c>
      <c r="B26" s="684" t="s">
        <v>2524</v>
      </c>
      <c r="C26" s="313">
        <f ca="1">ROUND((C19+C20)*F26,0)</f>
        <v>82</v>
      </c>
      <c r="D26" s="708" t="s">
        <v>950</v>
      </c>
      <c r="E26" s="695" t="s">
        <v>951</v>
      </c>
      <c r="F26" s="694">
        <f ca="1">INDIRECT("'数据-取费表'!q"&amp;$G$1)</f>
        <v>0.05</v>
      </c>
      <c r="G26" s="2284"/>
      <c r="H26" s="681" t="s">
        <v>2353</v>
      </c>
      <c r="I26" s="682" t="s">
        <v>952</v>
      </c>
      <c r="J26" s="683">
        <f ca="1">IF(J5&lt;&gt;0,ROUND(J25*(1-((1+M28)/(1+M26))^M27)/(M26-M28),0),0)</f>
        <v>0</v>
      </c>
      <c r="K26" s="709" t="s">
        <v>953</v>
      </c>
      <c r="L26" s="684" t="s">
        <v>959</v>
      </c>
      <c r="M26" s="694">
        <f ca="1">INDIRECT("'数据-取费表'!I"&amp;$G$1)</f>
        <v>5.5E-2</v>
      </c>
    </row>
    <row r="27" spans="1:37" ht="18" customHeight="1">
      <c r="A27" s="2434" t="s">
        <v>2373</v>
      </c>
      <c r="B27" s="684" t="s">
        <v>372</v>
      </c>
      <c r="C27" s="313">
        <f ca="1">ROUND(F21*F26,4)</f>
        <v>1E-3</v>
      </c>
      <c r="D27" s="708" t="s">
        <v>954</v>
      </c>
      <c r="E27" s="703"/>
      <c r="F27" s="704"/>
      <c r="G27" s="2284"/>
      <c r="H27" s="686"/>
      <c r="I27" s="687"/>
      <c r="J27" s="688"/>
      <c r="K27" s="717" t="s">
        <v>955</v>
      </c>
      <c r="L27" s="684" t="s">
        <v>960</v>
      </c>
      <c r="M27" s="718">
        <f ca="1">INDIRECT("'数据-取费表'!ag"&amp;$G$1)</f>
        <v>0</v>
      </c>
    </row>
    <row r="28" spans="1:37" s="705" customFormat="1" ht="18" customHeight="1">
      <c r="A28" s="2434" t="s">
        <v>2375</v>
      </c>
      <c r="B28" s="684" t="s">
        <v>373</v>
      </c>
      <c r="C28" s="313">
        <f>ROUND(F28/(1+'数据-取费表'!C42),4)</f>
        <v>5.33E-2</v>
      </c>
      <c r="D28" s="708" t="s">
        <v>961</v>
      </c>
      <c r="E28" s="684" t="s">
        <v>920</v>
      </c>
      <c r="F28" s="706">
        <f>'数据-取费表'!B41</f>
        <v>5.6000000000000001E-2</v>
      </c>
      <c r="G28" s="2285"/>
      <c r="H28" s="690"/>
      <c r="I28" s="691"/>
      <c r="J28" s="692"/>
      <c r="K28" s="712"/>
      <c r="L28" s="684" t="s">
        <v>962</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2376</v>
      </c>
      <c r="B29" s="2675" t="s">
        <v>963</v>
      </c>
      <c r="C29" s="2676">
        <f ca="1">ROUND((C19+C20+C23+C26)/(1-F21-C24-C27-C28),0)</f>
        <v>1942</v>
      </c>
      <c r="D29" s="2677"/>
      <c r="E29" s="2675"/>
      <c r="F29" s="2678"/>
      <c r="G29" s="2285"/>
      <c r="H29" s="719" t="s">
        <v>2360</v>
      </c>
      <c r="I29" s="720" t="s">
        <v>956</v>
      </c>
      <c r="J29" s="721">
        <f ca="1">ROUND(J26/(1+F40)^F41,0)</f>
        <v>0</v>
      </c>
      <c r="K29" s="722" t="s">
        <v>957</v>
      </c>
      <c r="L29" s="723"/>
      <c r="M29" s="724">
        <f ca="1">INDIRECT("'数据-取费表'!k"&amp;$G$1)</f>
        <v>5952.24</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2335</v>
      </c>
      <c r="B30" s="2663" t="s">
        <v>921</v>
      </c>
      <c r="C30" s="692">
        <f ca="1">ROUND(C31+C36+C37+C38,0)</f>
        <v>59</v>
      </c>
      <c r="D30" s="2672" t="s">
        <v>922</v>
      </c>
      <c r="E30" s="2673"/>
      <c r="F30" s="2624"/>
      <c r="G30" s="2284"/>
      <c r="H30" s="1275"/>
      <c r="I30" s="1276"/>
      <c r="J30" s="1277"/>
      <c r="K30" s="1278"/>
      <c r="L30" s="1279"/>
      <c r="M30" s="1280"/>
    </row>
    <row r="31" spans="1:37" ht="18" customHeight="1">
      <c r="A31" s="2434" t="s">
        <v>2537</v>
      </c>
      <c r="B31" s="684" t="s">
        <v>360</v>
      </c>
      <c r="C31" s="313">
        <f ca="1">ROUND(IF(项目基本情况!B11="自然人",C5*F31,C32+C33+C34),1)</f>
        <v>25.6</v>
      </c>
      <c r="D31" s="2211" t="s">
        <v>925</v>
      </c>
      <c r="E31" s="2209" t="s">
        <v>964</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2602</v>
      </c>
      <c r="B32" s="684" t="s">
        <v>927</v>
      </c>
      <c r="C32" s="313">
        <f ca="1">IF(项目基本情况!B11="自然人","——",ROUND(C5*F32/(1+'数据-取费表'!C42),2))</f>
        <v>8.8000000000000007</v>
      </c>
      <c r="D32" s="2209" t="s">
        <v>928</v>
      </c>
      <c r="E32" s="684" t="s">
        <v>920</v>
      </c>
      <c r="F32" s="716">
        <f>'数据-取费表'!B41</f>
        <v>5.6000000000000001E-2</v>
      </c>
      <c r="G32" s="2284"/>
      <c r="H32" s="1281"/>
      <c r="I32" s="1282"/>
      <c r="J32" s="1283"/>
      <c r="K32" s="1284"/>
      <c r="L32" s="1285"/>
      <c r="M32" s="1286"/>
    </row>
    <row r="33" spans="1:18" ht="18" customHeight="1">
      <c r="A33" s="2434" t="s">
        <v>2603</v>
      </c>
      <c r="B33" s="684" t="s">
        <v>930</v>
      </c>
      <c r="C33" s="313">
        <f ca="1">IF(项目基本情况!B11="自然人","——",IF(D33="按租金收入计税",ROUND(C5*F33,2),IF(D33="按房产原值计税",ROUND(C29*F33*0.7,2),INDIRECT("'数据-取费表'!Aj"&amp;$G$1))))</f>
        <v>16.309999999999999</v>
      </c>
      <c r="D33" s="1298" t="s">
        <v>2410</v>
      </c>
      <c r="E33" s="684" t="s">
        <v>362</v>
      </c>
      <c r="F33" s="706">
        <f>IF(D33="按票据","——",IF(D33="按租金收入计税",'数据-取费表'!B51,'数据-取费表'!B50))</f>
        <v>1.2E-2</v>
      </c>
      <c r="G33" s="2284"/>
      <c r="H33" s="1287"/>
      <c r="I33" s="2877"/>
      <c r="J33" s="2878"/>
      <c r="K33" s="1288"/>
      <c r="L33" s="1287"/>
      <c r="M33" s="1287"/>
    </row>
    <row r="34" spans="1:18" ht="18" customHeight="1">
      <c r="A34" s="2618" t="s">
        <v>2604</v>
      </c>
      <c r="B34" s="496" t="s">
        <v>965</v>
      </c>
      <c r="C34" s="314">
        <f ca="1">IF(项目基本情况!B11="自然人","——",ROUND(F34*F35/10000,2))</f>
        <v>0.46</v>
      </c>
      <c r="D34" s="709" t="s">
        <v>966</v>
      </c>
      <c r="E34" s="684" t="s">
        <v>967</v>
      </c>
      <c r="F34" s="710">
        <f>'数据-取费表'!B52</f>
        <v>1.5</v>
      </c>
      <c r="G34" s="2284"/>
      <c r="H34" s="1275"/>
      <c r="I34" s="2877"/>
      <c r="J34" s="2878"/>
      <c r="K34" s="1289"/>
      <c r="L34" s="1290"/>
      <c r="M34" s="1290"/>
    </row>
    <row r="35" spans="1:18" ht="18" customHeight="1">
      <c r="A35" s="2692"/>
      <c r="B35" s="2690"/>
      <c r="C35" s="318"/>
      <c r="D35" s="712"/>
      <c r="E35" s="684" t="s">
        <v>938</v>
      </c>
      <c r="F35" s="685">
        <f ca="1">INDIRECT("'数据-取费表'!r"&amp;$G$1)</f>
        <v>3083.42</v>
      </c>
      <c r="G35" s="2284"/>
      <c r="H35" s="1275"/>
      <c r="I35" s="2877"/>
      <c r="J35" s="2878"/>
      <c r="K35" s="1288"/>
      <c r="L35" s="1287"/>
      <c r="M35" s="1287"/>
    </row>
    <row r="36" spans="1:18" ht="18" customHeight="1">
      <c r="A36" s="2691" t="s">
        <v>2377</v>
      </c>
      <c r="B36" s="684" t="s">
        <v>940</v>
      </c>
      <c r="C36" s="313">
        <f ca="1">ROUND(C29*F36,1)</f>
        <v>29.1</v>
      </c>
      <c r="D36" s="2209" t="s">
        <v>970</v>
      </c>
      <c r="E36" s="684" t="s">
        <v>971</v>
      </c>
      <c r="F36" s="713">
        <f ca="1">INDIRECT("'数据-取费表'!Ak"&amp;$G$1)</f>
        <v>1.4999999999999999E-2</v>
      </c>
      <c r="G36" s="2284"/>
      <c r="H36" s="1287"/>
      <c r="I36" s="2877"/>
      <c r="J36" s="2878"/>
      <c r="K36" s="1291"/>
      <c r="L36" s="1287"/>
      <c r="M36" s="1287"/>
    </row>
    <row r="37" spans="1:18" ht="18" customHeight="1">
      <c r="A37" s="2434" t="s">
        <v>2608</v>
      </c>
      <c r="B37" s="684" t="s">
        <v>365</v>
      </c>
      <c r="C37" s="313">
        <f ca="1">ROUND(C13*F37,1)</f>
        <v>2.9</v>
      </c>
      <c r="D37" s="2209" t="s">
        <v>366</v>
      </c>
      <c r="E37" s="684" t="s">
        <v>367</v>
      </c>
      <c r="F37" s="715">
        <f ca="1">INDIRECT("'数据-取费表'!Al"&amp;$G$1)</f>
        <v>1.5E-3</v>
      </c>
      <c r="G37" s="2284"/>
      <c r="H37" s="1287"/>
      <c r="I37" s="2877"/>
      <c r="J37" s="2878"/>
      <c r="K37" s="1291"/>
      <c r="L37" s="1287"/>
      <c r="M37" s="1287"/>
    </row>
    <row r="38" spans="1:18" ht="18" customHeight="1" thickBot="1">
      <c r="A38" s="2674" t="s">
        <v>2609</v>
      </c>
      <c r="B38" s="2675" t="s">
        <v>364</v>
      </c>
      <c r="C38" s="2676">
        <f ca="1">ROUND(C5*F38,1)</f>
        <v>1.7</v>
      </c>
      <c r="D38" s="2677" t="s">
        <v>368</v>
      </c>
      <c r="E38" s="2675" t="s">
        <v>367</v>
      </c>
      <c r="F38" s="2671">
        <f ca="1">INDIRECT("'数据-取费表'!Am"&amp;$G$1)</f>
        <v>0.01</v>
      </c>
      <c r="G38" s="2284"/>
      <c r="H38" s="1287"/>
      <c r="I38" s="2877"/>
      <c r="J38" s="2878"/>
      <c r="K38" s="1292"/>
      <c r="L38" s="1287"/>
      <c r="M38" s="1287"/>
    </row>
    <row r="39" spans="1:18" ht="24.6" customHeight="1" thickTop="1">
      <c r="A39" s="2662" t="s">
        <v>2350</v>
      </c>
      <c r="B39" s="2679" t="s">
        <v>374</v>
      </c>
      <c r="C39" s="692">
        <f ca="1">C5-C30</f>
        <v>106</v>
      </c>
      <c r="D39" s="2680" t="s">
        <v>375</v>
      </c>
      <c r="E39" s="2681"/>
      <c r="F39" s="2682"/>
      <c r="G39" s="2284"/>
      <c r="H39" s="1287"/>
      <c r="I39" s="2877"/>
      <c r="J39" s="2878"/>
      <c r="K39" s="1292"/>
      <c r="L39" s="1287"/>
      <c r="M39" s="1287"/>
    </row>
    <row r="40" spans="1:18" ht="18" customHeight="1">
      <c r="A40" s="681" t="s">
        <v>2353</v>
      </c>
      <c r="B40" s="682" t="s">
        <v>376</v>
      </c>
      <c r="C40" s="683">
        <f ca="1">ROUND(C39*(1-((1+F42)/(1+F40))^F41)/(F40-F42),0)</f>
        <v>2628</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2360</v>
      </c>
      <c r="B43" s="720" t="s">
        <v>380</v>
      </c>
      <c r="C43" s="721">
        <f ca="1">ROUND(C40*10000/F43,0)</f>
        <v>4415</v>
      </c>
      <c r="D43" s="722" t="s">
        <v>381</v>
      </c>
      <c r="E43" s="723" t="s">
        <v>382</v>
      </c>
      <c r="F43" s="724">
        <f ca="1">INDIRECT("'数据-取费表'!k"&amp;$G$1)</f>
        <v>5952.24</v>
      </c>
      <c r="G43" s="2284"/>
      <c r="H43" s="1189"/>
      <c r="I43" s="1189"/>
      <c r="J43" s="1189"/>
      <c r="K43" s="1291"/>
      <c r="L43" s="1189"/>
      <c r="M43" s="1189"/>
    </row>
    <row r="44" spans="1:18" s="1451" customFormat="1" ht="18" customHeight="1">
      <c r="A44" s="1429"/>
      <c r="B44" s="1429"/>
      <c r="C44" s="1450"/>
      <c r="D44" s="1429">
        <f ca="1">C40/F7</f>
        <v>15.458823529411765</v>
      </c>
      <c r="E44" s="1429"/>
      <c r="F44" s="1429"/>
      <c r="K44" s="1452"/>
    </row>
    <row r="45" spans="1:18" s="1451" customFormat="1" ht="18" customHeight="1" thickBot="1">
      <c r="A45" s="1429"/>
      <c r="B45" s="1429"/>
      <c r="C45" s="1450"/>
      <c r="D45" s="1429"/>
      <c r="E45" s="1429"/>
      <c r="F45" s="1429"/>
      <c r="O45" s="2587" t="s">
        <v>2483</v>
      </c>
      <c r="P45" s="1293"/>
      <c r="Q45" s="1293"/>
      <c r="R45" s="1293"/>
    </row>
    <row r="46" spans="1:18" s="1451" customFormat="1" ht="21" thickBot="1">
      <c r="A46" s="2392" t="s">
        <v>2322</v>
      </c>
      <c r="B46" s="2393"/>
      <c r="C46" s="2721">
        <f ca="1">C68-C40</f>
        <v>-3448</v>
      </c>
      <c r="D46" s="2722" t="str">
        <f>C2</f>
        <v>万元</v>
      </c>
      <c r="E46" s="1429"/>
      <c r="F46" s="1429"/>
      <c r="I46" s="2574" t="s">
        <v>2418</v>
      </c>
      <c r="J46" s="2575"/>
      <c r="K46" s="2576"/>
      <c r="L46" s="2578" t="str">
        <f ca="1">IF(M47="住宅",0,IF(L48&gt;J51,L60,J60))</f>
        <v>0</v>
      </c>
      <c r="O46" s="2590" t="s">
        <v>2461</v>
      </c>
      <c r="P46" s="2591" t="s">
        <v>2462</v>
      </c>
      <c r="Q46" s="2592" t="s">
        <v>2460</v>
      </c>
      <c r="R46" s="2592" t="s">
        <v>2463</v>
      </c>
    </row>
    <row r="47" spans="1:18" s="1451" customFormat="1" ht="15.75" thickBot="1">
      <c r="A47" s="2394" t="s">
        <v>2324</v>
      </c>
      <c r="B47" s="2430" t="s">
        <v>2325</v>
      </c>
      <c r="C47" s="2726" t="s">
        <v>2326</v>
      </c>
      <c r="D47" s="2430" t="s">
        <v>2327</v>
      </c>
      <c r="E47" s="2533" t="s">
        <v>2328</v>
      </c>
      <c r="F47" s="2534"/>
      <c r="G47" s="1453"/>
      <c r="I47" s="2549" t="s">
        <v>2411</v>
      </c>
      <c r="J47" s="2550" t="s">
        <v>3325</v>
      </c>
      <c r="K47" s="2559" t="s">
        <v>2434</v>
      </c>
      <c r="L47" s="2560">
        <f ca="1">INDIRECT("'数据-取费表'!d"&amp;$G$1)</f>
        <v>50</v>
      </c>
      <c r="M47" s="2580" t="str">
        <f>IF(ISNUMBER(FIND("住宅",C1)),"住宅","非住宅")</f>
        <v>非住宅</v>
      </c>
      <c r="O47" s="2583" t="s">
        <v>2446</v>
      </c>
      <c r="P47" s="2593" t="s">
        <v>2464</v>
      </c>
      <c r="Q47" s="2584">
        <f ca="1">C40+J29</f>
        <v>2628</v>
      </c>
      <c r="R47" s="2584" t="s">
        <v>2465</v>
      </c>
    </row>
    <row r="48" spans="1:18" s="1451" customFormat="1" ht="47.25" thickBot="1">
      <c r="A48" s="2707" t="s">
        <v>2614</v>
      </c>
      <c r="B48" s="682" t="s">
        <v>2329</v>
      </c>
      <c r="C48" s="2717">
        <f ca="1">C49+C53+C55</f>
        <v>0</v>
      </c>
      <c r="D48" s="2711"/>
      <c r="E48" s="2712"/>
      <c r="F48" s="2414"/>
      <c r="G48" s="1453"/>
      <c r="H48" s="1454"/>
      <c r="I48" s="2540" t="s">
        <v>2412</v>
      </c>
      <c r="J48" s="2551" t="s">
        <v>2413</v>
      </c>
      <c r="K48" s="2561" t="s">
        <v>2435</v>
      </c>
      <c r="L48" s="2164">
        <f ca="1">INDIRECT("'数据-取费表'!f"&amp;$G$1)</f>
        <v>47.21</v>
      </c>
      <c r="O48" s="2583" t="s">
        <v>2447</v>
      </c>
      <c r="P48" s="2593" t="s">
        <v>2466</v>
      </c>
      <c r="Q48" s="2584" t="str">
        <f ca="1">J60</f>
        <v>0</v>
      </c>
      <c r="R48" s="2584" t="s">
        <v>2474</v>
      </c>
    </row>
    <row r="49" spans="1:18" s="1451" customFormat="1" ht="15.75" thickBot="1">
      <c r="A49" s="2427" t="s">
        <v>2615</v>
      </c>
      <c r="B49" s="2710" t="s">
        <v>2617</v>
      </c>
      <c r="C49" s="2719">
        <f ca="1">ROUND(F49*F51*F50*(1-F52)/10000,0)</f>
        <v>0</v>
      </c>
      <c r="D49" s="2529" t="s">
        <v>2330</v>
      </c>
      <c r="E49" s="2532" t="s">
        <v>2323</v>
      </c>
      <c r="F49" s="2535"/>
      <c r="G49" s="1455"/>
      <c r="H49" s="1454"/>
      <c r="I49" s="2540" t="s">
        <v>2432</v>
      </c>
      <c r="J49" s="2552"/>
      <c r="K49" s="2562" t="s">
        <v>2437</v>
      </c>
      <c r="L49" s="2563"/>
      <c r="O49" s="2585" t="s">
        <v>2448</v>
      </c>
      <c r="P49" s="2593" t="s">
        <v>2467</v>
      </c>
      <c r="Q49" s="2584">
        <f ca="1">C29</f>
        <v>1942</v>
      </c>
      <c r="R49" s="2584" t="s">
        <v>2465</v>
      </c>
    </row>
    <row r="50" spans="1:18" s="1451" customFormat="1" ht="15.75" thickBot="1">
      <c r="A50" s="2428"/>
      <c r="B50" s="2431"/>
      <c r="C50" s="2727"/>
      <c r="D50" s="2401"/>
      <c r="E50" s="2530" t="s">
        <v>2331</v>
      </c>
      <c r="F50" s="2531">
        <f ca="1">F7</f>
        <v>170</v>
      </c>
      <c r="H50" s="1454"/>
      <c r="I50" s="2540" t="s">
        <v>2414</v>
      </c>
      <c r="J50" s="2553">
        <f>SUMPRODUCT((I63:I65=J47)*(J62:L62=J48)*(J63:L65))</f>
        <v>60</v>
      </c>
      <c r="K50" s="2562" t="s">
        <v>2438</v>
      </c>
      <c r="L50" s="2563"/>
      <c r="M50" s="2557"/>
      <c r="O50" s="2585" t="s">
        <v>2449</v>
      </c>
      <c r="P50" s="2593" t="s">
        <v>2475</v>
      </c>
      <c r="Q50" s="2586" t="e">
        <f ca="1">J58</f>
        <v>#VALUE!</v>
      </c>
      <c r="R50" s="2584"/>
    </row>
    <row r="51" spans="1:18" s="1451" customFormat="1" ht="15.75" thickBot="1">
      <c r="A51" s="2429"/>
      <c r="B51" s="2431"/>
      <c r="C51" s="2432"/>
      <c r="D51" s="2401"/>
      <c r="E51" s="2433" t="s">
        <v>2332</v>
      </c>
      <c r="F51" s="685">
        <f ca="1">F8</f>
        <v>12</v>
      </c>
      <c r="I51" s="2554" t="s">
        <v>2419</v>
      </c>
      <c r="J51" s="2555">
        <f>IF(J49="",J50,J49+J50-YEAR('数据-取费表'!B2))</f>
        <v>60</v>
      </c>
      <c r="K51" s="2564" t="s">
        <v>2439</v>
      </c>
      <c r="L51" s="2577">
        <f ca="1">ROUND(-PV(INDIRECT("'数据-取费表'!h"&amp;$G$1),L48,(C39-C13*C76),0),0)</f>
        <v>-889</v>
      </c>
      <c r="M51" s="2558"/>
      <c r="O51" s="2585" t="s">
        <v>2450</v>
      </c>
      <c r="P51" s="2593" t="s">
        <v>2476</v>
      </c>
      <c r="Q51" s="2586">
        <f>J52</f>
        <v>0</v>
      </c>
      <c r="R51" s="2584"/>
    </row>
    <row r="52" spans="1:18" s="1451" customFormat="1" ht="15.75" thickBot="1">
      <c r="A52" s="2429"/>
      <c r="B52" s="2431"/>
      <c r="C52" s="2432"/>
      <c r="D52" s="2401"/>
      <c r="E52" s="2433" t="s">
        <v>2333</v>
      </c>
      <c r="F52" s="2528"/>
      <c r="I52" s="2556" t="s">
        <v>2442</v>
      </c>
      <c r="J52" s="2570"/>
      <c r="K52" s="2556" t="s">
        <v>2427</v>
      </c>
      <c r="L52" s="2570"/>
      <c r="M52" s="2393"/>
      <c r="O52" s="2585" t="s">
        <v>2451</v>
      </c>
      <c r="P52" s="2593" t="s">
        <v>2468</v>
      </c>
      <c r="Q52" s="2584">
        <f ca="1">J53</f>
        <v>47.21</v>
      </c>
      <c r="R52" s="2584" t="s">
        <v>2469</v>
      </c>
    </row>
    <row r="53" spans="1:18" s="1451" customFormat="1" ht="43.5" thickBot="1">
      <c r="A53" s="2822" t="s">
        <v>2616</v>
      </c>
      <c r="B53" s="433" t="s">
        <v>2526</v>
      </c>
      <c r="C53" s="698">
        <f>ROUND(IF(F53="押一",F49*F51*F50/12*F11,IF(F53="押二",F49*F51*F50/12*2*F11,IF(F53="押三",F49*F51*F50/12*3*F11,C54*F11)))/10000,0)</f>
        <v>0</v>
      </c>
      <c r="D53" s="2630" t="s">
        <v>2534</v>
      </c>
      <c r="E53" s="2093" t="s">
        <v>2528</v>
      </c>
      <c r="F53" s="2824"/>
      <c r="I53" s="2566" t="s">
        <v>2444</v>
      </c>
      <c r="J53" s="2567">
        <f ca="1">IF(M47="住宅",J51,MIN(J51,L48))</f>
        <v>47.21</v>
      </c>
      <c r="K53" s="3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9"/>
      <c r="O53" s="2583" t="s">
        <v>2452</v>
      </c>
      <c r="P53" s="2593" t="s">
        <v>2470</v>
      </c>
      <c r="Q53" s="2584">
        <f ca="1">Q47+Q48</f>
        <v>2628</v>
      </c>
      <c r="R53" s="2584" t="s">
        <v>2453</v>
      </c>
    </row>
    <row r="54" spans="1:18" s="1451" customFormat="1" ht="16.5" thickBot="1">
      <c r="A54" s="2823"/>
      <c r="B54" s="2620" t="s">
        <v>2692</v>
      </c>
      <c r="C54" s="2411"/>
      <c r="D54" s="2630"/>
      <c r="E54" s="2774"/>
      <c r="F54" s="2536"/>
      <c r="I54" s="2408"/>
      <c r="J54" s="2565"/>
      <c r="K54" s="2565"/>
      <c r="L54" s="2565"/>
      <c r="M54" s="1455"/>
      <c r="O54" s="2587" t="s">
        <v>2477</v>
      </c>
      <c r="P54" s="1293"/>
      <c r="Q54" s="1293"/>
      <c r="R54" s="1293"/>
    </row>
    <row r="55" spans="1:18" s="1451" customFormat="1" ht="15.75" thickBot="1">
      <c r="A55" s="2666" t="s">
        <v>2539</v>
      </c>
      <c r="B55" s="2667" t="s">
        <v>2527</v>
      </c>
      <c r="C55" s="2668"/>
      <c r="D55" s="2630"/>
      <c r="E55" s="2706"/>
      <c r="F55" s="2536"/>
      <c r="I55" s="3309" t="s">
        <v>2420</v>
      </c>
      <c r="J55" s="3308" t="e">
        <f ca="1">ROUND(IF(J47="钢混",J57/J50,1-(1-2%)*(J50-J57)/J50),3)</f>
        <v>#VALUE!</v>
      </c>
      <c r="K55" s="2547" t="s">
        <v>2421</v>
      </c>
      <c r="L55" s="2569"/>
      <c r="O55" s="2590" t="s">
        <v>2461</v>
      </c>
      <c r="P55" s="2591" t="s">
        <v>2462</v>
      </c>
      <c r="Q55" s="2592" t="s">
        <v>2460</v>
      </c>
      <c r="R55" s="2592" t="s">
        <v>2463</v>
      </c>
    </row>
    <row r="56" spans="1:18" s="1451" customFormat="1" ht="44.25" thickTop="1" thickBot="1">
      <c r="A56" s="2405">
        <v>2</v>
      </c>
      <c r="B56" s="2406" t="s">
        <v>2334</v>
      </c>
      <c r="C56" s="608">
        <f ca="1">C13</f>
        <v>1942</v>
      </c>
      <c r="D56" s="2694"/>
      <c r="E56" s="2407"/>
      <c r="F56" s="2536"/>
      <c r="I56" s="2539" t="s">
        <v>2422</v>
      </c>
      <c r="J56" s="2568" t="s">
        <v>3051</v>
      </c>
      <c r="K56" s="2540" t="s">
        <v>2426</v>
      </c>
      <c r="L56" s="2164" t="str">
        <f ca="1">IF(L48&lt;J51,"——",L48-J51)</f>
        <v>——</v>
      </c>
      <c r="O56" s="2583" t="s">
        <v>2446</v>
      </c>
      <c r="P56" s="2593" t="s">
        <v>2464</v>
      </c>
      <c r="Q56" s="2584">
        <f ca="1">C40+J29</f>
        <v>2628</v>
      </c>
      <c r="R56" s="2584" t="s">
        <v>2465</v>
      </c>
    </row>
    <row r="57" spans="1:18" s="1451" customFormat="1" ht="29.25" thickBot="1">
      <c r="A57" s="2537"/>
      <c r="B57" s="2398" t="s">
        <v>2364</v>
      </c>
      <c r="C57" s="614">
        <f ca="1">C29</f>
        <v>1942</v>
      </c>
      <c r="D57" s="2409"/>
      <c r="E57" s="2410"/>
      <c r="F57" s="2538"/>
      <c r="I57" s="2541" t="s">
        <v>2443</v>
      </c>
      <c r="J57" s="2545" t="str">
        <f ca="1">IF(OR(M47="住宅",J51&lt;L48,J56="是"),"——",J51-L48)</f>
        <v>——</v>
      </c>
      <c r="K57" s="2540" t="s">
        <v>2895</v>
      </c>
      <c r="L57" s="2164" t="str">
        <f ca="1">IF(L48&lt;J51,"——",IF(L55="比较法",L49,IF(L55="基准地价",L50,L51)))</f>
        <v>——</v>
      </c>
      <c r="O57" s="2583" t="s">
        <v>2447</v>
      </c>
      <c r="P57" s="2593" t="s">
        <v>2471</v>
      </c>
      <c r="Q57" s="2584">
        <f ca="1">L60</f>
        <v>0</v>
      </c>
      <c r="R57" s="2584" t="s">
        <v>2486</v>
      </c>
    </row>
    <row r="58" spans="1:18" s="1451" customFormat="1" ht="29.25" thickBot="1">
      <c r="A58" s="697" t="s">
        <v>2335</v>
      </c>
      <c r="B58" s="2406" t="s">
        <v>2365</v>
      </c>
      <c r="C58" s="698">
        <f ca="1">ROUND(C59+C64+C65+C66,0)</f>
        <v>49</v>
      </c>
      <c r="D58" s="2412" t="s">
        <v>2366</v>
      </c>
      <c r="E58" s="2413"/>
      <c r="F58" s="2414"/>
      <c r="I58" s="2541" t="s">
        <v>2423</v>
      </c>
      <c r="J58" s="3310" t="e">
        <f ca="1">IF(J55&lt;0.4,0.4,J55)</f>
        <v>#VALUE!</v>
      </c>
      <c r="K58" s="2564" t="s">
        <v>2896</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1" customFormat="1" ht="29.25" thickBot="1">
      <c r="A59" s="2434" t="s">
        <v>2370</v>
      </c>
      <c r="B59" s="2398" t="s">
        <v>360</v>
      </c>
      <c r="C59" s="313">
        <f ca="1">ROUND(IF(项目基本情况!B11="自然人",C48*F59,C60+C61+C62),1)</f>
        <v>16.8</v>
      </c>
      <c r="D59" s="2415" t="s">
        <v>2336</v>
      </c>
      <c r="E59" s="2416" t="s">
        <v>2337</v>
      </c>
      <c r="F59" s="707" t="str">
        <f ca="1">IF(项目基本情况!B11="企业","",IF(INDIRECT("'数据-取费表'!c"&amp;$G$1)="住宅",5%,IF(F49*F50*F51/12/(1+'数据-取费表'!C42)&gt;20000,12%,7%)))</f>
        <v/>
      </c>
      <c r="I59" s="2541" t="s">
        <v>2424</v>
      </c>
      <c r="J59" s="2545" t="str">
        <f ca="1">IF(OR(M47="住宅",J51&lt;L48,J56="是"),"——",ROUND(C29*J58,0))</f>
        <v>——</v>
      </c>
      <c r="K59" s="2564" t="s">
        <v>2897</v>
      </c>
      <c r="L59" s="2164">
        <f ca="1">IF(ISERROR(POWER(1+L52,L47-J51)*(POWER(1+L52,J51)-1)/(POWER(1+L52,L47)-1)),0,POWER(1+L52,L47-J51)*(POWER(1+L52,J51)-1)/(POWER(1+L52,L47)-1))</f>
        <v>0</v>
      </c>
      <c r="O59" s="2585" t="s">
        <v>2449</v>
      </c>
      <c r="P59" s="2593" t="s">
        <v>2479</v>
      </c>
      <c r="Q59" s="2586">
        <f>L52</f>
        <v>0</v>
      </c>
      <c r="R59" s="2584"/>
    </row>
    <row r="60" spans="1:18" s="1451" customFormat="1" ht="20.25" thickBot="1">
      <c r="A60" s="2434" t="s">
        <v>2367</v>
      </c>
      <c r="B60" s="2398" t="s">
        <v>2338</v>
      </c>
      <c r="C60" s="313">
        <f ca="1">IF(项目基本情况!B11="自然人","——",ROUND(C48*F60/(1+'数据-取费表'!C42),2))</f>
        <v>0</v>
      </c>
      <c r="D60" s="2416" t="s">
        <v>2339</v>
      </c>
      <c r="E60" s="2398" t="s">
        <v>2340</v>
      </c>
      <c r="F60" s="716">
        <f t="shared" ref="F60:F66" si="0">F32</f>
        <v>5.6000000000000001E-2</v>
      </c>
      <c r="I60" s="2542" t="s">
        <v>2425</v>
      </c>
      <c r="J60" s="2546" t="str">
        <f ca="1">IF(OR(M47="住宅",J51&lt;L48,J56="是"),"0",ROUND(J59/(1+J52)^J53,0))</f>
        <v>0</v>
      </c>
      <c r="K60" s="2548" t="s">
        <v>2428</v>
      </c>
      <c r="L60" s="2546">
        <f ca="1">IF(OR(M47="住宅",L48&lt;J51),0,ROUND(L57*(L58/L59-1),0))</f>
        <v>0</v>
      </c>
      <c r="O60" s="2585" t="s">
        <v>2450</v>
      </c>
      <c r="P60" s="2593" t="s">
        <v>2480</v>
      </c>
      <c r="Q60" s="2584">
        <f ca="1">L58</f>
        <v>0</v>
      </c>
      <c r="R60" s="2584" t="s">
        <v>2455</v>
      </c>
    </row>
    <row r="61" spans="1:18" s="1451" customFormat="1" ht="20.25" thickBot="1">
      <c r="A61" s="2434" t="s">
        <v>2368</v>
      </c>
      <c r="B61" s="2398" t="s">
        <v>2341</v>
      </c>
      <c r="C61" s="313">
        <f ca="1">IF(项目基本情况!B11="自然人","——",IF(D61="按租金收入计税",ROUND(C48*F61,2),IF(D61="按房产原值计税",ROUND(C57*F61*0.7,2),INDIRECT("'数据-取费表'!Aj"&amp;$G$1))))</f>
        <v>16.309999999999999</v>
      </c>
      <c r="D61" s="1298" t="s">
        <v>2410</v>
      </c>
      <c r="E61" s="2398" t="s">
        <v>2340</v>
      </c>
      <c r="F61" s="706">
        <f t="shared" si="0"/>
        <v>1.2E-2</v>
      </c>
      <c r="I61" s="2408"/>
      <c r="J61" s="2408"/>
      <c r="K61" s="2408"/>
      <c r="L61" s="2408"/>
      <c r="O61" s="2585" t="s">
        <v>2451</v>
      </c>
      <c r="P61" s="2593" t="s">
        <v>2481</v>
      </c>
      <c r="Q61" s="2584">
        <f ca="1">L59</f>
        <v>0</v>
      </c>
      <c r="R61" s="2584" t="s">
        <v>2456</v>
      </c>
    </row>
    <row r="62" spans="1:18" s="1451" customFormat="1" ht="15.75" thickBot="1">
      <c r="A62" s="2434" t="s">
        <v>2369</v>
      </c>
      <c r="B62" s="2397" t="s">
        <v>2342</v>
      </c>
      <c r="C62" s="314">
        <f ca="1">IF(项目基本情况!B11="自然人","——",ROUND(F62*F63/10000,2))</f>
        <v>0.46</v>
      </c>
      <c r="D62" s="2417" t="s">
        <v>2343</v>
      </c>
      <c r="E62" s="2398" t="s">
        <v>2344</v>
      </c>
      <c r="F62" s="710">
        <f t="shared" si="0"/>
        <v>1.5</v>
      </c>
      <c r="I62" s="2543" t="s">
        <v>2415</v>
      </c>
      <c r="J62" s="2544" t="s">
        <v>2416</v>
      </c>
      <c r="K62" s="2544" t="s">
        <v>2417</v>
      </c>
      <c r="L62" s="2544" t="s">
        <v>2413</v>
      </c>
      <c r="M62" s="3311" t="s">
        <v>3034</v>
      </c>
      <c r="O62" s="2583" t="s">
        <v>2452</v>
      </c>
      <c r="P62" s="2593" t="s">
        <v>2470</v>
      </c>
      <c r="Q62" s="2584">
        <f ca="1">Q56+Q57</f>
        <v>2628</v>
      </c>
      <c r="R62" s="2584" t="s">
        <v>2453</v>
      </c>
    </row>
    <row r="63" spans="1:18" s="1451" customFormat="1" ht="16.5" thickBot="1">
      <c r="A63" s="711"/>
      <c r="B63" s="2404"/>
      <c r="C63" s="318"/>
      <c r="D63" s="2418"/>
      <c r="E63" s="2398" t="s">
        <v>2345</v>
      </c>
      <c r="F63" s="685">
        <f t="shared" ca="1" si="0"/>
        <v>3083.42</v>
      </c>
      <c r="I63" s="2543" t="s">
        <v>2429</v>
      </c>
      <c r="J63" s="3314">
        <v>70</v>
      </c>
      <c r="K63" s="3314">
        <v>50</v>
      </c>
      <c r="L63" s="3314">
        <v>80</v>
      </c>
      <c r="M63" s="3312">
        <v>0.02</v>
      </c>
      <c r="O63" s="2587" t="s">
        <v>2484</v>
      </c>
      <c r="P63" s="1293"/>
      <c r="Q63" s="1293"/>
      <c r="R63" s="1293"/>
    </row>
    <row r="64" spans="1:18" s="1451" customFormat="1" ht="15.75" thickBot="1">
      <c r="A64" s="2434" t="s">
        <v>2377</v>
      </c>
      <c r="B64" s="2398" t="s">
        <v>2346</v>
      </c>
      <c r="C64" s="313">
        <f ca="1">ROUND(C57*F64,1)</f>
        <v>29.1</v>
      </c>
      <c r="D64" s="2416" t="s">
        <v>2347</v>
      </c>
      <c r="E64" s="2398" t="s">
        <v>2340</v>
      </c>
      <c r="F64" s="713">
        <f t="shared" ca="1" si="0"/>
        <v>1.4999999999999999E-2</v>
      </c>
      <c r="I64" s="2543" t="s">
        <v>2430</v>
      </c>
      <c r="J64" s="3314">
        <v>50</v>
      </c>
      <c r="K64" s="3314">
        <v>35</v>
      </c>
      <c r="L64" s="3314">
        <v>60</v>
      </c>
      <c r="M64" s="3313">
        <v>0</v>
      </c>
      <c r="O64" s="2590" t="s">
        <v>2461</v>
      </c>
      <c r="P64" s="2591" t="s">
        <v>2462</v>
      </c>
      <c r="Q64" s="2592" t="s">
        <v>2460</v>
      </c>
      <c r="R64" s="2592" t="s">
        <v>2463</v>
      </c>
    </row>
    <row r="65" spans="1:18" s="1451" customFormat="1" ht="15.75" thickBot="1">
      <c r="A65" s="2434" t="s">
        <v>2371</v>
      </c>
      <c r="B65" s="2398" t="s">
        <v>365</v>
      </c>
      <c r="C65" s="313">
        <f ca="1">ROUND(C56*F65,1)</f>
        <v>2.9</v>
      </c>
      <c r="D65" s="2416" t="s">
        <v>2348</v>
      </c>
      <c r="E65" s="2398" t="s">
        <v>2340</v>
      </c>
      <c r="F65" s="715">
        <f t="shared" ca="1" si="0"/>
        <v>1.5E-3</v>
      </c>
      <c r="I65" s="2543" t="s">
        <v>2431</v>
      </c>
      <c r="J65" s="3314">
        <v>40</v>
      </c>
      <c r="K65" s="3314">
        <v>30</v>
      </c>
      <c r="L65" s="3314">
        <v>50</v>
      </c>
      <c r="M65" s="3312">
        <v>0.02</v>
      </c>
      <c r="O65" s="2583" t="s">
        <v>2446</v>
      </c>
      <c r="P65" s="2593" t="s">
        <v>2464</v>
      </c>
      <c r="Q65" s="2584">
        <f ca="1">C40+J29</f>
        <v>2628</v>
      </c>
      <c r="R65" s="2584" t="s">
        <v>2465</v>
      </c>
    </row>
    <row r="66" spans="1:18" s="1451" customFormat="1" ht="20.25" thickBot="1">
      <c r="A66" s="2434" t="s">
        <v>2372</v>
      </c>
      <c r="B66" s="2398" t="s">
        <v>364</v>
      </c>
      <c r="C66" s="313">
        <f ca="1">ROUND(C48*F66,1)</f>
        <v>0</v>
      </c>
      <c r="D66" s="2416" t="s">
        <v>2349</v>
      </c>
      <c r="E66" s="2398" t="s">
        <v>2340</v>
      </c>
      <c r="F66" s="694">
        <f t="shared" ca="1" si="0"/>
        <v>0.01</v>
      </c>
      <c r="O66" s="2583" t="s">
        <v>2447</v>
      </c>
      <c r="P66" s="2593" t="s">
        <v>2471</v>
      </c>
      <c r="Q66" s="2584">
        <f ca="1">L60</f>
        <v>0</v>
      </c>
      <c r="R66" s="2584" t="s">
        <v>2454</v>
      </c>
    </row>
    <row r="67" spans="1:18" s="1451" customFormat="1" ht="24.75" thickBot="1">
      <c r="A67" s="2405" t="s">
        <v>2350</v>
      </c>
      <c r="B67" s="2419" t="s">
        <v>2351</v>
      </c>
      <c r="C67" s="698">
        <f ca="1">C48-C58</f>
        <v>-49</v>
      </c>
      <c r="D67" s="2415" t="s">
        <v>2352</v>
      </c>
      <c r="E67" s="2420"/>
      <c r="F67" s="2421"/>
      <c r="O67" s="2585" t="s">
        <v>2448</v>
      </c>
      <c r="P67" s="2593" t="s">
        <v>2478</v>
      </c>
      <c r="Q67" s="2588">
        <f ca="1">L51</f>
        <v>-889</v>
      </c>
      <c r="R67" s="2589" t="s">
        <v>2488</v>
      </c>
    </row>
    <row r="68" spans="1:18" s="1451" customFormat="1" ht="20.25" thickBot="1">
      <c r="A68" s="2395" t="s">
        <v>2353</v>
      </c>
      <c r="B68" s="2396" t="s">
        <v>2354</v>
      </c>
      <c r="C68" s="683">
        <f ca="1">ROUND(C67*(1-((1+F70)/(1+F68))^F69)/(F68-F70),0)</f>
        <v>-820</v>
      </c>
      <c r="D68" s="2417" t="s">
        <v>2355</v>
      </c>
      <c r="E68" s="2398" t="s">
        <v>2356</v>
      </c>
      <c r="F68" s="694">
        <f ca="1">F40</f>
        <v>5.5E-2</v>
      </c>
      <c r="O68" s="2585" t="s">
        <v>2449</v>
      </c>
      <c r="P68" s="2594" t="s">
        <v>2482</v>
      </c>
      <c r="Q68" s="2584">
        <f ca="1">ROUND(Q69-Q70*Q71,0)</f>
        <v>-49</v>
      </c>
      <c r="R68" s="2584" t="s">
        <v>2487</v>
      </c>
    </row>
    <row r="69" spans="1:18" s="1451" customFormat="1" ht="15.75" thickBot="1">
      <c r="A69" s="2399"/>
      <c r="B69" s="2400"/>
      <c r="C69" s="688"/>
      <c r="D69" s="2422" t="s">
        <v>2357</v>
      </c>
      <c r="E69" s="2398" t="s">
        <v>2358</v>
      </c>
      <c r="F69" s="718">
        <f ca="1">F41</f>
        <v>47.21</v>
      </c>
      <c r="O69" s="2585" t="s">
        <v>2457</v>
      </c>
      <c r="P69" s="2594" t="s">
        <v>2472</v>
      </c>
      <c r="Q69" s="2584">
        <f ca="1">C39</f>
        <v>106</v>
      </c>
      <c r="R69" s="2584" t="s">
        <v>2465</v>
      </c>
    </row>
    <row r="70" spans="1:18" s="1451" customFormat="1" ht="15.75" thickBot="1">
      <c r="A70" s="2402"/>
      <c r="B70" s="2403"/>
      <c r="C70" s="692"/>
      <c r="D70" s="2418"/>
      <c r="E70" s="2398" t="s">
        <v>2359</v>
      </c>
      <c r="F70" s="2528"/>
      <c r="O70" s="2585" t="s">
        <v>2458</v>
      </c>
      <c r="P70" s="2594" t="s">
        <v>2473</v>
      </c>
      <c r="Q70" s="2584">
        <f ca="1">C13</f>
        <v>1942</v>
      </c>
      <c r="R70" s="2584" t="s">
        <v>2465</v>
      </c>
    </row>
    <row r="71" spans="1:18" s="1451" customFormat="1" ht="15.75" thickBot="1">
      <c r="A71" s="2423" t="s">
        <v>2360</v>
      </c>
      <c r="B71" s="2424" t="s">
        <v>2361</v>
      </c>
      <c r="C71" s="721">
        <f ca="1">ROUND(C68*10000/F71,0)</f>
        <v>-1378</v>
      </c>
      <c r="D71" s="2425" t="s">
        <v>2362</v>
      </c>
      <c r="E71" s="2426" t="s">
        <v>2363</v>
      </c>
      <c r="F71" s="724">
        <f ca="1">F43</f>
        <v>5952.24</v>
      </c>
      <c r="I71" s="2393"/>
      <c r="K71" s="2393"/>
      <c r="O71" s="2585" t="s">
        <v>2459</v>
      </c>
      <c r="P71" s="2594" t="s">
        <v>2485</v>
      </c>
      <c r="Q71" s="2586">
        <f ca="1">C76</f>
        <v>0.08</v>
      </c>
      <c r="R71" s="2584"/>
    </row>
    <row r="72" spans="1:18" s="1451" customFormat="1" ht="15.75" thickBot="1">
      <c r="B72" s="1456"/>
      <c r="C72" s="1456"/>
      <c r="I72" s="2393"/>
      <c r="O72" s="2585" t="s">
        <v>2450</v>
      </c>
      <c r="P72" s="2593" t="s">
        <v>2479</v>
      </c>
      <c r="Q72" s="2586">
        <f>L52</f>
        <v>0</v>
      </c>
      <c r="R72" s="2584"/>
    </row>
    <row r="73" spans="1:18" ht="20.25" thickBot="1">
      <c r="A73" s="1451"/>
      <c r="B73" s="1456"/>
      <c r="C73" s="1456"/>
      <c r="D73" s="1451"/>
      <c r="E73" s="1451"/>
      <c r="F73" s="1451"/>
      <c r="I73" s="2579"/>
      <c r="O73" s="2585" t="s">
        <v>2451</v>
      </c>
      <c r="P73" s="2593" t="s">
        <v>2480</v>
      </c>
      <c r="Q73" s="2584">
        <f ca="1">L58</f>
        <v>0</v>
      </c>
      <c r="R73" s="2584" t="s">
        <v>2455</v>
      </c>
    </row>
    <row r="74" spans="1:18" ht="20.25" thickBot="1">
      <c r="A74" s="1451"/>
      <c r="B74" s="726" t="s">
        <v>383</v>
      </c>
      <c r="C74" s="727"/>
      <c r="D74" s="1451"/>
      <c r="E74" s="1451"/>
      <c r="F74" s="1451"/>
      <c r="O74" s="2585" t="s">
        <v>2489</v>
      </c>
      <c r="P74" s="2593" t="s">
        <v>2481</v>
      </c>
      <c r="Q74" s="2584">
        <f ca="1">L59</f>
        <v>0</v>
      </c>
      <c r="R74" s="2584" t="s">
        <v>2456</v>
      </c>
    </row>
    <row r="75" spans="1:18" ht="15.75" thickBot="1">
      <c r="A75" s="1451"/>
      <c r="B75" s="728" t="s">
        <v>968</v>
      </c>
      <c r="C75" s="729">
        <f ca="1">ROUND(C13*C76,0)</f>
        <v>155</v>
      </c>
      <c r="D75" s="1451"/>
      <c r="E75" s="1451"/>
      <c r="F75" s="1451"/>
      <c r="K75" s="1452"/>
      <c r="L75" s="1451"/>
      <c r="O75" s="2583" t="s">
        <v>2452</v>
      </c>
      <c r="P75" s="2593" t="s">
        <v>2470</v>
      </c>
      <c r="Q75" s="2584">
        <f ca="1">Q65+Q66</f>
        <v>2628</v>
      </c>
      <c r="R75" s="2584" t="s">
        <v>2453</v>
      </c>
    </row>
    <row r="76" spans="1:18">
      <c r="B76" s="730" t="s">
        <v>969</v>
      </c>
      <c r="C76" s="731">
        <f ca="1">INDIRECT("'数据-取费表'!j"&amp;$G$1)</f>
        <v>0.08</v>
      </c>
      <c r="I76" s="1451"/>
      <c r="J76" s="1451"/>
      <c r="K76" s="1452"/>
      <c r="L76" s="1451"/>
    </row>
    <row r="77" spans="1:18">
      <c r="B77" s="732" t="s">
        <v>972</v>
      </c>
      <c r="C77" s="733"/>
      <c r="I77" s="1451"/>
      <c r="J77" s="1451"/>
      <c r="K77" s="1452"/>
      <c r="L77" s="1451"/>
    </row>
    <row r="78" spans="1:18">
      <c r="B78" s="646" t="s">
        <v>2693</v>
      </c>
      <c r="C78" s="734"/>
    </row>
    <row r="79" spans="1:18">
      <c r="B79" s="2869" t="s">
        <v>2697</v>
      </c>
      <c r="C79" s="650">
        <f ca="1">1-C80</f>
        <v>-0.46199999999999997</v>
      </c>
    </row>
    <row r="80" spans="1:18">
      <c r="B80" s="2869" t="s">
        <v>2696</v>
      </c>
      <c r="C80" s="650">
        <f ca="1">ROUND(C75/C39,3)</f>
        <v>1.462</v>
      </c>
    </row>
    <row r="81" spans="2:3">
      <c r="B81" s="646" t="s">
        <v>384</v>
      </c>
      <c r="C81" s="647"/>
    </row>
    <row r="82" spans="2:3">
      <c r="B82" s="2868" t="s">
        <v>2695</v>
      </c>
      <c r="C82" s="651">
        <f ca="1">1-C83</f>
        <v>0.26100000000000001</v>
      </c>
    </row>
    <row r="83" spans="2:3">
      <c r="B83" s="2868" t="s">
        <v>2694</v>
      </c>
      <c r="C83" s="650">
        <f ca="1">ROUND(C13/C40,3)</f>
        <v>0.73899999999999999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2026</v>
      </c>
      <c r="B1" s="1959"/>
      <c r="C1" s="1959"/>
      <c r="D1" s="1959"/>
      <c r="E1" s="1959"/>
    </row>
    <row r="2" spans="1:5" ht="78" customHeight="1">
      <c r="A2" s="34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8"/>
      <c r="C2" s="3428"/>
      <c r="D2" s="3428"/>
      <c r="E2" s="3428"/>
    </row>
    <row r="3" spans="1:5" ht="18.75">
      <c r="A3" s="3429" t="str">
        <f>IF(项目基本情况!B9="房地产市场价值","估价结果一览表（市场价值不需“结果表-1”）","估价结果一览表")</f>
        <v>估价结果一览表</v>
      </c>
      <c r="B3" s="3429"/>
      <c r="C3" s="3429"/>
      <c r="D3" s="3429"/>
      <c r="E3" s="3429"/>
    </row>
    <row r="4" spans="1:5" ht="19.5" thickBot="1">
      <c r="A4" s="1971"/>
      <c r="B4" s="3427" t="s">
        <v>2031</v>
      </c>
      <c r="C4" s="3427"/>
      <c r="D4" s="3427"/>
      <c r="E4" s="1971"/>
    </row>
    <row r="5" spans="1:5" ht="16.5" thickTop="1">
      <c r="A5" s="1959"/>
      <c r="B5" s="3425" t="s">
        <v>2027</v>
      </c>
      <c r="C5" s="1961" t="s">
        <v>2032</v>
      </c>
      <c r="D5" s="1962">
        <f ca="1">结果表!H101</f>
        <v>167919</v>
      </c>
      <c r="E5" s="1959"/>
    </row>
    <row r="6" spans="1:5" ht="15.75">
      <c r="A6" s="1959"/>
      <c r="B6" s="3425"/>
      <c r="C6" s="1961" t="s">
        <v>2869</v>
      </c>
      <c r="D6" s="1962" t="str">
        <f ca="1">NUMBERSTRING(INT(D5*10000),2)&amp;"元整"</f>
        <v>壹拾陆亿柒仟玖佰壹拾玖万元整</v>
      </c>
      <c r="E6" s="1959"/>
    </row>
    <row r="7" spans="1:5" ht="15.75">
      <c r="A7" s="1959"/>
      <c r="B7" s="3430"/>
      <c r="C7" s="1963" t="s">
        <v>2033</v>
      </c>
      <c r="D7" s="1964">
        <f ca="1">结果表!H102</f>
        <v>30533</v>
      </c>
      <c r="E7" s="1959"/>
    </row>
    <row r="8" spans="1:5" ht="15.75">
      <c r="A8" s="1959"/>
      <c r="B8" s="3431" t="str">
        <f>结果表!E103</f>
        <v>2.估价师知悉的法定优先受偿款</v>
      </c>
      <c r="C8" s="1965" t="s">
        <v>2034</v>
      </c>
      <c r="D8" s="1964">
        <f>结果表!H103</f>
        <v>0</v>
      </c>
      <c r="E8" s="1959"/>
    </row>
    <row r="9" spans="1:5" ht="15.75">
      <c r="A9" s="1959"/>
      <c r="B9" s="3433"/>
      <c r="C9" s="1961" t="s">
        <v>2869</v>
      </c>
      <c r="D9" s="1962" t="str">
        <f>NUMBERSTRING(INT(D8*10000),2)&amp;"元整"</f>
        <v>零元整</v>
      </c>
      <c r="E9" s="1959"/>
    </row>
    <row r="10" spans="1:5" ht="15">
      <c r="A10" s="1959"/>
      <c r="B10" s="1966" t="s">
        <v>2028</v>
      </c>
      <c r="C10" s="1967" t="s">
        <v>2034</v>
      </c>
      <c r="D10" s="1968">
        <f>结果表!H104</f>
        <v>0</v>
      </c>
      <c r="E10" s="1959"/>
    </row>
    <row r="11" spans="1:5" ht="15">
      <c r="A11" s="1959"/>
      <c r="B11" s="1966" t="s">
        <v>2029</v>
      </c>
      <c r="C11" s="1967" t="s">
        <v>2034</v>
      </c>
      <c r="D11" s="1968">
        <f>结果表!H105</f>
        <v>0</v>
      </c>
      <c r="E11" s="1959"/>
    </row>
    <row r="12" spans="1:5" ht="15">
      <c r="A12" s="1959"/>
      <c r="B12" s="1966" t="s">
        <v>2030</v>
      </c>
      <c r="C12" s="1967" t="s">
        <v>2034</v>
      </c>
      <c r="D12" s="1968">
        <f>结果表!H106</f>
        <v>0</v>
      </c>
      <c r="E12" s="1959"/>
    </row>
    <row r="13" spans="1:5" ht="15.75">
      <c r="A13" s="1959"/>
      <c r="B13" s="3424" t="str">
        <f>结果表!E107</f>
        <v>3.房地产抵押价值</v>
      </c>
      <c r="C13" s="1969" t="s">
        <v>2032</v>
      </c>
      <c r="D13" s="1972">
        <f ca="1">结果表!H107</f>
        <v>167919</v>
      </c>
      <c r="E13" s="1959"/>
    </row>
    <row r="14" spans="1:5" ht="15.75">
      <c r="A14" s="1959"/>
      <c r="B14" s="3425"/>
      <c r="C14" s="1961" t="s">
        <v>2869</v>
      </c>
      <c r="D14" s="1962" t="str">
        <f ca="1">NUMBERSTRING(INT(D13*10000),2)&amp;"元整"</f>
        <v>壹拾陆亿柒仟玖佰壹拾玖万元整</v>
      </c>
      <c r="E14" s="1959"/>
    </row>
    <row r="15" spans="1:5" ht="15">
      <c r="A15" s="1959"/>
      <c r="B15" s="3430"/>
      <c r="C15" s="1963" t="s">
        <v>2033</v>
      </c>
      <c r="D15" s="2074">
        <f ca="1">结果表!H108</f>
        <v>30533</v>
      </c>
      <c r="E15" s="1959"/>
    </row>
    <row r="16" spans="1:5" ht="14.25">
      <c r="A16" s="1959"/>
      <c r="B16" s="3431" t="str">
        <f>结果表!E109</f>
        <v>——</v>
      </c>
      <c r="C16" s="1969" t="s">
        <v>2032</v>
      </c>
      <c r="D16" s="2075" t="str">
        <f>结果表!H109</f>
        <v>——</v>
      </c>
      <c r="E16" s="1959"/>
    </row>
    <row r="17" spans="1:5" ht="15.75">
      <c r="A17" s="1959"/>
      <c r="B17" s="3432"/>
      <c r="C17" s="1961" t="s">
        <v>2869</v>
      </c>
      <c r="D17" s="1962" t="e">
        <f>NUMBERSTRING(INT(D16*10000),2)&amp;"元整"</f>
        <v>#VALUE!</v>
      </c>
      <c r="E17" s="1959"/>
    </row>
    <row r="18" spans="1:5" ht="15">
      <c r="A18" s="1959"/>
      <c r="B18" s="3433"/>
      <c r="C18" s="1963" t="s">
        <v>2033</v>
      </c>
      <c r="D18" s="2074" t="str">
        <f>结果表!H110</f>
        <v>——</v>
      </c>
      <c r="E18" s="1959"/>
    </row>
    <row r="19" spans="1:5" ht="15.75">
      <c r="A19" s="1959"/>
      <c r="B19" s="3424" t="str">
        <f>结果表!E111</f>
        <v>——</v>
      </c>
      <c r="C19" s="1969" t="s">
        <v>2032</v>
      </c>
      <c r="D19" s="1964" t="str">
        <f>结果表!H111</f>
        <v>——</v>
      </c>
      <c r="E19" s="1959"/>
    </row>
    <row r="20" spans="1:5" ht="15.75">
      <c r="A20" s="1959"/>
      <c r="B20" s="3425"/>
      <c r="C20" s="1961" t="s">
        <v>2869</v>
      </c>
      <c r="D20" s="1962" t="e">
        <f>NUMBERSTRING(INT(D19*10000),2)&amp;"元整"</f>
        <v>#VALUE!</v>
      </c>
      <c r="E20" s="1959"/>
    </row>
    <row r="21" spans="1:5" ht="15.75" thickBot="1">
      <c r="A21" s="1959"/>
      <c r="B21" s="3426"/>
      <c r="C21" s="2076" t="s">
        <v>2033</v>
      </c>
      <c r="D21" s="2077" t="str">
        <f>结果表!H112</f>
        <v>——</v>
      </c>
      <c r="E21" s="1959"/>
    </row>
    <row r="22" spans="1:5" ht="14.25" thickTop="1">
      <c r="A22" s="1959"/>
      <c r="B22" s="1970" t="s">
        <v>2058</v>
      </c>
      <c r="C22" s="1959"/>
      <c r="D22" s="1959"/>
      <c r="E22" s="1959"/>
    </row>
    <row r="23" spans="1:5">
      <c r="A23" s="1959"/>
      <c r="B23" s="1959"/>
      <c r="C23" s="1959"/>
      <c r="D23" s="1959"/>
      <c r="E23" s="1959"/>
    </row>
    <row r="24" spans="1:5" ht="18.75">
      <c r="A24" s="1990"/>
      <c r="B24" s="1991" t="s">
        <v>2039</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9" sqref="D9"/>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903</v>
      </c>
      <c r="B1" s="670"/>
      <c r="C1" s="2388" t="s">
        <v>3106</v>
      </c>
      <c r="D1" s="1271"/>
      <c r="E1" s="2581" t="s">
        <v>536</v>
      </c>
      <c r="F1" s="2582">
        <f ca="1">J53</f>
        <v>47.21</v>
      </c>
      <c r="G1" s="672">
        <f>MATCH(C1,'数据-取费表'!A6:A16,0)+5</f>
        <v>9</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813</v>
      </c>
      <c r="B2" s="1403">
        <f ca="1">C40+J29+L46</f>
        <v>1860</v>
      </c>
      <c r="C2" s="1297" t="s">
        <v>1094</v>
      </c>
      <c r="D2" s="1273"/>
      <c r="E2" s="2571"/>
      <c r="F2" s="1274"/>
      <c r="G2" s="2283"/>
      <c r="H2" s="1272"/>
      <c r="I2" s="1272"/>
      <c r="J2" s="1272"/>
      <c r="K2" s="1296"/>
      <c r="L2" s="1272"/>
      <c r="M2" s="1272"/>
    </row>
    <row r="3" spans="1:37" ht="18" customHeight="1" thickBot="1">
      <c r="A3" s="675" t="s">
        <v>343</v>
      </c>
      <c r="B3" s="1404">
        <f ca="1">IF(ISERROR(B2*10000/F43),0,ROUND(B2*10000/F43,0))</f>
        <v>7123</v>
      </c>
      <c r="C3" s="1297" t="s">
        <v>1095</v>
      </c>
      <c r="D3" s="1273"/>
      <c r="E3" s="2571"/>
      <c r="F3" s="1274"/>
      <c r="G3" s="2283"/>
      <c r="H3" s="676" t="s">
        <v>904</v>
      </c>
      <c r="I3" s="1272"/>
      <c r="J3" s="1272"/>
      <c r="K3" s="1296"/>
      <c r="L3" s="1272"/>
      <c r="M3" s="1272"/>
    </row>
    <row r="4" spans="1:37" ht="18" customHeight="1">
      <c r="A4" s="677" t="s">
        <v>905</v>
      </c>
      <c r="B4" s="678" t="s">
        <v>906</v>
      </c>
      <c r="C4" s="678" t="s">
        <v>907</v>
      </c>
      <c r="D4" s="678" t="s">
        <v>908</v>
      </c>
      <c r="E4" s="679" t="s">
        <v>909</v>
      </c>
      <c r="F4" s="680"/>
      <c r="G4" s="2284"/>
      <c r="H4" s="677" t="s">
        <v>905</v>
      </c>
      <c r="I4" s="678" t="s">
        <v>906</v>
      </c>
      <c r="J4" s="678" t="s">
        <v>907</v>
      </c>
      <c r="K4" s="678" t="s">
        <v>908</v>
      </c>
      <c r="L4" s="679" t="s">
        <v>909</v>
      </c>
      <c r="M4" s="680"/>
    </row>
    <row r="5" spans="1:37" ht="18" customHeight="1">
      <c r="A5" s="681">
        <v>1</v>
      </c>
      <c r="B5" s="682" t="s">
        <v>2329</v>
      </c>
      <c r="C5" s="2622">
        <f ca="1">C6+C10+C12</f>
        <v>103</v>
      </c>
      <c r="D5" s="2632" t="s">
        <v>2532</v>
      </c>
      <c r="E5" s="2623"/>
      <c r="F5" s="2624"/>
      <c r="G5" s="2284"/>
      <c r="H5" s="681">
        <v>1</v>
      </c>
      <c r="I5" s="682" t="s">
        <v>2329</v>
      </c>
      <c r="J5" s="2622">
        <f ca="1">J6+J10+J12</f>
        <v>0</v>
      </c>
      <c r="K5" s="2625" t="s">
        <v>2532</v>
      </c>
      <c r="L5" s="2623"/>
      <c r="M5" s="2624"/>
    </row>
    <row r="6" spans="1:37" ht="18" customHeight="1">
      <c r="A6" s="2618" t="s">
        <v>2370</v>
      </c>
      <c r="B6" s="3705" t="s">
        <v>2531</v>
      </c>
      <c r="C6" s="2627">
        <f ca="1">ROUND(F6*F8*F7*(1-F9)/10000,0)</f>
        <v>103</v>
      </c>
      <c r="D6" s="2621" t="s">
        <v>2533</v>
      </c>
      <c r="E6" s="684" t="s">
        <v>910</v>
      </c>
      <c r="F6" s="685">
        <f ca="1">INDIRECT("'数据-取费表'!u"&amp;$G$1)</f>
        <v>1.2</v>
      </c>
      <c r="G6" s="2284"/>
      <c r="H6" s="2618" t="s">
        <v>2370</v>
      </c>
      <c r="I6" s="3705" t="s">
        <v>2531</v>
      </c>
      <c r="J6" s="683">
        <f ca="1">ROUND(M6*M8*M7*(1-M9)/10000,0)</f>
        <v>0</v>
      </c>
      <c r="K6" s="2621" t="s">
        <v>2533</v>
      </c>
      <c r="L6" s="684" t="s">
        <v>910</v>
      </c>
      <c r="M6" s="685">
        <f ca="1">INDIRECT("'数据-取费表'!z"&amp;$G$1)</f>
        <v>0</v>
      </c>
    </row>
    <row r="7" spans="1:37" ht="18" customHeight="1">
      <c r="A7" s="2626"/>
      <c r="B7" s="3706"/>
      <c r="C7" s="2628"/>
      <c r="D7" s="2057"/>
      <c r="E7" s="2629" t="s">
        <v>911</v>
      </c>
      <c r="F7" s="685">
        <f ca="1">IF(INDIRECT("'数据-取费表'!ah"&amp;$G$1)="",INDIRECT("'数据-取费表'!k"&amp;$G$1),INDIRECT("'数据-取费表'!ah"&amp;$G$1))</f>
        <v>2611.2199999999998</v>
      </c>
      <c r="G7" s="2284"/>
      <c r="H7" s="686"/>
      <c r="I7" s="3706"/>
      <c r="J7" s="688"/>
      <c r="K7" s="689"/>
      <c r="L7" s="684" t="s">
        <v>911</v>
      </c>
      <c r="M7" s="685">
        <f ca="1">F7</f>
        <v>2611.2199999999998</v>
      </c>
    </row>
    <row r="8" spans="1:37" ht="18" customHeight="1">
      <c r="A8" s="686"/>
      <c r="B8" s="3706"/>
      <c r="C8" s="688"/>
      <c r="D8" s="689"/>
      <c r="E8" s="684" t="s">
        <v>912</v>
      </c>
      <c r="F8" s="685">
        <f ca="1">INDIRECT("'数据-取费表'!ai"&amp;$G$1)</f>
        <v>365</v>
      </c>
      <c r="G8" s="2284"/>
      <c r="H8" s="686"/>
      <c r="I8" s="3706"/>
      <c r="J8" s="688"/>
      <c r="K8" s="689"/>
      <c r="L8" s="684" t="s">
        <v>912</v>
      </c>
      <c r="M8" s="685">
        <f ca="1">INDIRECT("'数据-取费表'!ai"&amp;$G$1)</f>
        <v>365</v>
      </c>
    </row>
    <row r="9" spans="1:37" ht="18" customHeight="1">
      <c r="A9" s="686"/>
      <c r="B9" s="3707"/>
      <c r="C9" s="688"/>
      <c r="D9" s="689"/>
      <c r="E9" s="684" t="s">
        <v>913</v>
      </c>
      <c r="F9" s="694">
        <f ca="1">INDIRECT("'数据-取费表'!w"&amp;$G$1)</f>
        <v>0.1</v>
      </c>
      <c r="G9" s="2284"/>
      <c r="H9" s="686"/>
      <c r="I9" s="3707"/>
      <c r="J9" s="688"/>
      <c r="K9" s="689"/>
      <c r="L9" s="695" t="s">
        <v>913</v>
      </c>
      <c r="M9" s="696">
        <f ca="1">INDIRECT("'数据-取费表'!ab"&amp;$G$1)</f>
        <v>0</v>
      </c>
    </row>
    <row r="10" spans="1:37" ht="18" customHeight="1">
      <c r="A10" s="2618" t="s">
        <v>2377</v>
      </c>
      <c r="B10" s="2619" t="s">
        <v>2526</v>
      </c>
      <c r="C10" s="698">
        <f>ROUND(IF(F10="押一",F6*F8*F7/12*F11,IF(F10="押二",F6*F8*F7/12*2*F11,IF(F10="押三",F6*F8*F7/12*3*F11,C11*F11)))/10000,0)</f>
        <v>0</v>
      </c>
      <c r="D10" s="2630" t="s">
        <v>2534</v>
      </c>
      <c r="E10" s="2093" t="s">
        <v>2528</v>
      </c>
      <c r="F10" s="2824"/>
      <c r="G10" s="2284"/>
      <c r="H10" s="2618" t="s">
        <v>2377</v>
      </c>
      <c r="I10" s="2619" t="s">
        <v>2526</v>
      </c>
      <c r="J10" s="683">
        <f ca="1">ROUND(IF(M10="押一",M6*M8*M7/12*M11,IF(M10="押二",M6*M8*M7/12*2*M11,IF(M10="押三",M6*M8*M7/12*3*M11,J11*M11)))/10000,0)</f>
        <v>0</v>
      </c>
      <c r="K10" s="2630" t="s">
        <v>2534</v>
      </c>
      <c r="L10" s="2093" t="s">
        <v>2528</v>
      </c>
      <c r="M10" s="2725" t="s">
        <v>2620</v>
      </c>
    </row>
    <row r="11" spans="1:37" ht="18" customHeight="1">
      <c r="A11" s="690"/>
      <c r="B11" s="2620" t="s">
        <v>2692</v>
      </c>
      <c r="C11" s="2411"/>
      <c r="D11" s="2863"/>
      <c r="E11" s="2093" t="s">
        <v>2529</v>
      </c>
      <c r="F11" s="696">
        <f>'数据-取费表'!B39</f>
        <v>4.7500000000000001E-2</v>
      </c>
      <c r="G11" s="2284"/>
      <c r="H11" s="2631"/>
      <c r="I11" s="2620" t="s">
        <v>2692</v>
      </c>
      <c r="J11" s="2411"/>
      <c r="K11" s="1278"/>
      <c r="L11" s="2093" t="s">
        <v>2529</v>
      </c>
      <c r="M11" s="2092">
        <f>'数据-取费表'!B39</f>
        <v>4.7500000000000001E-2</v>
      </c>
    </row>
    <row r="12" spans="1:37" ht="18" customHeight="1" thickBot="1">
      <c r="A12" s="2666" t="s">
        <v>2539</v>
      </c>
      <c r="B12" s="2667" t="s">
        <v>2527</v>
      </c>
      <c r="C12" s="2668"/>
      <c r="D12" s="2669"/>
      <c r="E12" s="2670"/>
      <c r="F12" s="2671"/>
      <c r="G12" s="2284"/>
      <c r="H12" s="2666" t="s">
        <v>2539</v>
      </c>
      <c r="I12" s="2667" t="s">
        <v>2527</v>
      </c>
      <c r="J12" s="2668"/>
      <c r="K12" s="2685"/>
      <c r="L12" s="2670"/>
      <c r="M12" s="2686"/>
    </row>
    <row r="13" spans="1:37" ht="18" customHeight="1" thickTop="1">
      <c r="A13" s="2662">
        <v>2</v>
      </c>
      <c r="B13" s="2663" t="s">
        <v>914</v>
      </c>
      <c r="C13" s="692">
        <f ca="1">ROUND(C29*F13,0)</f>
        <v>852</v>
      </c>
      <c r="D13" s="2664" t="s">
        <v>915</v>
      </c>
      <c r="E13" s="2664" t="s">
        <v>916</v>
      </c>
      <c r="F13" s="2665">
        <f ca="1">INDIRECT("'数据-取费表'!y"&amp;$G$1)</f>
        <v>1</v>
      </c>
      <c r="G13" s="2284"/>
      <c r="H13" s="2662">
        <v>2</v>
      </c>
      <c r="I13" s="2663" t="s">
        <v>914</v>
      </c>
      <c r="J13" s="2617">
        <f ca="1">ROUND(J14*J15,0)</f>
        <v>0</v>
      </c>
      <c r="K13" s="2672" t="s">
        <v>915</v>
      </c>
      <c r="L13" s="2683"/>
      <c r="M13" s="2684"/>
    </row>
    <row r="14" spans="1:37" ht="18" customHeight="1">
      <c r="A14" s="2434" t="s">
        <v>2367</v>
      </c>
      <c r="B14" s="684" t="s">
        <v>356</v>
      </c>
      <c r="C14" s="701">
        <f ca="1">INDIRECT("'数据-取费表'!m"&amp;$G$1)+INDIRECT("'数据-取费表'!t"&amp;$G$1)</f>
        <v>622</v>
      </c>
      <c r="D14" s="3354" t="s">
        <v>917</v>
      </c>
      <c r="E14" s="3353"/>
      <c r="F14" s="702"/>
      <c r="G14" s="2284"/>
      <c r="H14" s="2434" t="s">
        <v>2370</v>
      </c>
      <c r="I14" s="684" t="s">
        <v>918</v>
      </c>
      <c r="J14" s="313">
        <f ca="1">C29</f>
        <v>852</v>
      </c>
      <c r="K14" s="303"/>
      <c r="L14" s="699"/>
      <c r="M14" s="700"/>
    </row>
    <row r="15" spans="1:37" s="705" customFormat="1" ht="18" customHeight="1" thickBot="1">
      <c r="A15" s="2434" t="s">
        <v>2603</v>
      </c>
      <c r="B15" s="684" t="s">
        <v>357</v>
      </c>
      <c r="C15" s="313">
        <f ca="1">ROUND(C14*F15,0)</f>
        <v>19</v>
      </c>
      <c r="D15" s="703" t="s">
        <v>919</v>
      </c>
      <c r="E15" s="703" t="s">
        <v>920</v>
      </c>
      <c r="F15" s="704">
        <f>'数据-取费表'!B33</f>
        <v>0.03</v>
      </c>
      <c r="G15" s="2285"/>
      <c r="H15" s="2674" t="s">
        <v>2377</v>
      </c>
      <c r="I15" s="2675" t="s">
        <v>916</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2604</v>
      </c>
      <c r="B16" s="684" t="s">
        <v>358</v>
      </c>
      <c r="C16" s="313">
        <f ca="1">ROUND(INDIRECT("'数据-取费表'!m"&amp;$G$1)*F16,0)</f>
        <v>0</v>
      </c>
      <c r="D16" s="684" t="s">
        <v>919</v>
      </c>
      <c r="E16" s="684" t="s">
        <v>920</v>
      </c>
      <c r="F16" s="706">
        <f ca="1">IF(INDIRECT("'数据-取费表'!c"&amp;$G$1)="住宅",'数据-取费表'!B34,0)</f>
        <v>0</v>
      </c>
      <c r="G16" s="2284"/>
      <c r="H16" s="2662" t="s">
        <v>2335</v>
      </c>
      <c r="I16" s="2663" t="s">
        <v>921</v>
      </c>
      <c r="J16" s="692">
        <f ca="1">ROUND(J17+J22+J23+J24,0)</f>
        <v>20</v>
      </c>
      <c r="K16" s="2672" t="s">
        <v>922</v>
      </c>
      <c r="L16" s="2673"/>
      <c r="M16" s="2624"/>
    </row>
    <row r="17" spans="1:37" s="705" customFormat="1" ht="18" customHeight="1">
      <c r="A17" s="2434" t="s">
        <v>2605</v>
      </c>
      <c r="B17" s="684" t="s">
        <v>359</v>
      </c>
      <c r="C17" s="313">
        <f ca="1">ROUND(F17*(F43+INDIRECT("'数据-取费表'!S"&amp;$G$1))/10000,0)</f>
        <v>54</v>
      </c>
      <c r="D17" s="684" t="s">
        <v>923</v>
      </c>
      <c r="E17" s="684" t="s">
        <v>924</v>
      </c>
      <c r="F17" s="315">
        <f>'数据-取费表'!B35</f>
        <v>200</v>
      </c>
      <c r="G17" s="2285"/>
      <c r="H17" s="2434" t="s">
        <v>2370</v>
      </c>
      <c r="I17" s="684" t="s">
        <v>360</v>
      </c>
      <c r="J17" s="313">
        <f ca="1">ROUND(IF(项目基本情况!B11="自然人",J5*M17,J18+J19+J20),1)</f>
        <v>7.4</v>
      </c>
      <c r="K17" s="3354" t="s">
        <v>925</v>
      </c>
      <c r="L17" s="3356" t="s">
        <v>926</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2606</v>
      </c>
      <c r="B18" s="684" t="s">
        <v>361</v>
      </c>
      <c r="C18" s="313">
        <f ca="1">ROUND(C14*F18,0)</f>
        <v>9</v>
      </c>
      <c r="D18" s="684" t="s">
        <v>919</v>
      </c>
      <c r="E18" s="684" t="s">
        <v>920</v>
      </c>
      <c r="F18" s="706">
        <f>'数据-取费表'!B36</f>
        <v>1.4999999999999999E-2</v>
      </c>
      <c r="G18" s="2285"/>
      <c r="H18" s="2434" t="s">
        <v>2367</v>
      </c>
      <c r="I18" s="684" t="s">
        <v>927</v>
      </c>
      <c r="J18" s="313">
        <f ca="1">ROUND(J5*M18/(1+'数据-取费表'!C42),2)</f>
        <v>0</v>
      </c>
      <c r="K18" s="3356" t="s">
        <v>928</v>
      </c>
      <c r="L18" s="684" t="s">
        <v>920</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2370</v>
      </c>
      <c r="B19" s="684" t="s">
        <v>363</v>
      </c>
      <c r="C19" s="313">
        <f ca="1">SUM(C14:C18)</f>
        <v>704</v>
      </c>
      <c r="D19" s="471" t="s">
        <v>929</v>
      </c>
      <c r="E19" s="3362"/>
      <c r="F19" s="315"/>
      <c r="G19" s="2284"/>
      <c r="H19" s="2434" t="s">
        <v>2603</v>
      </c>
      <c r="I19" s="684" t="s">
        <v>930</v>
      </c>
      <c r="J19" s="313">
        <f ca="1">IF(K19="按租金收入计税",ROUND(J5*M19,2),ROUND(C29*M19*0.7,2))</f>
        <v>7.16</v>
      </c>
      <c r="K19" s="1298" t="s">
        <v>2410</v>
      </c>
      <c r="L19" s="684" t="s">
        <v>920</v>
      </c>
      <c r="M19" s="706">
        <f>IF(K19="按租金收入计税",'数据-取费表'!B51,'数据-取费表'!B50)</f>
        <v>1.2E-2</v>
      </c>
    </row>
    <row r="20" spans="1:37" s="705" customFormat="1" ht="18" customHeight="1">
      <c r="A20" s="2434" t="s">
        <v>2607</v>
      </c>
      <c r="B20" s="684" t="s">
        <v>364</v>
      </c>
      <c r="C20" s="313">
        <f ca="1">ROUND(C19*F20,0)</f>
        <v>14</v>
      </c>
      <c r="D20" s="708" t="s">
        <v>931</v>
      </c>
      <c r="E20" s="684" t="s">
        <v>920</v>
      </c>
      <c r="F20" s="706">
        <f>'数据-取费表'!B37</f>
        <v>0.02</v>
      </c>
      <c r="G20" s="2285"/>
      <c r="H20" s="2434" t="s">
        <v>2604</v>
      </c>
      <c r="I20" s="496" t="s">
        <v>932</v>
      </c>
      <c r="J20" s="314">
        <f ca="1">ROUND(M20*M21/10000,2)</f>
        <v>0.2</v>
      </c>
      <c r="K20" s="709" t="s">
        <v>933</v>
      </c>
      <c r="L20" s="684" t="s">
        <v>934</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2608</v>
      </c>
      <c r="B21" s="684" t="s">
        <v>935</v>
      </c>
      <c r="C21" s="313" t="s">
        <v>23</v>
      </c>
      <c r="D21" s="708" t="s">
        <v>936</v>
      </c>
      <c r="E21" s="684" t="s">
        <v>937</v>
      </c>
      <c r="F21" s="706">
        <f>'数据-取费表'!B38</f>
        <v>0.02</v>
      </c>
      <c r="G21" s="2285"/>
      <c r="H21" s="711"/>
      <c r="I21" s="693"/>
      <c r="J21" s="318"/>
      <c r="K21" s="712"/>
      <c r="L21" s="684" t="s">
        <v>938</v>
      </c>
      <c r="M21" s="685">
        <f ca="1">INDIRECT("'数据-取费表'!r"&amp;$G$1)</f>
        <v>1352.68</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2609</v>
      </c>
      <c r="B22" s="684" t="s">
        <v>939</v>
      </c>
      <c r="C22" s="313"/>
      <c r="D22" s="2697" t="str">
        <f>IF(F23&lt;=1,"单利计息。","复利计息。")&amp;"建造成本、管理费用、销售费用产生的利息。"</f>
        <v>复利计息。建造成本、管理费用、销售费用产生的利息。</v>
      </c>
      <c r="E22" s="3362"/>
      <c r="F22" s="315"/>
      <c r="G22" s="2284"/>
      <c r="H22" s="2434" t="s">
        <v>2377</v>
      </c>
      <c r="I22" s="684" t="s">
        <v>940</v>
      </c>
      <c r="J22" s="313">
        <f ca="1">ROUND(J14*M22,1)</f>
        <v>12.8</v>
      </c>
      <c r="K22" s="3356" t="s">
        <v>941</v>
      </c>
      <c r="L22" s="684" t="s">
        <v>920</v>
      </c>
      <c r="M22" s="713">
        <f ca="1">INDIRECT("'数据-取费表'!Ak"&amp;$G$1)</f>
        <v>1.4999999999999999E-2</v>
      </c>
    </row>
    <row r="23" spans="1:37" s="705" customFormat="1" ht="18" customHeight="1">
      <c r="A23" s="2434" t="s">
        <v>2367</v>
      </c>
      <c r="B23" s="684" t="s">
        <v>2523</v>
      </c>
      <c r="C23" s="313">
        <f ca="1">IF('数据-取费表'!B22&lt;=1,ROUND(C19*F24*F23/2,0)+ROUND(C20*F24*F23/2,0),ROUND(C19*(POWER((1+F24),F23/2)-1),0)+ROUND(C20*(POWER((1+F24),F23/2)-1),0))</f>
        <v>34</v>
      </c>
      <c r="D23" s="2701" t="str">
        <f>IF(F23&lt;=1,"(建造成本+管理费用)×利率×(建设周期÷2)","(建造成本+管理费用)×((1+利率)^(建设周期÷2)-1)")</f>
        <v>(建造成本+管理费用)×((1+利率)^(建设周期÷2)-1)</v>
      </c>
      <c r="E23" s="684" t="s">
        <v>942</v>
      </c>
      <c r="F23" s="710">
        <f>'数据-取费表'!B20</f>
        <v>2</v>
      </c>
      <c r="G23" s="2285"/>
      <c r="H23" s="2434" t="s">
        <v>2608</v>
      </c>
      <c r="I23" s="684" t="s">
        <v>365</v>
      </c>
      <c r="J23" s="313">
        <f ca="1">ROUND(J13*M23,1)</f>
        <v>0</v>
      </c>
      <c r="K23" s="3356" t="s">
        <v>366</v>
      </c>
      <c r="L23" s="684" t="s">
        <v>920</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2373</v>
      </c>
      <c r="B24" s="684" t="s">
        <v>944</v>
      </c>
      <c r="C24" s="313">
        <f ca="1">ROUND(IF('数据-取费表'!B22&lt;=1,F21*F24*F23/2,F21*(POWER((1+F24),F23/2)-1)),4)</f>
        <v>1E-3</v>
      </c>
      <c r="D24" s="2701" t="str">
        <f>IF(F23&lt;=1,"销售费用×利率×(建设周期÷2)","销售费用×((1+利率)^(建设周期÷2)-1)")</f>
        <v>销售费用×((1+利率)^(建设周期÷2)-1)</v>
      </c>
      <c r="E24" s="684" t="s">
        <v>945</v>
      </c>
      <c r="F24" s="716">
        <f ca="1">'数据-取费表'!B40</f>
        <v>4.7500000000000001E-2</v>
      </c>
      <c r="G24" s="2285"/>
      <c r="H24" s="2674" t="s">
        <v>2609</v>
      </c>
      <c r="I24" s="2675" t="s">
        <v>364</v>
      </c>
      <c r="J24" s="2676">
        <f ca="1">ROUND(J5*M24,1)</f>
        <v>0</v>
      </c>
      <c r="K24" s="2677" t="s">
        <v>368</v>
      </c>
      <c r="L24" s="2675" t="s">
        <v>920</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2374</v>
      </c>
      <c r="B25" s="684" t="s">
        <v>369</v>
      </c>
      <c r="C25" s="313"/>
      <c r="D25" s="471" t="s">
        <v>947</v>
      </c>
      <c r="E25" s="3362"/>
      <c r="F25" s="315"/>
      <c r="G25" s="2284"/>
      <c r="H25" s="2662" t="s">
        <v>2350</v>
      </c>
      <c r="I25" s="2679" t="s">
        <v>374</v>
      </c>
      <c r="J25" s="692">
        <f ca="1">J5-J16</f>
        <v>-20</v>
      </c>
      <c r="K25" s="2680" t="s">
        <v>949</v>
      </c>
      <c r="L25" s="2681"/>
      <c r="M25" s="2682"/>
    </row>
    <row r="26" spans="1:37" ht="18" customHeight="1">
      <c r="A26" s="2434" t="s">
        <v>2367</v>
      </c>
      <c r="B26" s="684" t="s">
        <v>2524</v>
      </c>
      <c r="C26" s="313">
        <f ca="1">ROUND((C19+C20)*F26,0)</f>
        <v>36</v>
      </c>
      <c r="D26" s="708" t="s">
        <v>950</v>
      </c>
      <c r="E26" s="695" t="s">
        <v>951</v>
      </c>
      <c r="F26" s="694">
        <f ca="1">INDIRECT("'数据-取费表'!q"&amp;$G$1)</f>
        <v>0.05</v>
      </c>
      <c r="G26" s="2284"/>
      <c r="H26" s="681" t="s">
        <v>2353</v>
      </c>
      <c r="I26" s="682" t="s">
        <v>952</v>
      </c>
      <c r="J26" s="683">
        <f ca="1">IF(J5&lt;&gt;0,ROUND(J25*(1-((1+M28)/(1+M26))^M27)/(M26-M28),0),0)</f>
        <v>0</v>
      </c>
      <c r="K26" s="709" t="s">
        <v>370</v>
      </c>
      <c r="L26" s="684" t="s">
        <v>959</v>
      </c>
      <c r="M26" s="694">
        <f ca="1">INDIRECT("'数据-取费表'!I"&amp;$G$1)</f>
        <v>5.5E-2</v>
      </c>
    </row>
    <row r="27" spans="1:37" ht="18" customHeight="1">
      <c r="A27" s="2434" t="s">
        <v>2373</v>
      </c>
      <c r="B27" s="684" t="s">
        <v>372</v>
      </c>
      <c r="C27" s="313">
        <f ca="1">ROUND(F21*F26,4)</f>
        <v>1E-3</v>
      </c>
      <c r="D27" s="708" t="s">
        <v>954</v>
      </c>
      <c r="E27" s="703"/>
      <c r="F27" s="704"/>
      <c r="G27" s="2284"/>
      <c r="H27" s="686"/>
      <c r="I27" s="687"/>
      <c r="J27" s="688"/>
      <c r="K27" s="717" t="s">
        <v>955</v>
      </c>
      <c r="L27" s="684" t="s">
        <v>960</v>
      </c>
      <c r="M27" s="718">
        <f ca="1">INDIRECT("'数据-取费表'!ag"&amp;$G$1)</f>
        <v>0</v>
      </c>
    </row>
    <row r="28" spans="1:37" s="705" customFormat="1" ht="18" customHeight="1">
      <c r="A28" s="2434" t="s">
        <v>2375</v>
      </c>
      <c r="B28" s="684" t="s">
        <v>373</v>
      </c>
      <c r="C28" s="313">
        <f>ROUND(F28/(1+'数据-取费表'!C42),4)</f>
        <v>5.33E-2</v>
      </c>
      <c r="D28" s="708" t="s">
        <v>961</v>
      </c>
      <c r="E28" s="684" t="s">
        <v>920</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2376</v>
      </c>
      <c r="B29" s="2675" t="s">
        <v>963</v>
      </c>
      <c r="C29" s="2676">
        <f ca="1">ROUND((C19+C20+C23+C26)/(1-F21-C24-C27-C28),0)</f>
        <v>852</v>
      </c>
      <c r="D29" s="2677"/>
      <c r="E29" s="2675"/>
      <c r="F29" s="2678"/>
      <c r="G29" s="2285"/>
      <c r="H29" s="719" t="s">
        <v>2360</v>
      </c>
      <c r="I29" s="720" t="s">
        <v>956</v>
      </c>
      <c r="J29" s="721">
        <f ca="1">ROUND(J26/(1+F40)^F41,0)</f>
        <v>0</v>
      </c>
      <c r="K29" s="722" t="s">
        <v>957</v>
      </c>
      <c r="L29" s="723"/>
      <c r="M29" s="724">
        <f ca="1">INDIRECT("'数据-取费表'!k"&amp;$G$1)</f>
        <v>2611.2199999999998</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2335</v>
      </c>
      <c r="B30" s="2663" t="s">
        <v>921</v>
      </c>
      <c r="C30" s="692">
        <f ca="1">ROUND(C31+C36+C37+C38,0)</f>
        <v>28</v>
      </c>
      <c r="D30" s="2672" t="s">
        <v>922</v>
      </c>
      <c r="E30" s="2673"/>
      <c r="F30" s="2624"/>
      <c r="G30" s="2284"/>
      <c r="H30" s="1275"/>
      <c r="I30" s="1276"/>
      <c r="J30" s="1277"/>
      <c r="K30" s="1278"/>
      <c r="L30" s="1279"/>
      <c r="M30" s="1280"/>
    </row>
    <row r="31" spans="1:37" ht="18" customHeight="1">
      <c r="A31" s="2434" t="s">
        <v>2370</v>
      </c>
      <c r="B31" s="684" t="s">
        <v>360</v>
      </c>
      <c r="C31" s="313">
        <f ca="1">ROUND(IF(项目基本情况!B11="自然人",C5*F31,C32+C33+C34),1)</f>
        <v>12.9</v>
      </c>
      <c r="D31" s="3354" t="s">
        <v>925</v>
      </c>
      <c r="E31" s="3356" t="s">
        <v>964</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2367</v>
      </c>
      <c r="B32" s="684" t="s">
        <v>927</v>
      </c>
      <c r="C32" s="313">
        <f ca="1">IF(项目基本情况!B11="自然人","——",ROUND(C5*F32/(1+'数据-取费表'!C42),2))</f>
        <v>5.49</v>
      </c>
      <c r="D32" s="3356" t="s">
        <v>928</v>
      </c>
      <c r="E32" s="684" t="s">
        <v>920</v>
      </c>
      <c r="F32" s="716">
        <f>'数据-取费表'!B41</f>
        <v>5.6000000000000001E-2</v>
      </c>
      <c r="G32" s="2284"/>
      <c r="H32" s="1281"/>
      <c r="I32" s="1282"/>
      <c r="J32" s="1283"/>
      <c r="K32" s="1284"/>
      <c r="L32" s="1285"/>
      <c r="M32" s="1286"/>
    </row>
    <row r="33" spans="1:18" ht="18" customHeight="1">
      <c r="A33" s="2434" t="s">
        <v>2603</v>
      </c>
      <c r="B33" s="684" t="s">
        <v>930</v>
      </c>
      <c r="C33" s="313">
        <f ca="1">IF(项目基本情况!B11="自然人","——",IF(D33="按租金收入计税",ROUND(C5*F33,2),IF(D33="按房产原值计税",ROUND(C29*F33*0.7,2),INDIRECT("'数据-取费表'!Aj"&amp;$G$1))))</f>
        <v>7.16</v>
      </c>
      <c r="D33" s="1298" t="s">
        <v>2410</v>
      </c>
      <c r="E33" s="684" t="s">
        <v>362</v>
      </c>
      <c r="F33" s="706">
        <f>IF(D33="按票据","——",IF(D33="按租金收入计税",'数据-取费表'!B51,'数据-取费表'!B50))</f>
        <v>1.2E-2</v>
      </c>
      <c r="G33" s="2284"/>
      <c r="H33" s="1287"/>
      <c r="I33" s="2877"/>
      <c r="J33" s="2878"/>
      <c r="K33" s="1288"/>
      <c r="L33" s="1287"/>
      <c r="M33" s="1287"/>
    </row>
    <row r="34" spans="1:18" ht="18" customHeight="1">
      <c r="A34" s="2618" t="s">
        <v>2604</v>
      </c>
      <c r="B34" s="496" t="s">
        <v>932</v>
      </c>
      <c r="C34" s="314">
        <f ca="1">IF(项目基本情况!B11="自然人","——",ROUND(F34*F35/10000,2))</f>
        <v>0.2</v>
      </c>
      <c r="D34" s="709" t="s">
        <v>933</v>
      </c>
      <c r="E34" s="684" t="s">
        <v>934</v>
      </c>
      <c r="F34" s="710">
        <f>'数据-取费表'!B52</f>
        <v>1.5</v>
      </c>
      <c r="G34" s="2284"/>
      <c r="H34" s="1275"/>
      <c r="I34" s="2877"/>
      <c r="J34" s="2878"/>
      <c r="K34" s="1289"/>
      <c r="L34" s="1290"/>
      <c r="M34" s="1290"/>
    </row>
    <row r="35" spans="1:18" ht="18" customHeight="1">
      <c r="A35" s="2692"/>
      <c r="B35" s="2690"/>
      <c r="C35" s="318"/>
      <c r="D35" s="712"/>
      <c r="E35" s="684" t="s">
        <v>938</v>
      </c>
      <c r="F35" s="685">
        <f ca="1">INDIRECT("'数据-取费表'!r"&amp;$G$1)</f>
        <v>1352.68</v>
      </c>
      <c r="G35" s="2284"/>
      <c r="H35" s="1275"/>
      <c r="I35" s="2877"/>
      <c r="J35" s="2878"/>
      <c r="K35" s="1288"/>
      <c r="L35" s="1287"/>
      <c r="M35" s="1287"/>
    </row>
    <row r="36" spans="1:18" ht="18" customHeight="1">
      <c r="A36" s="2691" t="s">
        <v>2377</v>
      </c>
      <c r="B36" s="684" t="s">
        <v>940</v>
      </c>
      <c r="C36" s="313">
        <f ca="1">ROUND(C29*F36,1)</f>
        <v>12.8</v>
      </c>
      <c r="D36" s="3356" t="s">
        <v>970</v>
      </c>
      <c r="E36" s="684" t="s">
        <v>920</v>
      </c>
      <c r="F36" s="713">
        <f ca="1">INDIRECT("'数据-取费表'!Ak"&amp;$G$1)</f>
        <v>1.4999999999999999E-2</v>
      </c>
      <c r="G36" s="2284"/>
      <c r="H36" s="1287"/>
      <c r="I36" s="2877"/>
      <c r="J36" s="2878"/>
      <c r="K36" s="1291"/>
      <c r="L36" s="1287"/>
      <c r="M36" s="1287"/>
    </row>
    <row r="37" spans="1:18" ht="18" customHeight="1">
      <c r="A37" s="2434" t="s">
        <v>2608</v>
      </c>
      <c r="B37" s="684" t="s">
        <v>365</v>
      </c>
      <c r="C37" s="313">
        <f ca="1">ROUND(C13*F37,1)</f>
        <v>1.3</v>
      </c>
      <c r="D37" s="3356" t="s">
        <v>366</v>
      </c>
      <c r="E37" s="684" t="s">
        <v>367</v>
      </c>
      <c r="F37" s="715">
        <f ca="1">INDIRECT("'数据-取费表'!Al"&amp;$G$1)</f>
        <v>1.5E-3</v>
      </c>
      <c r="G37" s="2284"/>
      <c r="H37" s="1287"/>
      <c r="I37" s="2877"/>
      <c r="J37" s="2878"/>
      <c r="K37" s="1291"/>
      <c r="L37" s="1287"/>
      <c r="M37" s="1287"/>
    </row>
    <row r="38" spans="1:18" ht="18" customHeight="1" thickBot="1">
      <c r="A38" s="2674" t="s">
        <v>2609</v>
      </c>
      <c r="B38" s="2675" t="s">
        <v>364</v>
      </c>
      <c r="C38" s="2676">
        <f ca="1">ROUND(C5*F38,1)</f>
        <v>1</v>
      </c>
      <c r="D38" s="2677" t="s">
        <v>368</v>
      </c>
      <c r="E38" s="2675" t="s">
        <v>367</v>
      </c>
      <c r="F38" s="2671">
        <f ca="1">INDIRECT("'数据-取费表'!Am"&amp;$G$1)</f>
        <v>0.01</v>
      </c>
      <c r="G38" s="2284"/>
      <c r="H38" s="1287"/>
      <c r="I38" s="2877"/>
      <c r="J38" s="2878"/>
      <c r="K38" s="1292"/>
      <c r="L38" s="1287"/>
      <c r="M38" s="1287"/>
    </row>
    <row r="39" spans="1:18" ht="24.6" customHeight="1" thickTop="1">
      <c r="A39" s="2662" t="s">
        <v>2350</v>
      </c>
      <c r="B39" s="2679" t="s">
        <v>374</v>
      </c>
      <c r="C39" s="692">
        <f ca="1">C5-C30</f>
        <v>75</v>
      </c>
      <c r="D39" s="2680" t="s">
        <v>375</v>
      </c>
      <c r="E39" s="2681"/>
      <c r="F39" s="2682"/>
      <c r="G39" s="2284"/>
      <c r="H39" s="1287"/>
      <c r="I39" s="2877"/>
      <c r="J39" s="2878"/>
      <c r="K39" s="1292"/>
      <c r="L39" s="1287"/>
      <c r="M39" s="1287"/>
    </row>
    <row r="40" spans="1:18" ht="18" customHeight="1">
      <c r="A40" s="681" t="s">
        <v>2353</v>
      </c>
      <c r="B40" s="682" t="s">
        <v>376</v>
      </c>
      <c r="C40" s="683">
        <f ca="1">ROUND(C39*(1-((1+F42)/(1+F40))^F41)/(F40-F42),0)</f>
        <v>1860</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2360</v>
      </c>
      <c r="B43" s="720" t="s">
        <v>380</v>
      </c>
      <c r="C43" s="721">
        <f ca="1">ROUND(C40*10000/F43,0)</f>
        <v>7123</v>
      </c>
      <c r="D43" s="722" t="s">
        <v>381</v>
      </c>
      <c r="E43" s="723" t="s">
        <v>382</v>
      </c>
      <c r="F43" s="724">
        <f ca="1">INDIRECT("'数据-取费表'!k"&amp;$G$1)</f>
        <v>2611.2199999999998</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2483</v>
      </c>
      <c r="P45" s="1293"/>
      <c r="Q45" s="1293"/>
      <c r="R45" s="1293"/>
    </row>
    <row r="46" spans="1:18" s="1451" customFormat="1" ht="21" thickBot="1">
      <c r="A46" s="2392" t="s">
        <v>2322</v>
      </c>
      <c r="B46" s="2393"/>
      <c r="C46" s="2721">
        <f ca="1">C68-C40</f>
        <v>-2228</v>
      </c>
      <c r="D46" s="2722" t="str">
        <f>C2</f>
        <v>万元</v>
      </c>
      <c r="E46" s="1429"/>
      <c r="F46" s="1429"/>
      <c r="I46" s="2574" t="s">
        <v>2418</v>
      </c>
      <c r="J46" s="2575"/>
      <c r="K46" s="2576"/>
      <c r="L46" s="2578" t="str">
        <f ca="1">IF(M47="住宅",0,IF(L48&gt;J51,L60,J60))</f>
        <v>0</v>
      </c>
      <c r="O46" s="2590" t="s">
        <v>2461</v>
      </c>
      <c r="P46" s="2591" t="s">
        <v>2462</v>
      </c>
      <c r="Q46" s="2592" t="s">
        <v>2460</v>
      </c>
      <c r="R46" s="2592" t="s">
        <v>2463</v>
      </c>
    </row>
    <row r="47" spans="1:18" s="1451" customFormat="1" ht="15.75" thickBot="1">
      <c r="A47" s="2394" t="s">
        <v>905</v>
      </c>
      <c r="B47" s="2430" t="s">
        <v>906</v>
      </c>
      <c r="C47" s="2726" t="s">
        <v>907</v>
      </c>
      <c r="D47" s="2430" t="s">
        <v>908</v>
      </c>
      <c r="E47" s="2533" t="s">
        <v>909</v>
      </c>
      <c r="F47" s="2534"/>
      <c r="G47" s="1453"/>
      <c r="I47" s="2549" t="s">
        <v>2411</v>
      </c>
      <c r="J47" s="2550" t="s">
        <v>3325</v>
      </c>
      <c r="K47" s="2559" t="s">
        <v>2434</v>
      </c>
      <c r="L47" s="2560">
        <f ca="1">INDIRECT("'数据-取费表'!d"&amp;$G$1)</f>
        <v>50</v>
      </c>
      <c r="M47" s="2580" t="str">
        <f>IF(ISNUMBER(FIND("住宅",C1)),"住宅","非住宅")</f>
        <v>非住宅</v>
      </c>
      <c r="O47" s="2583" t="s">
        <v>2446</v>
      </c>
      <c r="P47" s="2593" t="s">
        <v>2464</v>
      </c>
      <c r="Q47" s="2584">
        <f ca="1">C40+J29</f>
        <v>1860</v>
      </c>
      <c r="R47" s="2584" t="s">
        <v>2465</v>
      </c>
    </row>
    <row r="48" spans="1:18" s="1451" customFormat="1" ht="47.25" thickBot="1">
      <c r="A48" s="2707" t="s">
        <v>2614</v>
      </c>
      <c r="B48" s="682" t="s">
        <v>2329</v>
      </c>
      <c r="C48" s="3361">
        <f ca="1">C49+C53+C55</f>
        <v>0</v>
      </c>
      <c r="D48" s="2711"/>
      <c r="E48" s="2712"/>
      <c r="F48" s="2414"/>
      <c r="G48" s="1453"/>
      <c r="H48" s="1454"/>
      <c r="I48" s="2540" t="s">
        <v>2412</v>
      </c>
      <c r="J48" s="2551" t="s">
        <v>2413</v>
      </c>
      <c r="K48" s="2561" t="s">
        <v>679</v>
      </c>
      <c r="L48" s="2164">
        <f ca="1">INDIRECT("'数据-取费表'!f"&amp;$G$1)</f>
        <v>47.21</v>
      </c>
      <c r="O48" s="2583" t="s">
        <v>2447</v>
      </c>
      <c r="P48" s="2593" t="s">
        <v>2466</v>
      </c>
      <c r="Q48" s="2584" t="str">
        <f ca="1">J60</f>
        <v>0</v>
      </c>
      <c r="R48" s="2584" t="s">
        <v>2474</v>
      </c>
    </row>
    <row r="49" spans="1:18" s="1451" customFormat="1" ht="15.75" thickBot="1">
      <c r="A49" s="2427" t="s">
        <v>2615</v>
      </c>
      <c r="B49" s="2710" t="s">
        <v>2617</v>
      </c>
      <c r="C49" s="2719">
        <f ca="1">ROUND(F49*F51*F50*(1-F52)/10000,0)</f>
        <v>0</v>
      </c>
      <c r="D49" s="2529" t="s">
        <v>2330</v>
      </c>
      <c r="E49" s="2532" t="s">
        <v>2323</v>
      </c>
      <c r="F49" s="2535"/>
      <c r="G49" s="1455"/>
      <c r="H49" s="1454"/>
      <c r="I49" s="2540" t="s">
        <v>2432</v>
      </c>
      <c r="J49" s="2552"/>
      <c r="K49" s="2562" t="s">
        <v>2437</v>
      </c>
      <c r="L49" s="2563"/>
      <c r="O49" s="2585" t="s">
        <v>2448</v>
      </c>
      <c r="P49" s="2593" t="s">
        <v>2467</v>
      </c>
      <c r="Q49" s="2584">
        <f ca="1">C29</f>
        <v>852</v>
      </c>
      <c r="R49" s="2584" t="s">
        <v>2465</v>
      </c>
    </row>
    <row r="50" spans="1:18" s="1451" customFormat="1" ht="15.75" thickBot="1">
      <c r="A50" s="2428"/>
      <c r="B50" s="2431"/>
      <c r="C50" s="2727"/>
      <c r="D50" s="2401"/>
      <c r="E50" s="2530" t="s">
        <v>911</v>
      </c>
      <c r="F50" s="2531">
        <f ca="1">F7</f>
        <v>2611.2199999999998</v>
      </c>
      <c r="H50" s="1454"/>
      <c r="I50" s="2540" t="s">
        <v>2414</v>
      </c>
      <c r="J50" s="2553">
        <f>SUMPRODUCT((I63:I65=J47)*(J62:L62=J48)*(J63:L65))</f>
        <v>60</v>
      </c>
      <c r="K50" s="2562" t="s">
        <v>2438</v>
      </c>
      <c r="L50" s="2563"/>
      <c r="M50" s="2557"/>
      <c r="O50" s="2585" t="s">
        <v>2449</v>
      </c>
      <c r="P50" s="2593" t="s">
        <v>2475</v>
      </c>
      <c r="Q50" s="2586" t="e">
        <f ca="1">J58</f>
        <v>#VALUE!</v>
      </c>
      <c r="R50" s="2584"/>
    </row>
    <row r="51" spans="1:18" s="1451" customFormat="1" ht="15.75" thickBot="1">
      <c r="A51" s="2429"/>
      <c r="B51" s="2431"/>
      <c r="C51" s="2432"/>
      <c r="D51" s="2401"/>
      <c r="E51" s="2433" t="s">
        <v>912</v>
      </c>
      <c r="F51" s="685">
        <f ca="1">F8</f>
        <v>365</v>
      </c>
      <c r="I51" s="2554" t="s">
        <v>2419</v>
      </c>
      <c r="J51" s="2555">
        <f>IF(J49="",J50,J49+J50-YEAR('数据-取费表'!B2))</f>
        <v>60</v>
      </c>
      <c r="K51" s="2564" t="s">
        <v>2439</v>
      </c>
      <c r="L51" s="2577">
        <f ca="1">ROUND(-PV(INDIRECT("'数据-取费表'!h"&amp;$G$1),L48,(C39-C13*C76),0),0)</f>
        <v>123</v>
      </c>
      <c r="M51" s="2558"/>
      <c r="O51" s="2585" t="s">
        <v>2450</v>
      </c>
      <c r="P51" s="2593" t="s">
        <v>2476</v>
      </c>
      <c r="Q51" s="2586">
        <f>J52</f>
        <v>0</v>
      </c>
      <c r="R51" s="2584"/>
    </row>
    <row r="52" spans="1:18" s="1451" customFormat="1" ht="15.75" thickBot="1">
      <c r="A52" s="2429"/>
      <c r="B52" s="2431"/>
      <c r="C52" s="2432"/>
      <c r="D52" s="2401"/>
      <c r="E52" s="2433" t="s">
        <v>913</v>
      </c>
      <c r="F52" s="2528"/>
      <c r="I52" s="2556" t="s">
        <v>2442</v>
      </c>
      <c r="J52" s="2570"/>
      <c r="K52" s="2556" t="s">
        <v>2427</v>
      </c>
      <c r="L52" s="2570"/>
      <c r="M52" s="2393"/>
      <c r="O52" s="2585" t="s">
        <v>2451</v>
      </c>
      <c r="P52" s="2593" t="s">
        <v>2468</v>
      </c>
      <c r="Q52" s="2584">
        <f ca="1">J53</f>
        <v>47.21</v>
      </c>
      <c r="R52" s="2584" t="s">
        <v>2469</v>
      </c>
    </row>
    <row r="53" spans="1:18" s="1451" customFormat="1" ht="43.5" thickBot="1">
      <c r="A53" s="2822" t="s">
        <v>2616</v>
      </c>
      <c r="B53" s="433" t="s">
        <v>2526</v>
      </c>
      <c r="C53" s="698">
        <f>ROUND(IF(F53="押一",F49*F51*F50/12*F11,IF(F53="押二",F49*F51*F50/12*2*F11,IF(F53="押三",F49*F51*F50/12*3*F11,C54*F11)))/10000,0)</f>
        <v>0</v>
      </c>
      <c r="D53" s="2630" t="s">
        <v>2534</v>
      </c>
      <c r="E53" s="2093" t="s">
        <v>2528</v>
      </c>
      <c r="F53" s="2824"/>
      <c r="I53" s="2566" t="s">
        <v>2444</v>
      </c>
      <c r="J53" s="2567">
        <f ca="1">IF(M47="住宅",J51,MIN(J51,L48))</f>
        <v>47.21</v>
      </c>
      <c r="K53" s="3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9"/>
      <c r="O53" s="2583" t="s">
        <v>2452</v>
      </c>
      <c r="P53" s="2593" t="s">
        <v>2470</v>
      </c>
      <c r="Q53" s="2584">
        <f ca="1">Q47+Q48</f>
        <v>1860</v>
      </c>
      <c r="R53" s="2584" t="s">
        <v>2453</v>
      </c>
    </row>
    <row r="54" spans="1:18" s="1451" customFormat="1" ht="16.5" thickBot="1">
      <c r="A54" s="2823"/>
      <c r="B54" s="2620" t="s">
        <v>2692</v>
      </c>
      <c r="C54" s="2411"/>
      <c r="D54" s="2630"/>
      <c r="E54" s="3352"/>
      <c r="F54" s="2536"/>
      <c r="I54" s="2408"/>
      <c r="J54" s="2565"/>
      <c r="K54" s="2565"/>
      <c r="L54" s="2565"/>
      <c r="M54" s="1455"/>
      <c r="O54" s="2587" t="s">
        <v>2477</v>
      </c>
      <c r="P54" s="1293"/>
      <c r="Q54" s="1293"/>
      <c r="R54" s="1293"/>
    </row>
    <row r="55" spans="1:18" s="1451" customFormat="1" ht="15.75" thickBot="1">
      <c r="A55" s="2666" t="s">
        <v>2539</v>
      </c>
      <c r="B55" s="2667" t="s">
        <v>2527</v>
      </c>
      <c r="C55" s="2668"/>
      <c r="D55" s="2630"/>
      <c r="E55" s="3352"/>
      <c r="F55" s="2536"/>
      <c r="I55" s="3309" t="s">
        <v>2420</v>
      </c>
      <c r="J55" s="3308" t="e">
        <f ca="1">ROUND(IF(J47="钢混",J57/J50,1-(1-2%)*(J50-J57)/J50),3)</f>
        <v>#VALUE!</v>
      </c>
      <c r="K55" s="2547" t="s">
        <v>2421</v>
      </c>
      <c r="L55" s="2569"/>
      <c r="O55" s="2590" t="s">
        <v>2461</v>
      </c>
      <c r="P55" s="2591" t="s">
        <v>2462</v>
      </c>
      <c r="Q55" s="2592" t="s">
        <v>2460</v>
      </c>
      <c r="R55" s="2592" t="s">
        <v>2463</v>
      </c>
    </row>
    <row r="56" spans="1:18" s="1451" customFormat="1" ht="44.25" thickTop="1" thickBot="1">
      <c r="A56" s="2405">
        <v>2</v>
      </c>
      <c r="B56" s="2406" t="s">
        <v>914</v>
      </c>
      <c r="C56" s="608">
        <f ca="1">C13</f>
        <v>852</v>
      </c>
      <c r="D56" s="2694"/>
      <c r="E56" s="2407"/>
      <c r="F56" s="2536"/>
      <c r="I56" s="2539" t="s">
        <v>2422</v>
      </c>
      <c r="J56" s="2568" t="s">
        <v>3051</v>
      </c>
      <c r="K56" s="2540" t="s">
        <v>2426</v>
      </c>
      <c r="L56" s="2164" t="str">
        <f ca="1">IF(L48&lt;J51,"——",L48-J51)</f>
        <v>——</v>
      </c>
      <c r="O56" s="2583" t="s">
        <v>2446</v>
      </c>
      <c r="P56" s="2593" t="s">
        <v>2464</v>
      </c>
      <c r="Q56" s="2584">
        <f ca="1">C40+J29</f>
        <v>1860</v>
      </c>
      <c r="R56" s="2584" t="s">
        <v>2465</v>
      </c>
    </row>
    <row r="57" spans="1:18" s="1451" customFormat="1" ht="29.25" thickBot="1">
      <c r="A57" s="2537"/>
      <c r="B57" s="2398" t="s">
        <v>963</v>
      </c>
      <c r="C57" s="614">
        <f ca="1">C29</f>
        <v>852</v>
      </c>
      <c r="D57" s="2409"/>
      <c r="E57" s="2410"/>
      <c r="F57" s="2538"/>
      <c r="I57" s="2541" t="s">
        <v>2443</v>
      </c>
      <c r="J57" s="2545" t="str">
        <f ca="1">IF(OR(M47="住宅",J51&lt;L48,J56="是"),"——",J51-L48)</f>
        <v>——</v>
      </c>
      <c r="K57" s="2540" t="s">
        <v>2895</v>
      </c>
      <c r="L57" s="2164" t="str">
        <f ca="1">IF(L48&lt;J51,"——",IF(L55="比较法",L49,IF(L55="基准地价",L50,L51)))</f>
        <v>——</v>
      </c>
      <c r="O57" s="2583" t="s">
        <v>2447</v>
      </c>
      <c r="P57" s="2593" t="s">
        <v>2471</v>
      </c>
      <c r="Q57" s="2584">
        <f ca="1">L60</f>
        <v>0</v>
      </c>
      <c r="R57" s="2584" t="s">
        <v>2486</v>
      </c>
    </row>
    <row r="58" spans="1:18" s="1451" customFormat="1" ht="29.25" thickBot="1">
      <c r="A58" s="697" t="s">
        <v>2335</v>
      </c>
      <c r="B58" s="2406" t="s">
        <v>921</v>
      </c>
      <c r="C58" s="698">
        <f ca="1">ROUND(C59+C64+C65+C66,0)</f>
        <v>22</v>
      </c>
      <c r="D58" s="2412" t="s">
        <v>922</v>
      </c>
      <c r="E58" s="2413"/>
      <c r="F58" s="2414"/>
      <c r="I58" s="2541" t="s">
        <v>2423</v>
      </c>
      <c r="J58" s="3310" t="e">
        <f ca="1">IF(J55&lt;0.4,0.4,J55)</f>
        <v>#VALUE!</v>
      </c>
      <c r="K58" s="2564" t="s">
        <v>2896</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1" customFormat="1" ht="29.25" thickBot="1">
      <c r="A59" s="2434" t="s">
        <v>2370</v>
      </c>
      <c r="B59" s="2398" t="s">
        <v>360</v>
      </c>
      <c r="C59" s="313">
        <f ca="1">ROUND(IF(项目基本情况!B11="自然人",C48*F59,C60+C61+C62),1)</f>
        <v>7.4</v>
      </c>
      <c r="D59" s="2415" t="s">
        <v>925</v>
      </c>
      <c r="E59" s="2416" t="s">
        <v>926</v>
      </c>
      <c r="F59" s="707" t="str">
        <f ca="1">IF(项目基本情况!B11="企业","",IF(INDIRECT("'数据-取费表'!c"&amp;$G$1)="住宅",5%,IF(F49*F50*F51/12/(1+'数据-取费表'!C42)&gt;20000,12%,7%)))</f>
        <v/>
      </c>
      <c r="I59" s="2541" t="s">
        <v>2424</v>
      </c>
      <c r="J59" s="2545" t="str">
        <f ca="1">IF(OR(M47="住宅",J51&lt;L48,J56="是"),"——",ROUND(C29*J58,0))</f>
        <v>——</v>
      </c>
      <c r="K59" s="2564" t="s">
        <v>2897</v>
      </c>
      <c r="L59" s="2164">
        <f ca="1">IF(ISERROR(POWER(1+L52,L47-J51)*(POWER(1+L52,J51)-1)/(POWER(1+L52,L47)-1)),0,POWER(1+L52,L47-J51)*(POWER(1+L52,J51)-1)/(POWER(1+L52,L47)-1))</f>
        <v>0</v>
      </c>
      <c r="O59" s="2585" t="s">
        <v>2449</v>
      </c>
      <c r="P59" s="2593" t="s">
        <v>2479</v>
      </c>
      <c r="Q59" s="2586">
        <f>L52</f>
        <v>0</v>
      </c>
      <c r="R59" s="2584"/>
    </row>
    <row r="60" spans="1:18" s="1451" customFormat="1" ht="20.25" thickBot="1">
      <c r="A60" s="2434" t="s">
        <v>2367</v>
      </c>
      <c r="B60" s="2398" t="s">
        <v>927</v>
      </c>
      <c r="C60" s="313">
        <f ca="1">IF(项目基本情况!B11="自然人","——",ROUND(C48*F60/(1+'数据-取费表'!C42),2))</f>
        <v>0</v>
      </c>
      <c r="D60" s="2416" t="s">
        <v>928</v>
      </c>
      <c r="E60" s="2398" t="s">
        <v>920</v>
      </c>
      <c r="F60" s="716">
        <f t="shared" ref="F60:F66" si="0">F32</f>
        <v>5.6000000000000001E-2</v>
      </c>
      <c r="I60" s="2542" t="s">
        <v>2425</v>
      </c>
      <c r="J60" s="2546" t="str">
        <f ca="1">IF(OR(M47="住宅",J51&lt;L48,J56="是"),"0",ROUND(J59/(1+J52)^J53,0))</f>
        <v>0</v>
      </c>
      <c r="K60" s="2548" t="s">
        <v>2428</v>
      </c>
      <c r="L60" s="2546">
        <f ca="1">IF(OR(M47="住宅",L48&lt;J51),0,ROUND(L57*(L58/L59-1),0))</f>
        <v>0</v>
      </c>
      <c r="O60" s="2585" t="s">
        <v>2450</v>
      </c>
      <c r="P60" s="2593" t="s">
        <v>2480</v>
      </c>
      <c r="Q60" s="2584">
        <f ca="1">L58</f>
        <v>0</v>
      </c>
      <c r="R60" s="2584" t="s">
        <v>2455</v>
      </c>
    </row>
    <row r="61" spans="1:18" s="1451" customFormat="1" ht="20.25" thickBot="1">
      <c r="A61" s="2434" t="s">
        <v>2368</v>
      </c>
      <c r="B61" s="2398" t="s">
        <v>930</v>
      </c>
      <c r="C61" s="313">
        <f ca="1">IF(项目基本情况!B11="自然人","——",IF(D61="按租金收入计税",ROUND(C48*F61,2),IF(D61="按房产原值计税",ROUND(C57*F61*0.7,2),INDIRECT("'数据-取费表'!Aj"&amp;$G$1))))</f>
        <v>7.16</v>
      </c>
      <c r="D61" s="1298" t="s">
        <v>2410</v>
      </c>
      <c r="E61" s="2398" t="s">
        <v>920</v>
      </c>
      <c r="F61" s="706">
        <f t="shared" si="0"/>
        <v>1.2E-2</v>
      </c>
      <c r="I61" s="2408"/>
      <c r="J61" s="2408"/>
      <c r="K61" s="2408"/>
      <c r="L61" s="2408"/>
      <c r="O61" s="2585" t="s">
        <v>2451</v>
      </c>
      <c r="P61" s="2593" t="s">
        <v>2481</v>
      </c>
      <c r="Q61" s="2584">
        <f ca="1">L59</f>
        <v>0</v>
      </c>
      <c r="R61" s="2584" t="s">
        <v>2456</v>
      </c>
    </row>
    <row r="62" spans="1:18" s="1451" customFormat="1" ht="15.75" thickBot="1">
      <c r="A62" s="2434" t="s">
        <v>2369</v>
      </c>
      <c r="B62" s="2397" t="s">
        <v>932</v>
      </c>
      <c r="C62" s="314">
        <f ca="1">IF(项目基本情况!B11="自然人","——",ROUND(F62*F63/10000,2))</f>
        <v>0.2</v>
      </c>
      <c r="D62" s="2417" t="s">
        <v>933</v>
      </c>
      <c r="E62" s="2398" t="s">
        <v>934</v>
      </c>
      <c r="F62" s="710">
        <f t="shared" si="0"/>
        <v>1.5</v>
      </c>
      <c r="I62" s="2543" t="s">
        <v>2415</v>
      </c>
      <c r="J62" s="2544" t="s">
        <v>2416</v>
      </c>
      <c r="K62" s="2544" t="s">
        <v>2417</v>
      </c>
      <c r="L62" s="2544" t="s">
        <v>2413</v>
      </c>
      <c r="M62" s="3311" t="s">
        <v>3034</v>
      </c>
      <c r="O62" s="2583" t="s">
        <v>2452</v>
      </c>
      <c r="P62" s="2593" t="s">
        <v>2470</v>
      </c>
      <c r="Q62" s="2584">
        <f ca="1">Q56+Q57</f>
        <v>1860</v>
      </c>
      <c r="R62" s="2584" t="s">
        <v>2453</v>
      </c>
    </row>
    <row r="63" spans="1:18" s="1451" customFormat="1" ht="16.5" thickBot="1">
      <c r="A63" s="711"/>
      <c r="B63" s="2404"/>
      <c r="C63" s="318"/>
      <c r="D63" s="2418"/>
      <c r="E63" s="2398" t="s">
        <v>938</v>
      </c>
      <c r="F63" s="685">
        <f t="shared" ca="1" si="0"/>
        <v>1352.68</v>
      </c>
      <c r="I63" s="2543" t="s">
        <v>2429</v>
      </c>
      <c r="J63" s="3314">
        <v>70</v>
      </c>
      <c r="K63" s="3314">
        <v>50</v>
      </c>
      <c r="L63" s="3314">
        <v>80</v>
      </c>
      <c r="M63" s="3312">
        <v>0.02</v>
      </c>
      <c r="O63" s="2587" t="s">
        <v>2484</v>
      </c>
      <c r="P63" s="1293"/>
      <c r="Q63" s="1293"/>
      <c r="R63" s="1293"/>
    </row>
    <row r="64" spans="1:18" s="1451" customFormat="1" ht="15.75" thickBot="1">
      <c r="A64" s="2434" t="s">
        <v>2377</v>
      </c>
      <c r="B64" s="2398" t="s">
        <v>940</v>
      </c>
      <c r="C64" s="313">
        <f ca="1">ROUND(C57*F64,1)</f>
        <v>12.8</v>
      </c>
      <c r="D64" s="2416" t="s">
        <v>970</v>
      </c>
      <c r="E64" s="2398" t="s">
        <v>920</v>
      </c>
      <c r="F64" s="713">
        <f t="shared" ca="1" si="0"/>
        <v>1.4999999999999999E-2</v>
      </c>
      <c r="I64" s="2543" t="s">
        <v>107</v>
      </c>
      <c r="J64" s="3314">
        <v>50</v>
      </c>
      <c r="K64" s="3314">
        <v>35</v>
      </c>
      <c r="L64" s="3314">
        <v>60</v>
      </c>
      <c r="M64" s="3313">
        <v>0</v>
      </c>
      <c r="O64" s="2590" t="s">
        <v>2461</v>
      </c>
      <c r="P64" s="2591" t="s">
        <v>2462</v>
      </c>
      <c r="Q64" s="2592" t="s">
        <v>2460</v>
      </c>
      <c r="R64" s="2592" t="s">
        <v>2463</v>
      </c>
    </row>
    <row r="65" spans="1:18" s="1451" customFormat="1" ht="15.75" thickBot="1">
      <c r="A65" s="2434" t="s">
        <v>2371</v>
      </c>
      <c r="B65" s="2398" t="s">
        <v>365</v>
      </c>
      <c r="C65" s="313">
        <f ca="1">ROUND(C56*F65,1)</f>
        <v>1.3</v>
      </c>
      <c r="D65" s="2416" t="s">
        <v>366</v>
      </c>
      <c r="E65" s="2398" t="s">
        <v>920</v>
      </c>
      <c r="F65" s="715">
        <f t="shared" ca="1" si="0"/>
        <v>1.5E-3</v>
      </c>
      <c r="I65" s="2543" t="s">
        <v>2431</v>
      </c>
      <c r="J65" s="3314">
        <v>40</v>
      </c>
      <c r="K65" s="3314">
        <v>30</v>
      </c>
      <c r="L65" s="3314">
        <v>50</v>
      </c>
      <c r="M65" s="3312">
        <v>0.02</v>
      </c>
      <c r="O65" s="2583" t="s">
        <v>2446</v>
      </c>
      <c r="P65" s="2593" t="s">
        <v>2464</v>
      </c>
      <c r="Q65" s="2584">
        <f ca="1">C40+J29</f>
        <v>1860</v>
      </c>
      <c r="R65" s="2584" t="s">
        <v>2465</v>
      </c>
    </row>
    <row r="66" spans="1:18" s="1451" customFormat="1" ht="20.25" thickBot="1">
      <c r="A66" s="2434" t="s">
        <v>2372</v>
      </c>
      <c r="B66" s="2398" t="s">
        <v>364</v>
      </c>
      <c r="C66" s="313">
        <f ca="1">ROUND(C48*F66,1)</f>
        <v>0</v>
      </c>
      <c r="D66" s="2416" t="s">
        <v>368</v>
      </c>
      <c r="E66" s="2398" t="s">
        <v>920</v>
      </c>
      <c r="F66" s="694">
        <f t="shared" ca="1" si="0"/>
        <v>0.01</v>
      </c>
      <c r="O66" s="2583" t="s">
        <v>2447</v>
      </c>
      <c r="P66" s="2593" t="s">
        <v>2471</v>
      </c>
      <c r="Q66" s="2584">
        <f ca="1">L60</f>
        <v>0</v>
      </c>
      <c r="R66" s="2584" t="s">
        <v>2454</v>
      </c>
    </row>
    <row r="67" spans="1:18" s="1451" customFormat="1" ht="24.75" thickBot="1">
      <c r="A67" s="2405" t="s">
        <v>2350</v>
      </c>
      <c r="B67" s="2419" t="s">
        <v>374</v>
      </c>
      <c r="C67" s="698">
        <f ca="1">C48-C58</f>
        <v>-22</v>
      </c>
      <c r="D67" s="2415" t="s">
        <v>949</v>
      </c>
      <c r="E67" s="2420"/>
      <c r="F67" s="2421"/>
      <c r="O67" s="2585" t="s">
        <v>2448</v>
      </c>
      <c r="P67" s="2593" t="s">
        <v>2478</v>
      </c>
      <c r="Q67" s="2588">
        <f ca="1">L51</f>
        <v>123</v>
      </c>
      <c r="R67" s="2589" t="s">
        <v>2488</v>
      </c>
    </row>
    <row r="68" spans="1:18" s="1451" customFormat="1" ht="20.25" thickBot="1">
      <c r="A68" s="2395" t="s">
        <v>2353</v>
      </c>
      <c r="B68" s="2396" t="s">
        <v>376</v>
      </c>
      <c r="C68" s="683">
        <f ca="1">ROUND(C67*(1-((1+F70)/(1+F68))^F69)/(F68-F70),0)</f>
        <v>-368</v>
      </c>
      <c r="D68" s="2417" t="s">
        <v>370</v>
      </c>
      <c r="E68" s="2398" t="s">
        <v>959</v>
      </c>
      <c r="F68" s="694">
        <f ca="1">F40</f>
        <v>5.5E-2</v>
      </c>
      <c r="O68" s="2585" t="s">
        <v>2449</v>
      </c>
      <c r="P68" s="2594" t="s">
        <v>2482</v>
      </c>
      <c r="Q68" s="2584">
        <f ca="1">ROUND(Q69-Q70*Q71,0)</f>
        <v>7</v>
      </c>
      <c r="R68" s="2584" t="s">
        <v>2487</v>
      </c>
    </row>
    <row r="69" spans="1:18" s="1451" customFormat="1" ht="15.75" thickBot="1">
      <c r="A69" s="2399"/>
      <c r="B69" s="2400"/>
      <c r="C69" s="688"/>
      <c r="D69" s="2422" t="s">
        <v>955</v>
      </c>
      <c r="E69" s="2398" t="s">
        <v>960</v>
      </c>
      <c r="F69" s="718">
        <f ca="1">F41</f>
        <v>47.21</v>
      </c>
      <c r="O69" s="2585" t="s">
        <v>2457</v>
      </c>
      <c r="P69" s="2594" t="s">
        <v>2472</v>
      </c>
      <c r="Q69" s="2584">
        <f ca="1">C39</f>
        <v>75</v>
      </c>
      <c r="R69" s="2584" t="s">
        <v>2465</v>
      </c>
    </row>
    <row r="70" spans="1:18" s="1451" customFormat="1" ht="15.75" thickBot="1">
      <c r="A70" s="2402"/>
      <c r="B70" s="2403"/>
      <c r="C70" s="692"/>
      <c r="D70" s="2418"/>
      <c r="E70" s="2398" t="s">
        <v>379</v>
      </c>
      <c r="F70" s="2528"/>
      <c r="O70" s="2585" t="s">
        <v>2458</v>
      </c>
      <c r="P70" s="2594" t="s">
        <v>2473</v>
      </c>
      <c r="Q70" s="2584">
        <f ca="1">C13</f>
        <v>852</v>
      </c>
      <c r="R70" s="2584" t="s">
        <v>2465</v>
      </c>
    </row>
    <row r="71" spans="1:18" s="1451" customFormat="1" ht="15.75" thickBot="1">
      <c r="A71" s="2423" t="s">
        <v>2360</v>
      </c>
      <c r="B71" s="2424" t="s">
        <v>380</v>
      </c>
      <c r="C71" s="721">
        <f ca="1">ROUND(C68*10000/F71,0)</f>
        <v>-1409</v>
      </c>
      <c r="D71" s="2425" t="s">
        <v>381</v>
      </c>
      <c r="E71" s="2426" t="s">
        <v>382</v>
      </c>
      <c r="F71" s="724">
        <f ca="1">F43</f>
        <v>2611.2199999999998</v>
      </c>
      <c r="I71" s="2393"/>
      <c r="K71" s="2393"/>
      <c r="O71" s="2585" t="s">
        <v>2459</v>
      </c>
      <c r="P71" s="2594" t="s">
        <v>2485</v>
      </c>
      <c r="Q71" s="2586">
        <f ca="1">C76</f>
        <v>0.08</v>
      </c>
      <c r="R71" s="2584"/>
    </row>
    <row r="72" spans="1:18" s="1451" customFormat="1" ht="15.75" thickBot="1">
      <c r="B72" s="1456"/>
      <c r="C72" s="1456"/>
      <c r="I72" s="2393"/>
      <c r="O72" s="2585" t="s">
        <v>2450</v>
      </c>
      <c r="P72" s="2593" t="s">
        <v>2479</v>
      </c>
      <c r="Q72" s="2586">
        <f>L52</f>
        <v>0</v>
      </c>
      <c r="R72" s="2584"/>
    </row>
    <row r="73" spans="1:18" ht="20.25" thickBot="1">
      <c r="A73" s="1451"/>
      <c r="B73" s="1456"/>
      <c r="C73" s="1456"/>
      <c r="D73" s="1451"/>
      <c r="E73" s="1451"/>
      <c r="F73" s="1451"/>
      <c r="I73" s="2579"/>
      <c r="O73" s="2585" t="s">
        <v>2451</v>
      </c>
      <c r="P73" s="2593" t="s">
        <v>2480</v>
      </c>
      <c r="Q73" s="2584">
        <f ca="1">L58</f>
        <v>0</v>
      </c>
      <c r="R73" s="2584" t="s">
        <v>2455</v>
      </c>
    </row>
    <row r="74" spans="1:18" ht="20.25" thickBot="1">
      <c r="A74" s="1451"/>
      <c r="B74" s="726" t="s">
        <v>383</v>
      </c>
      <c r="C74" s="727"/>
      <c r="D74" s="1451"/>
      <c r="E74" s="1451"/>
      <c r="F74" s="1451"/>
      <c r="O74" s="2585" t="s">
        <v>2489</v>
      </c>
      <c r="P74" s="2593" t="s">
        <v>2481</v>
      </c>
      <c r="Q74" s="2584">
        <f ca="1">L59</f>
        <v>0</v>
      </c>
      <c r="R74" s="2584" t="s">
        <v>2456</v>
      </c>
    </row>
    <row r="75" spans="1:18" ht="15.75" thickBot="1">
      <c r="A75" s="1451"/>
      <c r="B75" s="728" t="s">
        <v>968</v>
      </c>
      <c r="C75" s="729">
        <f ca="1">ROUND(C13*C76,0)</f>
        <v>68</v>
      </c>
      <c r="D75" s="1451"/>
      <c r="E75" s="1451"/>
      <c r="F75" s="1451"/>
      <c r="K75" s="1452"/>
      <c r="L75" s="1451"/>
      <c r="O75" s="2583" t="s">
        <v>2452</v>
      </c>
      <c r="P75" s="2593" t="s">
        <v>2470</v>
      </c>
      <c r="Q75" s="2584">
        <f ca="1">Q65+Q66</f>
        <v>1860</v>
      </c>
      <c r="R75" s="2584" t="s">
        <v>2453</v>
      </c>
    </row>
    <row r="76" spans="1:18">
      <c r="B76" s="730" t="s">
        <v>969</v>
      </c>
      <c r="C76" s="731">
        <f ca="1">INDIRECT("'数据-取费表'!j"&amp;$G$1)</f>
        <v>0.08</v>
      </c>
      <c r="I76" s="1451"/>
      <c r="J76" s="1451"/>
      <c r="K76" s="1452"/>
      <c r="L76" s="1451"/>
    </row>
    <row r="77" spans="1:18">
      <c r="B77" s="732" t="s">
        <v>972</v>
      </c>
      <c r="C77" s="733"/>
      <c r="I77" s="1451"/>
      <c r="J77" s="1451"/>
      <c r="K77" s="1452"/>
      <c r="L77" s="1451"/>
    </row>
    <row r="78" spans="1:18">
      <c r="B78" s="646" t="s">
        <v>958</v>
      </c>
      <c r="C78" s="734"/>
    </row>
    <row r="79" spans="1:18">
      <c r="B79" s="2869" t="s">
        <v>2697</v>
      </c>
      <c r="C79" s="650">
        <f ca="1">1-C80</f>
        <v>9.2999999999999972E-2</v>
      </c>
    </row>
    <row r="80" spans="1:18">
      <c r="B80" s="2869" t="s">
        <v>2696</v>
      </c>
      <c r="C80" s="650">
        <f ca="1">ROUND(C75/C39,3)</f>
        <v>0.90700000000000003</v>
      </c>
    </row>
    <row r="81" spans="2:3">
      <c r="B81" s="646" t="s">
        <v>384</v>
      </c>
      <c r="C81" s="647"/>
    </row>
    <row r="82" spans="2:3">
      <c r="B82" s="2868" t="s">
        <v>2695</v>
      </c>
      <c r="C82" s="651">
        <f ca="1">1-C83</f>
        <v>0.54200000000000004</v>
      </c>
    </row>
    <row r="83" spans="2:3">
      <c r="B83" s="2868" t="s">
        <v>2694</v>
      </c>
      <c r="C83" s="650">
        <f ca="1">ROUND(C13/C40,3)</f>
        <v>0.45800000000000002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827" t="s">
        <v>2708</v>
      </c>
      <c r="C1" s="3827"/>
      <c r="D1" s="3827"/>
      <c r="E1" s="3827"/>
      <c r="F1" s="3827"/>
      <c r="G1" s="3823" t="s">
        <v>2709</v>
      </c>
      <c r="H1" s="3823"/>
      <c r="I1" s="3823"/>
      <c r="J1" s="3823"/>
      <c r="K1" s="3823"/>
      <c r="L1" s="3823"/>
      <c r="N1" s="3823" t="s">
        <v>2710</v>
      </c>
      <c r="O1" s="3823"/>
      <c r="P1" s="3823"/>
      <c r="Q1" s="3823"/>
      <c r="R1" s="2896"/>
      <c r="S1" s="3823" t="s">
        <v>2711</v>
      </c>
      <c r="T1" s="3823"/>
      <c r="U1" s="3823"/>
      <c r="V1" s="3823"/>
      <c r="X1" s="3822" t="s">
        <v>2712</v>
      </c>
      <c r="Y1" s="3823"/>
      <c r="Z1" s="3823"/>
      <c r="AA1" s="3823"/>
      <c r="AB1" s="3823"/>
      <c r="AD1" s="3822" t="s">
        <v>2713</v>
      </c>
      <c r="AE1" s="3823"/>
      <c r="AF1" s="3823"/>
      <c r="AG1" s="3823"/>
      <c r="AH1" s="3823"/>
    </row>
    <row r="2" spans="1:34" s="2897" customFormat="1" ht="14.25" thickBot="1">
      <c r="B2" s="2898" t="s">
        <v>2714</v>
      </c>
      <c r="C2" s="2898" t="s">
        <v>2715</v>
      </c>
      <c r="D2" s="2899" t="s">
        <v>2716</v>
      </c>
      <c r="E2" s="2899" t="s">
        <v>2717</v>
      </c>
      <c r="F2" s="2898" t="s">
        <v>2718</v>
      </c>
      <c r="G2" s="2900"/>
      <c r="H2" s="2901"/>
      <c r="I2" s="2898" t="s">
        <v>2714</v>
      </c>
      <c r="J2" s="2899" t="s">
        <v>3058</v>
      </c>
      <c r="K2" s="2899" t="s">
        <v>1839</v>
      </c>
      <c r="L2" s="2898" t="s">
        <v>2718</v>
      </c>
      <c r="N2" s="2898" t="s">
        <v>2714</v>
      </c>
      <c r="O2" s="2899" t="s">
        <v>3058</v>
      </c>
      <c r="P2" s="2899" t="s">
        <v>1839</v>
      </c>
      <c r="Q2" s="2898" t="s">
        <v>2718</v>
      </c>
      <c r="R2" s="2902"/>
      <c r="S2" s="2898" t="s">
        <v>2714</v>
      </c>
      <c r="T2" s="2899" t="s">
        <v>3058</v>
      </c>
      <c r="U2" s="2899" t="s">
        <v>1839</v>
      </c>
      <c r="V2" s="2898" t="s">
        <v>2718</v>
      </c>
      <c r="X2" s="2898" t="s">
        <v>2714</v>
      </c>
      <c r="Y2" s="2898" t="s">
        <v>2715</v>
      </c>
      <c r="Z2" s="2899" t="s">
        <v>2716</v>
      </c>
      <c r="AA2" s="2899" t="s">
        <v>2717</v>
      </c>
      <c r="AB2" s="2898" t="s">
        <v>2718</v>
      </c>
      <c r="AD2" s="2898" t="s">
        <v>2714</v>
      </c>
      <c r="AE2" s="2898" t="s">
        <v>2715</v>
      </c>
      <c r="AF2" s="2899" t="s">
        <v>2716</v>
      </c>
      <c r="AG2" s="2899" t="s">
        <v>2717</v>
      </c>
      <c r="AH2" s="2898" t="s">
        <v>2718</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2719</v>
      </c>
      <c r="B4" s="2912"/>
      <c r="C4" s="2912"/>
      <c r="D4" s="2912"/>
      <c r="E4" s="2912"/>
      <c r="F4" s="2912"/>
      <c r="G4" s="3828">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4" customFormat="1">
      <c r="A5" s="3232" t="s">
        <v>2720</v>
      </c>
      <c r="B5" s="3342">
        <f t="shared" ref="B5:B6" si="2">B6*(1+N5)</f>
        <v>429.62688667359998</v>
      </c>
      <c r="C5" s="3342">
        <f t="shared" ref="C5:C6" si="3">C6*(1+O5)</f>
        <v>318.97763788800006</v>
      </c>
      <c r="D5" s="3342">
        <f t="shared" ref="D5:D6" si="4">C5</f>
        <v>318.97763788800006</v>
      </c>
      <c r="E5" s="3342">
        <f t="shared" ref="E5:E6" si="5">E6*(1+P5)</f>
        <v>613.03761713879999</v>
      </c>
      <c r="F5" s="3342">
        <f t="shared" ref="F5:F6" si="6">F6*(1+Q5)</f>
        <v>278.506175276448</v>
      </c>
      <c r="G5" s="3825"/>
      <c r="H5" s="3233">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5"/>
      <c r="S5" s="3236"/>
      <c r="T5" s="3235"/>
      <c r="U5" s="3235"/>
      <c r="V5" s="3235"/>
      <c r="W5" s="2921" t="s">
        <v>2722</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4" customFormat="1">
      <c r="A6" s="2911" t="s">
        <v>3059</v>
      </c>
      <c r="B6" s="2931">
        <f t="shared" si="2"/>
        <v>419.31181600000002</v>
      </c>
      <c r="C6" s="2931">
        <f t="shared" si="3"/>
        <v>313.95436800000004</v>
      </c>
      <c r="D6" s="2931">
        <f t="shared" si="4"/>
        <v>313.95436800000004</v>
      </c>
      <c r="E6" s="2931">
        <f t="shared" si="5"/>
        <v>596.63028431999999</v>
      </c>
      <c r="F6" s="2931">
        <f t="shared" si="6"/>
        <v>274.74220703999998</v>
      </c>
      <c r="G6" s="3825"/>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39">
        <f>ROUND(SUMPRODUCT(PRODUCT(1+N6:N$18)),4)</f>
        <v>1.3628</v>
      </c>
      <c r="Y6" s="3339">
        <f>ROUND(SUMPRODUCT(PRODUCT(1+O6:O$18)),4)</f>
        <v>1.2205999999999999</v>
      </c>
      <c r="Z6" s="3339">
        <f t="shared" si="0"/>
        <v>1.2205999999999999</v>
      </c>
      <c r="AA6" s="3339">
        <f>ROUND(SUMPRODUCT(PRODUCT(1+P6:P$18)),4)</f>
        <v>1.4118999999999999</v>
      </c>
      <c r="AB6" s="3339">
        <f>ROUND(SUMPRODUCT(PRODUCT(1+Q6:Q$18)),4)</f>
        <v>1.1930000000000001</v>
      </c>
      <c r="AC6" s="2903"/>
      <c r="AD6" s="3340">
        <f>ROUND(AVERAGE(I6:I$19)/100,4)</f>
        <v>2.46E-2</v>
      </c>
      <c r="AE6" s="3340">
        <f>ROUND(AVERAGE(J6:J$19)/100,4)</f>
        <v>1.6E-2</v>
      </c>
      <c r="AF6" s="3340">
        <f t="shared" si="1"/>
        <v>1.6E-2</v>
      </c>
      <c r="AG6" s="3340">
        <f>ROUND(AVERAGE(K6:K$19)/100,4)</f>
        <v>2.75E-2</v>
      </c>
      <c r="AH6" s="3340">
        <f>ROUND(AVERAGE(L6:L$19)/100,4)</f>
        <v>1.37E-2</v>
      </c>
    </row>
    <row r="7" spans="1:34" s="2919" customFormat="1" ht="13.5" thickBot="1">
      <c r="A7" s="2911" t="s">
        <v>2721</v>
      </c>
      <c r="B7" s="2931">
        <f>B8*(1+N7)</f>
        <v>405.524</v>
      </c>
      <c r="C7" s="2931">
        <f>C8*(1+O7)</f>
        <v>307.79840000000002</v>
      </c>
      <c r="D7" s="2931">
        <f>C7</f>
        <v>307.79840000000002</v>
      </c>
      <c r="E7" s="2931">
        <f>E8*(1+P7)</f>
        <v>574.67759999999998</v>
      </c>
      <c r="F7" s="2931">
        <f>F8*(1+Q7)</f>
        <v>270.20280000000002</v>
      </c>
      <c r="G7" s="3826"/>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1"/>
      <c r="X7" s="3339">
        <f>ROUND(SUMPRODUCT(PRODUCT(1+N7:N$18)),4)</f>
        <v>1.3180000000000001</v>
      </c>
      <c r="Y7" s="3339">
        <f>ROUND(SUMPRODUCT(PRODUCT(1+O7:O$18)),4)</f>
        <v>1.1966000000000001</v>
      </c>
      <c r="Z7" s="3339">
        <f t="shared" si="0"/>
        <v>1.1966000000000001</v>
      </c>
      <c r="AA7" s="3339">
        <f>ROUND(SUMPRODUCT(PRODUCT(1+P7:P$18)),4)</f>
        <v>1.36</v>
      </c>
      <c r="AB7" s="3339">
        <f>ROUND(SUMPRODUCT(PRODUCT(1+Q7:Q$18)),4)</f>
        <v>1.1733</v>
      </c>
      <c r="AC7" s="3341"/>
      <c r="AD7" s="3340">
        <f>ROUND(AVERAGE(I7:I$19)/100,4)</f>
        <v>2.3900000000000001E-2</v>
      </c>
      <c r="AE7" s="3340">
        <f>ROUND(AVERAGE(J7:J$19)/100,4)</f>
        <v>1.5699999999999999E-2</v>
      </c>
      <c r="AF7" s="3340">
        <f t="shared" si="1"/>
        <v>1.5699999999999999E-2</v>
      </c>
      <c r="AG7" s="3340">
        <f>ROUND(AVERAGE(K7:K$19)/100,4)</f>
        <v>2.6599999999999999E-2</v>
      </c>
      <c r="AH7" s="3340">
        <f>ROUND(AVERAGE(L7:L$19)/100,4)</f>
        <v>1.34E-2</v>
      </c>
    </row>
    <row r="8" spans="1:34">
      <c r="A8" s="2911" t="s">
        <v>1154</v>
      </c>
      <c r="B8" s="2923">
        <v>392</v>
      </c>
      <c r="C8" s="2923">
        <v>302</v>
      </c>
      <c r="D8" s="2923">
        <f>C8</f>
        <v>302</v>
      </c>
      <c r="E8" s="2923">
        <v>553</v>
      </c>
      <c r="F8" s="2924">
        <v>266</v>
      </c>
      <c r="G8" s="3828">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1153</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825"/>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1143</v>
      </c>
      <c r="B10" s="2931">
        <f t="shared" si="15"/>
        <v>360.06949782209392</v>
      </c>
      <c r="C10" s="2931">
        <f t="shared" si="15"/>
        <v>289.84672674747821</v>
      </c>
      <c r="D10" s="2931">
        <f t="shared" si="16"/>
        <v>289.84672674747821</v>
      </c>
      <c r="E10" s="2931">
        <f t="shared" si="17"/>
        <v>501.06543001181495</v>
      </c>
      <c r="F10" s="2931">
        <f t="shared" si="17"/>
        <v>256.82882500744967</v>
      </c>
      <c r="G10" s="3825"/>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1152</v>
      </c>
      <c r="B11" s="2931">
        <f t="shared" si="15"/>
        <v>346.720748986128</v>
      </c>
      <c r="C11" s="2931">
        <f t="shared" si="15"/>
        <v>284.30282172386285</v>
      </c>
      <c r="D11" s="2931">
        <f t="shared" si="16"/>
        <v>284.30282172386285</v>
      </c>
      <c r="E11" s="2931">
        <f t="shared" si="17"/>
        <v>479.58023546306947</v>
      </c>
      <c r="F11" s="2931">
        <f t="shared" si="17"/>
        <v>253.25788877571213</v>
      </c>
      <c r="G11" s="3826"/>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1151</v>
      </c>
      <c r="B12" s="2923">
        <v>333</v>
      </c>
      <c r="C12" s="2923">
        <v>277</v>
      </c>
      <c r="D12" s="2923">
        <f t="shared" si="16"/>
        <v>277</v>
      </c>
      <c r="E12" s="2923">
        <v>459</v>
      </c>
      <c r="F12" s="2924">
        <v>249</v>
      </c>
      <c r="G12" s="3824">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1150</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825"/>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1149</v>
      </c>
      <c r="B14" s="2931">
        <f t="shared" si="19"/>
        <v>322.34053690220776</v>
      </c>
      <c r="C14" s="2931">
        <f t="shared" si="19"/>
        <v>271.46160770422546</v>
      </c>
      <c r="D14" s="2931">
        <f t="shared" si="16"/>
        <v>271.46160770422546</v>
      </c>
      <c r="E14" s="2931">
        <f t="shared" si="20"/>
        <v>442.69434542172456</v>
      </c>
      <c r="F14" s="2931">
        <f t="shared" si="20"/>
        <v>241.34030753190925</v>
      </c>
      <c r="G14" s="3825"/>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1148</v>
      </c>
      <c r="B15" s="2931">
        <f t="shared" si="19"/>
        <v>319.87748030386797</v>
      </c>
      <c r="C15" s="2931">
        <f t="shared" si="19"/>
        <v>269.60135833173649</v>
      </c>
      <c r="D15" s="2931">
        <f t="shared" si="16"/>
        <v>269.60135833173649</v>
      </c>
      <c r="E15" s="2931">
        <f t="shared" si="20"/>
        <v>439.18089823583784</v>
      </c>
      <c r="F15" s="2931">
        <f t="shared" si="20"/>
        <v>239.23503918706311</v>
      </c>
      <c r="G15" s="3826"/>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1147</v>
      </c>
      <c r="B16" s="2944">
        <v>318</v>
      </c>
      <c r="C16" s="2944">
        <v>268</v>
      </c>
      <c r="D16" s="2944">
        <f t="shared" si="16"/>
        <v>268</v>
      </c>
      <c r="E16" s="2944">
        <v>437</v>
      </c>
      <c r="F16" s="2945">
        <v>237</v>
      </c>
      <c r="G16" s="3824">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1146</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825"/>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1145</v>
      </c>
      <c r="B18" s="2931">
        <f t="shared" si="21"/>
        <v>314.72141172386546</v>
      </c>
      <c r="C18" s="2931">
        <f t="shared" si="21"/>
        <v>263.03901319069001</v>
      </c>
      <c r="D18" s="2931">
        <f t="shared" si="16"/>
        <v>263.03901319069001</v>
      </c>
      <c r="E18" s="2931">
        <f t="shared" si="22"/>
        <v>433.65745506782821</v>
      </c>
      <c r="F18" s="2931">
        <f t="shared" si="22"/>
        <v>233.23005080045735</v>
      </c>
      <c r="G18" s="3825"/>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1144</v>
      </c>
      <c r="B19" s="2949">
        <f t="shared" si="21"/>
        <v>307.34512863658733</v>
      </c>
      <c r="C19" s="2949">
        <f t="shared" si="21"/>
        <v>257.80556031626975</v>
      </c>
      <c r="D19" s="2949">
        <f t="shared" si="16"/>
        <v>257.80556031626975</v>
      </c>
      <c r="E19" s="2949">
        <f t="shared" si="22"/>
        <v>422.70928459677179</v>
      </c>
      <c r="F19" s="2949">
        <f t="shared" si="22"/>
        <v>229.73803270336617</v>
      </c>
      <c r="G19" s="3826"/>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2723</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2724</v>
      </c>
      <c r="B20" s="2923">
        <v>299</v>
      </c>
      <c r="C20" s="2923">
        <v>252</v>
      </c>
      <c r="D20" s="2923">
        <f t="shared" si="16"/>
        <v>252</v>
      </c>
      <c r="E20" s="2923">
        <v>409</v>
      </c>
      <c r="F20" s="2924">
        <v>227</v>
      </c>
      <c r="G20" s="3829">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2725</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830"/>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2726</v>
      </c>
      <c r="B22" s="2931">
        <f t="shared" si="25"/>
        <v>288.2649053828776</v>
      </c>
      <c r="C22" s="2931">
        <f t="shared" si="25"/>
        <v>243.64564425013293</v>
      </c>
      <c r="D22" s="2931">
        <f t="shared" si="16"/>
        <v>243.64564425013293</v>
      </c>
      <c r="E22" s="2931">
        <f t="shared" si="26"/>
        <v>393.31080825986544</v>
      </c>
      <c r="F22" s="2931">
        <f t="shared" si="26"/>
        <v>223.07903790551154</v>
      </c>
      <c r="G22" s="3830"/>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2727</v>
      </c>
      <c r="B23" s="2931">
        <f t="shared" si="25"/>
        <v>282.50186729015837</v>
      </c>
      <c r="C23" s="2931">
        <f t="shared" si="25"/>
        <v>238.09796174155468</v>
      </c>
      <c r="D23" s="2931">
        <f t="shared" si="16"/>
        <v>238.09796174155468</v>
      </c>
      <c r="E23" s="2931">
        <f t="shared" si="26"/>
        <v>385.33438646014054</v>
      </c>
      <c r="F23" s="2931">
        <f t="shared" si="26"/>
        <v>221.55034055567739</v>
      </c>
      <c r="G23" s="3831"/>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2728</v>
      </c>
      <c r="B24" s="2965">
        <v>278</v>
      </c>
      <c r="C24" s="2965">
        <v>234</v>
      </c>
      <c r="D24" s="2965">
        <f t="shared" si="16"/>
        <v>234</v>
      </c>
      <c r="E24" s="2965">
        <v>379</v>
      </c>
      <c r="F24" s="2966">
        <v>220</v>
      </c>
      <c r="G24" s="3824">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2729</v>
      </c>
      <c r="B25" s="2931">
        <f>B24/(1+N24)</f>
        <v>275.49301357645425</v>
      </c>
      <c r="C25" s="2931">
        <f>C24/(1+O24)</f>
        <v>232.41954707985698</v>
      </c>
      <c r="D25" s="2931">
        <f t="shared" si="16"/>
        <v>232.41954707985698</v>
      </c>
      <c r="E25" s="2931">
        <f t="shared" ref="E25:F27" si="27">E24/(1+P24)</f>
        <v>375.32184591008121</v>
      </c>
      <c r="F25" s="2931">
        <f t="shared" si="27"/>
        <v>218.03766105054513</v>
      </c>
      <c r="G25" s="3825"/>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2730</v>
      </c>
      <c r="B26" s="2931">
        <f>B25/(1+N25)</f>
        <v>275.24529281292263</v>
      </c>
      <c r="C26" s="2931">
        <f>C25/(1+O25)</f>
        <v>231.74747938962707</v>
      </c>
      <c r="D26" s="2931">
        <f t="shared" si="16"/>
        <v>231.74747938962707</v>
      </c>
      <c r="E26" s="2931">
        <f t="shared" si="27"/>
        <v>375.35938184826603</v>
      </c>
      <c r="F26" s="2931">
        <f t="shared" si="27"/>
        <v>216.78033510692495</v>
      </c>
      <c r="G26" s="3825"/>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2731</v>
      </c>
      <c r="B27" s="2931">
        <f>B26/(1+N26)</f>
        <v>275.19025476197027</v>
      </c>
      <c r="C27" s="2967">
        <v>232</v>
      </c>
      <c r="D27" s="2967">
        <f t="shared" si="16"/>
        <v>232</v>
      </c>
      <c r="E27" s="2931">
        <f t="shared" si="27"/>
        <v>375.65990977608692</v>
      </c>
      <c r="F27" s="2931">
        <f t="shared" si="27"/>
        <v>214.12518283971252</v>
      </c>
      <c r="G27" s="3826"/>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2732</v>
      </c>
      <c r="B28" s="2923">
        <v>275</v>
      </c>
      <c r="C28" s="2923">
        <v>232</v>
      </c>
      <c r="D28" s="2923">
        <f t="shared" si="16"/>
        <v>232</v>
      </c>
      <c r="E28" s="2923">
        <v>376</v>
      </c>
      <c r="F28" s="2924">
        <v>213</v>
      </c>
      <c r="G28" s="3824">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2733</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825">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2734</v>
      </c>
      <c r="B30" s="2931">
        <f t="shared" si="28"/>
        <v>275.19335084830601</v>
      </c>
      <c r="C30" s="2931">
        <f t="shared" si="28"/>
        <v>230.18088050139744</v>
      </c>
      <c r="D30" s="2931">
        <f t="shared" si="16"/>
        <v>230.18088050139744</v>
      </c>
      <c r="E30" s="2931">
        <f t="shared" si="29"/>
        <v>377.58482925212331</v>
      </c>
      <c r="F30" s="2931">
        <f t="shared" si="29"/>
        <v>210.90687997847917</v>
      </c>
      <c r="G30" s="3825">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2735</v>
      </c>
      <c r="B31" s="2931">
        <f t="shared" si="28"/>
        <v>276.29854502841971</v>
      </c>
      <c r="C31" s="2931">
        <f t="shared" si="28"/>
        <v>229.79023709833027</v>
      </c>
      <c r="D31" s="2931">
        <f t="shared" si="16"/>
        <v>229.79023709833027</v>
      </c>
      <c r="E31" s="2931">
        <f t="shared" si="29"/>
        <v>379.78759731655936</v>
      </c>
      <c r="F31" s="2931">
        <f t="shared" si="29"/>
        <v>211.32953905659235</v>
      </c>
      <c r="G31" s="3826">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2736</v>
      </c>
      <c r="B32" s="2923">
        <v>269</v>
      </c>
      <c r="C32" s="2923">
        <v>221</v>
      </c>
      <c r="D32" s="2923">
        <f t="shared" si="16"/>
        <v>221</v>
      </c>
      <c r="E32" s="2923">
        <v>373</v>
      </c>
      <c r="F32" s="2924">
        <v>196</v>
      </c>
      <c r="G32" s="3824">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2737</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825">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2738</v>
      </c>
      <c r="B34" s="2931">
        <f t="shared" si="30"/>
        <v>242.95398227588385</v>
      </c>
      <c r="C34" s="2931">
        <f t="shared" si="30"/>
        <v>199.59137053614126</v>
      </c>
      <c r="D34" s="2931">
        <f t="shared" si="16"/>
        <v>199.59137053614126</v>
      </c>
      <c r="E34" s="2931">
        <f t="shared" si="31"/>
        <v>335.92189522342125</v>
      </c>
      <c r="F34" s="2931">
        <f t="shared" si="31"/>
        <v>183.10139991109489</v>
      </c>
      <c r="G34" s="3825">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2739</v>
      </c>
      <c r="B35" s="2931">
        <f t="shared" si="30"/>
        <v>232.06990378821649</v>
      </c>
      <c r="C35" s="2931">
        <f t="shared" si="30"/>
        <v>192.74878854286936</v>
      </c>
      <c r="D35" s="2931">
        <f t="shared" si="16"/>
        <v>192.74878854286936</v>
      </c>
      <c r="E35" s="2931">
        <f t="shared" si="31"/>
        <v>319.71247284992984</v>
      </c>
      <c r="F35" s="2931">
        <f t="shared" si="31"/>
        <v>175.67053622862409</v>
      </c>
      <c r="G35" s="3826">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2740</v>
      </c>
      <c r="B36" s="2923">
        <v>220</v>
      </c>
      <c r="C36" s="2923">
        <v>187</v>
      </c>
      <c r="D36" s="2923">
        <f t="shared" si="16"/>
        <v>187</v>
      </c>
      <c r="E36" s="2923">
        <v>301</v>
      </c>
      <c r="F36" s="2924">
        <v>168</v>
      </c>
      <c r="G36" s="3824">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2741</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825">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2742</v>
      </c>
      <c r="B38" s="2931">
        <f t="shared" si="32"/>
        <v>210.630522469011</v>
      </c>
      <c r="C38" s="2931">
        <f t="shared" si="32"/>
        <v>181.69567812247232</v>
      </c>
      <c r="D38" s="2931">
        <f t="shared" si="16"/>
        <v>181.69567812247232</v>
      </c>
      <c r="E38" s="2931">
        <f t="shared" si="33"/>
        <v>286.13517466736738</v>
      </c>
      <c r="F38" s="2931">
        <f t="shared" si="33"/>
        <v>165.47535084591149</v>
      </c>
      <c r="G38" s="3825">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2743</v>
      </c>
      <c r="B39" s="2931">
        <f t="shared" si="32"/>
        <v>208.83454537875372</v>
      </c>
      <c r="C39" s="2931">
        <f t="shared" si="32"/>
        <v>183.77230517090351</v>
      </c>
      <c r="D39" s="2931">
        <f t="shared" si="16"/>
        <v>183.77230517090351</v>
      </c>
      <c r="E39" s="2931">
        <f t="shared" si="33"/>
        <v>281.10342338870947</v>
      </c>
      <c r="F39" s="2931">
        <f t="shared" si="33"/>
        <v>168.97309388942256</v>
      </c>
      <c r="G39" s="3826">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2744</v>
      </c>
      <c r="B40" s="2965">
        <v>214</v>
      </c>
      <c r="C40" s="2965">
        <v>188</v>
      </c>
      <c r="D40" s="2965">
        <f t="shared" si="16"/>
        <v>188</v>
      </c>
      <c r="E40" s="2965">
        <v>289</v>
      </c>
      <c r="F40" s="2966">
        <v>166</v>
      </c>
      <c r="G40" s="3824">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2745</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825">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2746</v>
      </c>
      <c r="B42" s="2931">
        <f t="shared" si="34"/>
        <v>206.31694671589116</v>
      </c>
      <c r="C42" s="2931">
        <f t="shared" si="34"/>
        <v>183.61041121036101</v>
      </c>
      <c r="D42" s="2931">
        <f t="shared" si="16"/>
        <v>183.61041121036101</v>
      </c>
      <c r="E42" s="2931">
        <f t="shared" si="35"/>
        <v>276.66850301795557</v>
      </c>
      <c r="F42" s="2931">
        <f t="shared" si="35"/>
        <v>165.1360938278614</v>
      </c>
      <c r="G42" s="3825">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2747</v>
      </c>
      <c r="B43" s="2968">
        <f t="shared" si="34"/>
        <v>196.62341248059772</v>
      </c>
      <c r="C43" s="2968">
        <f t="shared" si="34"/>
        <v>170.99125648199012</v>
      </c>
      <c r="D43" s="2968">
        <f t="shared" si="16"/>
        <v>170.99125648199012</v>
      </c>
      <c r="E43" s="2968">
        <f t="shared" si="35"/>
        <v>266.07857570490052</v>
      </c>
      <c r="F43" s="2968">
        <f t="shared" si="35"/>
        <v>154.53499328828505</v>
      </c>
      <c r="G43" s="3826">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2748</v>
      </c>
      <c r="B44" s="2923">
        <v>188</v>
      </c>
      <c r="C44" s="2923">
        <v>165</v>
      </c>
      <c r="D44" s="2923">
        <f t="shared" si="16"/>
        <v>165</v>
      </c>
      <c r="E44" s="2923">
        <v>254</v>
      </c>
      <c r="F44" s="2924">
        <v>148</v>
      </c>
      <c r="G44" s="3824">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2749</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825">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2750</v>
      </c>
      <c r="B46" s="2931">
        <f t="shared" si="38"/>
        <v>168.82017748715555</v>
      </c>
      <c r="C46" s="2931">
        <f t="shared" si="38"/>
        <v>148.06267029972753</v>
      </c>
      <c r="D46" s="2931">
        <f t="shared" si="16"/>
        <v>148.06267029972753</v>
      </c>
      <c r="E46" s="2931">
        <f t="shared" si="39"/>
        <v>216.46288379323747</v>
      </c>
      <c r="F46" s="2931">
        <f t="shared" si="39"/>
        <v>134.23529411764704</v>
      </c>
      <c r="G46" s="3825">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2751</v>
      </c>
      <c r="B47" s="2931">
        <f t="shared" si="38"/>
        <v>163.84913591779542</v>
      </c>
      <c r="C47" s="2931">
        <f t="shared" si="38"/>
        <v>145.0283378746594</v>
      </c>
      <c r="D47" s="2931">
        <f t="shared" si="16"/>
        <v>145.0283378746594</v>
      </c>
      <c r="E47" s="2931">
        <f t="shared" si="39"/>
        <v>204.95180722891567</v>
      </c>
      <c r="F47" s="2931">
        <f t="shared" si="39"/>
        <v>125.95920303605313</v>
      </c>
      <c r="G47" s="3826">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2752</v>
      </c>
      <c r="B48" s="2944">
        <v>159</v>
      </c>
      <c r="C48" s="2944">
        <v>141</v>
      </c>
      <c r="D48" s="2944">
        <f t="shared" si="16"/>
        <v>141</v>
      </c>
      <c r="E48" s="2944">
        <v>195</v>
      </c>
      <c r="F48" s="2945">
        <v>122</v>
      </c>
      <c r="G48" s="3824">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2753</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825">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2754</v>
      </c>
      <c r="B50" s="2931">
        <f t="shared" si="42"/>
        <v>146.57412060301507</v>
      </c>
      <c r="C50" s="2931">
        <f t="shared" si="42"/>
        <v>136.46831955922866</v>
      </c>
      <c r="D50" s="2931">
        <f t="shared" si="16"/>
        <v>136.46831955922866</v>
      </c>
      <c r="E50" s="2931">
        <f t="shared" si="43"/>
        <v>166.73864894795128</v>
      </c>
      <c r="F50" s="2931">
        <f t="shared" si="43"/>
        <v>115.05882352941177</v>
      </c>
      <c r="G50" s="3825">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2755</v>
      </c>
      <c r="B51" s="2931">
        <f t="shared" si="42"/>
        <v>144.04145728643215</v>
      </c>
      <c r="C51" s="2931">
        <f t="shared" si="42"/>
        <v>136.12396694214877</v>
      </c>
      <c r="D51" s="2931">
        <f t="shared" si="16"/>
        <v>136.12396694214877</v>
      </c>
      <c r="E51" s="2931">
        <f t="shared" si="43"/>
        <v>158.32225913621264</v>
      </c>
      <c r="F51" s="2931">
        <f t="shared" si="43"/>
        <v>114.04278074866311</v>
      </c>
      <c r="G51" s="3826">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2756</v>
      </c>
      <c r="B52" s="2944">
        <v>138</v>
      </c>
      <c r="C52" s="2944">
        <v>131</v>
      </c>
      <c r="D52" s="2944">
        <f t="shared" si="16"/>
        <v>131</v>
      </c>
      <c r="E52" s="2944">
        <v>155</v>
      </c>
      <c r="F52" s="2945">
        <v>114</v>
      </c>
      <c r="G52" s="3824">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2757</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825">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2758</v>
      </c>
      <c r="B54" s="2931">
        <f t="shared" si="46"/>
        <v>124.29032258064517</v>
      </c>
      <c r="C54" s="2931">
        <f t="shared" si="46"/>
        <v>123.8968609865471</v>
      </c>
      <c r="D54" s="2931">
        <f t="shared" si="16"/>
        <v>123.8968609865471</v>
      </c>
      <c r="E54" s="2931">
        <f t="shared" si="47"/>
        <v>138.00507614213197</v>
      </c>
      <c r="F54" s="2931">
        <f t="shared" si="47"/>
        <v>107.96106557377048</v>
      </c>
      <c r="G54" s="3825">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2759</v>
      </c>
      <c r="B55" s="2931">
        <f t="shared" si="46"/>
        <v>122.57204301075269</v>
      </c>
      <c r="C55" s="2931">
        <f t="shared" si="46"/>
        <v>123.4932735426009</v>
      </c>
      <c r="D55" s="2931">
        <f t="shared" si="16"/>
        <v>123.4932735426009</v>
      </c>
      <c r="E55" s="2931">
        <f t="shared" si="47"/>
        <v>129.82233502538071</v>
      </c>
      <c r="F55" s="2931">
        <f t="shared" si="47"/>
        <v>107.39446721311475</v>
      </c>
      <c r="G55" s="3826">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2760</v>
      </c>
      <c r="B56" s="2965">
        <v>121</v>
      </c>
      <c r="C56" s="2965">
        <v>122</v>
      </c>
      <c r="D56" s="2965">
        <f t="shared" si="16"/>
        <v>122</v>
      </c>
      <c r="E56" s="2965">
        <v>124</v>
      </c>
      <c r="F56" s="2966">
        <v>107</v>
      </c>
      <c r="G56" s="3824">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2761</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825">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2762</v>
      </c>
      <c r="B58" s="2931">
        <f t="shared" si="50"/>
        <v>116.99099099099099</v>
      </c>
      <c r="C58" s="2931">
        <f t="shared" si="50"/>
        <v>118.84848484848486</v>
      </c>
      <c r="D58" s="2931">
        <f t="shared" si="16"/>
        <v>118.84848484848486</v>
      </c>
      <c r="E58" s="2931">
        <f t="shared" si="51"/>
        <v>117.60960960960961</v>
      </c>
      <c r="F58" s="2931">
        <f t="shared" si="51"/>
        <v>104</v>
      </c>
      <c r="G58" s="3825">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2763</v>
      </c>
      <c r="B59" s="2968">
        <f t="shared" si="50"/>
        <v>112.48648648648648</v>
      </c>
      <c r="C59" s="2968">
        <f t="shared" si="50"/>
        <v>115.21212121212122</v>
      </c>
      <c r="D59" s="2968">
        <f t="shared" si="16"/>
        <v>115.21212121212122</v>
      </c>
      <c r="E59" s="2968">
        <f t="shared" si="51"/>
        <v>110.4024024024024</v>
      </c>
      <c r="F59" s="2968">
        <f t="shared" si="51"/>
        <v>104</v>
      </c>
      <c r="G59" s="3826">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2764</v>
      </c>
      <c r="B60" s="2986">
        <v>111</v>
      </c>
      <c r="C60" s="2986">
        <v>114</v>
      </c>
      <c r="D60" s="2986">
        <f t="shared" si="16"/>
        <v>114</v>
      </c>
      <c r="E60" s="2986">
        <v>108</v>
      </c>
      <c r="F60" s="2987">
        <v>104</v>
      </c>
      <c r="G60" s="3824">
        <v>2003</v>
      </c>
      <c r="H60" s="2976">
        <v>4</v>
      </c>
      <c r="I60" s="2988"/>
      <c r="J60" s="2988"/>
      <c r="K60" s="2988"/>
      <c r="L60" s="2988"/>
      <c r="N60" s="2989"/>
      <c r="O60" s="2988"/>
      <c r="P60" s="2988"/>
      <c r="Q60" s="2988"/>
      <c r="S60" s="2989"/>
      <c r="T60" s="2988"/>
      <c r="U60" s="2988"/>
      <c r="V60" s="2988"/>
      <c r="X60" s="2980"/>
      <c r="Y60" s="2980"/>
      <c r="Z60" s="2980"/>
    </row>
    <row r="61" spans="1:26">
      <c r="A61" s="2911" t="s">
        <v>2765</v>
      </c>
      <c r="B61" s="2990">
        <f t="shared" ref="B61:C63" si="52">B62+(B$60-B$64)/4</f>
        <v>109.75</v>
      </c>
      <c r="C61" s="2990">
        <f t="shared" si="52"/>
        <v>112.25</v>
      </c>
      <c r="D61" s="2990">
        <f t="shared" si="16"/>
        <v>112.25</v>
      </c>
      <c r="E61" s="2990">
        <f t="shared" ref="E61:F63" si="53">E62+(E$60-E$64)/4</f>
        <v>107.25</v>
      </c>
      <c r="F61" s="2990">
        <f t="shared" si="53"/>
        <v>103.5</v>
      </c>
      <c r="G61" s="3825">
        <v>2003</v>
      </c>
      <c r="H61" s="2941">
        <v>3</v>
      </c>
      <c r="I61" s="2988"/>
      <c r="J61" s="2988"/>
      <c r="K61" s="2988"/>
      <c r="L61" s="2988"/>
      <c r="X61" s="2980"/>
      <c r="Y61" s="2980"/>
      <c r="Z61" s="2980"/>
    </row>
    <row r="62" spans="1:26">
      <c r="A62" s="2911" t="s">
        <v>2766</v>
      </c>
      <c r="B62" s="2990">
        <f t="shared" si="52"/>
        <v>108.5</v>
      </c>
      <c r="C62" s="2990">
        <f t="shared" si="52"/>
        <v>110.5</v>
      </c>
      <c r="D62" s="2990">
        <f t="shared" si="16"/>
        <v>110.5</v>
      </c>
      <c r="E62" s="2990">
        <f t="shared" si="53"/>
        <v>106.5</v>
      </c>
      <c r="F62" s="2990">
        <f t="shared" si="53"/>
        <v>103</v>
      </c>
      <c r="G62" s="3825">
        <v>2003</v>
      </c>
      <c r="H62" s="2917">
        <v>2</v>
      </c>
      <c r="I62" s="2988"/>
      <c r="J62" s="2988"/>
      <c r="K62" s="2988"/>
      <c r="L62" s="2988"/>
      <c r="X62" s="2980"/>
      <c r="Y62" s="2980"/>
      <c r="Z62" s="2980"/>
    </row>
    <row r="63" spans="1:26" ht="13.5" thickBot="1">
      <c r="A63" s="2911" t="s">
        <v>2767</v>
      </c>
      <c r="B63" s="2990">
        <f t="shared" si="52"/>
        <v>107.25</v>
      </c>
      <c r="C63" s="2990">
        <f t="shared" si="52"/>
        <v>108.75</v>
      </c>
      <c r="D63" s="2990">
        <f t="shared" si="16"/>
        <v>108.75</v>
      </c>
      <c r="E63" s="2990">
        <f t="shared" si="53"/>
        <v>105.75</v>
      </c>
      <c r="F63" s="2990">
        <f t="shared" si="53"/>
        <v>102.5</v>
      </c>
      <c r="G63" s="3826">
        <v>2003</v>
      </c>
      <c r="H63" s="2991">
        <v>1</v>
      </c>
      <c r="I63" s="2988"/>
      <c r="J63" s="2988"/>
      <c r="K63" s="2988"/>
      <c r="L63" s="2988"/>
      <c r="S63" s="2926"/>
      <c r="T63" s="2927"/>
      <c r="U63" s="2927"/>
      <c r="X63" s="2980"/>
      <c r="Y63" s="2980"/>
      <c r="Z63" s="2980"/>
    </row>
    <row r="64" spans="1:26" ht="13.5" thickBot="1">
      <c r="A64" s="2911" t="s">
        <v>2768</v>
      </c>
      <c r="B64" s="2992">
        <v>106</v>
      </c>
      <c r="C64" s="2992">
        <v>107</v>
      </c>
      <c r="D64" s="2992">
        <f t="shared" si="16"/>
        <v>107</v>
      </c>
      <c r="E64" s="2992">
        <v>105</v>
      </c>
      <c r="F64" s="2993">
        <v>102</v>
      </c>
      <c r="G64" s="3824">
        <v>2002</v>
      </c>
      <c r="H64" s="2936">
        <v>4</v>
      </c>
      <c r="I64" s="2988"/>
      <c r="J64" s="2988"/>
      <c r="K64" s="2988"/>
      <c r="L64" s="2988"/>
      <c r="N64" s="2989"/>
      <c r="O64" s="2988"/>
      <c r="P64" s="2988"/>
      <c r="Q64" s="2988"/>
      <c r="S64" s="2989"/>
      <c r="T64" s="2988"/>
      <c r="U64" s="2988"/>
      <c r="V64" s="2988"/>
      <c r="X64" s="2980"/>
      <c r="Y64" s="2980"/>
      <c r="Z64" s="2980"/>
    </row>
    <row r="65" spans="1:26">
      <c r="A65" s="2911" t="s">
        <v>2769</v>
      </c>
      <c r="B65" s="2990">
        <f t="shared" ref="B65:C67" si="54">B66+(B$64-B$68)/4</f>
        <v>105</v>
      </c>
      <c r="C65" s="2990">
        <f t="shared" si="54"/>
        <v>106</v>
      </c>
      <c r="D65" s="2990">
        <f t="shared" si="16"/>
        <v>106</v>
      </c>
      <c r="E65" s="2990">
        <f t="shared" ref="E65:F67" si="55">E66+(E$64-E$68)/4</f>
        <v>104.5</v>
      </c>
      <c r="F65" s="2990">
        <f t="shared" si="55"/>
        <v>101.5</v>
      </c>
      <c r="G65" s="3825">
        <v>2002</v>
      </c>
      <c r="H65" s="2941">
        <v>3</v>
      </c>
      <c r="I65" s="2988"/>
      <c r="J65" s="2988"/>
      <c r="K65" s="2988"/>
      <c r="L65" s="2988"/>
      <c r="X65" s="2980"/>
      <c r="Y65" s="2980"/>
      <c r="Z65" s="2980"/>
    </row>
    <row r="66" spans="1:26">
      <c r="A66" s="2911" t="s">
        <v>2770</v>
      </c>
      <c r="B66" s="2990">
        <f t="shared" si="54"/>
        <v>104</v>
      </c>
      <c r="C66" s="2990">
        <f t="shared" si="54"/>
        <v>105</v>
      </c>
      <c r="D66" s="2990">
        <f t="shared" si="16"/>
        <v>105</v>
      </c>
      <c r="E66" s="2990">
        <f t="shared" si="55"/>
        <v>104</v>
      </c>
      <c r="F66" s="2990">
        <f t="shared" si="55"/>
        <v>101</v>
      </c>
      <c r="G66" s="3825">
        <v>2002</v>
      </c>
      <c r="H66" s="2917">
        <v>2</v>
      </c>
      <c r="I66" s="2988"/>
      <c r="J66" s="2988"/>
      <c r="K66" s="2988"/>
      <c r="L66" s="2988"/>
      <c r="X66" s="2980"/>
      <c r="Y66" s="2980"/>
      <c r="Z66" s="2980"/>
    </row>
    <row r="67" spans="1:26" s="2952" customFormat="1" ht="13.5" thickBot="1">
      <c r="A67" s="2948" t="s">
        <v>2771</v>
      </c>
      <c r="B67" s="2994">
        <f t="shared" si="54"/>
        <v>103</v>
      </c>
      <c r="C67" s="2994">
        <f t="shared" si="54"/>
        <v>104</v>
      </c>
      <c r="D67" s="2994">
        <f t="shared" si="16"/>
        <v>104</v>
      </c>
      <c r="E67" s="2994">
        <f t="shared" si="55"/>
        <v>103.5</v>
      </c>
      <c r="F67" s="2994">
        <f t="shared" si="55"/>
        <v>100.5</v>
      </c>
      <c r="G67" s="3826">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2772</v>
      </c>
      <c r="G70" s="3004"/>
      <c r="N70" s="3004"/>
      <c r="S70" s="3004"/>
    </row>
    <row r="71" spans="1:26" s="3003" customFormat="1">
      <c r="A71" s="3003" t="s">
        <v>2773</v>
      </c>
      <c r="G71" s="3004"/>
      <c r="N71" s="3004"/>
      <c r="S71" s="3004"/>
    </row>
    <row r="72" spans="1:26" s="3003" customFormat="1">
      <c r="A72" s="3003" t="s">
        <v>2774</v>
      </c>
      <c r="G72" s="3004"/>
      <c r="I72" s="3005"/>
      <c r="J72" s="3005"/>
      <c r="K72" s="3005"/>
      <c r="L72" s="3005"/>
      <c r="N72" s="3006"/>
      <c r="O72" s="3005"/>
      <c r="P72" s="3005"/>
      <c r="Q72" s="3005"/>
      <c r="S72" s="3006"/>
      <c r="T72" s="3005"/>
      <c r="U72" s="3005"/>
      <c r="V72" s="3005"/>
    </row>
    <row r="73" spans="1:26" s="3003" customFormat="1">
      <c r="A73" s="3003" t="s">
        <v>2775</v>
      </c>
      <c r="G73" s="3004"/>
      <c r="N73" s="3004"/>
      <c r="S73" s="3004"/>
    </row>
    <row r="80" spans="1:26" ht="13.5" thickBot="1"/>
    <row r="81" spans="14:22" s="2925" customFormat="1">
      <c r="N81" s="2940"/>
      <c r="S81" s="3007" t="s">
        <v>2776</v>
      </c>
      <c r="T81" s="3008" t="s">
        <v>2777</v>
      </c>
      <c r="U81" s="3008" t="s">
        <v>2778</v>
      </c>
      <c r="V81" s="3008" t="s">
        <v>2779</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70"/>
    <col min="20" max="45" width="9" style="1459"/>
    <col min="46" max="16384" width="9" style="470"/>
  </cols>
  <sheetData>
    <row r="1" spans="1:45" ht="14.25" customHeight="1" thickBot="1">
      <c r="A1" s="487"/>
      <c r="B1" s="2437" t="s">
        <v>2379</v>
      </c>
      <c r="C1" s="3835" t="s">
        <v>2380</v>
      </c>
      <c r="D1" s="3836"/>
      <c r="E1" s="3836"/>
      <c r="F1" s="3836"/>
      <c r="G1" s="3836"/>
      <c r="H1" s="3836"/>
      <c r="I1" s="3836"/>
      <c r="J1" s="3836"/>
      <c r="K1" s="3836"/>
      <c r="L1" s="3836"/>
      <c r="M1" s="3836"/>
      <c r="N1" s="3836"/>
      <c r="O1" s="3836"/>
      <c r="P1" s="3836"/>
      <c r="Q1" s="3836"/>
      <c r="R1" s="3836"/>
      <c r="S1" s="3837"/>
      <c r="T1" s="2437" t="s">
        <v>2381</v>
      </c>
    </row>
    <row r="2" spans="1:45" s="1113" customFormat="1">
      <c r="A2" s="2438"/>
      <c r="B2" s="1109" t="s">
        <v>2382</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39" t="str">
        <f>S3&amp;"(含)"&amp;"-"</f>
        <v>(含)-</v>
      </c>
      <c r="T2" s="1112"/>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8" customFormat="1">
      <c r="A3" s="2440"/>
      <c r="B3" s="1114"/>
      <c r="C3" s="1115"/>
      <c r="D3" s="1116"/>
      <c r="E3" s="1116"/>
      <c r="F3" s="3204"/>
      <c r="G3" s="3204"/>
      <c r="H3" s="3204"/>
      <c r="I3" s="3204"/>
      <c r="J3" s="3204"/>
      <c r="K3" s="3204"/>
      <c r="L3" s="3205"/>
      <c r="M3" s="3206"/>
      <c r="N3" s="3206"/>
      <c r="O3" s="3204"/>
      <c r="P3" s="3204"/>
      <c r="Q3" s="3204"/>
      <c r="R3" s="3204"/>
      <c r="S3" s="3207"/>
      <c r="T3" s="1117"/>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8" customFormat="1" ht="13.5" thickBot="1">
      <c r="A4" s="2441"/>
      <c r="B4" s="2442"/>
      <c r="C4" s="2443"/>
      <c r="D4" s="2444"/>
      <c r="E4" s="2444"/>
      <c r="F4" s="3208"/>
      <c r="G4" s="3208"/>
      <c r="H4" s="3208"/>
      <c r="I4" s="3208"/>
      <c r="J4" s="3208"/>
      <c r="K4" s="3208"/>
      <c r="L4" s="3208"/>
      <c r="M4" s="3209"/>
      <c r="N4" s="3209"/>
      <c r="O4" s="3208"/>
      <c r="P4" s="3208"/>
      <c r="Q4" s="3208"/>
      <c r="R4" s="3208"/>
      <c r="S4" s="3210"/>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8" customFormat="1">
      <c r="A5" s="2448"/>
      <c r="B5" s="3297" t="s">
        <v>3028</v>
      </c>
      <c r="C5" s="2449"/>
      <c r="D5" s="2450"/>
      <c r="E5" s="2450"/>
      <c r="F5" s="3211"/>
      <c r="G5" s="3211"/>
      <c r="H5" s="3211"/>
      <c r="I5" s="3211"/>
      <c r="J5" s="3211"/>
      <c r="K5" s="3211"/>
      <c r="L5" s="3212"/>
      <c r="M5" s="3213"/>
      <c r="N5" s="3213"/>
      <c r="O5" s="3211"/>
      <c r="P5" s="3211"/>
      <c r="Q5" s="3211"/>
      <c r="R5" s="3211"/>
      <c r="S5" s="3214"/>
      <c r="T5" s="245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8" customFormat="1" ht="13.5" thickBot="1">
      <c r="A6" s="2448"/>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8" customFormat="1">
      <c r="A7" s="2448"/>
      <c r="B7" s="3298" t="s">
        <v>3027</v>
      </c>
      <c r="C7" s="2204"/>
      <c r="D7" s="2198"/>
      <c r="E7" s="2198"/>
      <c r="F7" s="3216"/>
      <c r="G7" s="3216"/>
      <c r="H7" s="3216"/>
      <c r="I7" s="3216"/>
      <c r="J7" s="3216"/>
      <c r="K7" s="3216"/>
      <c r="L7" s="3216"/>
      <c r="M7" s="3217"/>
      <c r="N7" s="3218"/>
      <c r="O7" s="3219"/>
      <c r="P7" s="3220"/>
      <c r="Q7" s="3221"/>
      <c r="R7" s="3222"/>
      <c r="S7" s="3223"/>
      <c r="T7" s="1119"/>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8" customFormat="1" ht="13.5" thickBot="1">
      <c r="A8" s="2448"/>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8" customFormat="1">
      <c r="A9" s="2448"/>
      <c r="B9" s="3298" t="s">
        <v>3026</v>
      </c>
      <c r="C9" s="2204"/>
      <c r="D9" s="2198"/>
      <c r="E9" s="2198"/>
      <c r="F9" s="3216"/>
      <c r="G9" s="3216"/>
      <c r="H9" s="3216"/>
      <c r="I9" s="3216"/>
      <c r="J9" s="3216"/>
      <c r="K9" s="3216"/>
      <c r="L9" s="3224"/>
      <c r="M9" s="3217"/>
      <c r="N9" s="3218"/>
      <c r="O9" s="3219"/>
      <c r="P9" s="3220"/>
      <c r="Q9" s="3221"/>
      <c r="R9" s="3222"/>
      <c r="S9" s="3223"/>
      <c r="T9" s="1119"/>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8"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8" customFormat="1">
      <c r="A11" s="2448"/>
      <c r="B11" s="3297" t="s">
        <v>3025</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8" customFormat="1">
      <c r="A13" s="2448"/>
      <c r="B13" s="3297" t="s">
        <v>3024</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8" customFormat="1">
      <c r="A15" s="2448"/>
      <c r="B15" s="3297" t="s">
        <v>3023</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3" customFormat="1">
      <c r="A17" s="2480" t="s">
        <v>2383</v>
      </c>
      <c r="B17" s="2481" t="s">
        <v>2384</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3"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9"/>
      <c r="B19" s="500"/>
      <c r="C19" s="500"/>
      <c r="D19" s="3348" t="s">
        <v>3061</v>
      </c>
      <c r="E19" s="3343"/>
      <c r="F19" s="3343"/>
      <c r="G19" s="3343"/>
      <c r="H19" s="2534"/>
      <c r="I19" s="500"/>
      <c r="J19" s="500"/>
      <c r="K19" s="500"/>
      <c r="L19" s="500"/>
      <c r="M19" s="500"/>
      <c r="N19" s="500"/>
      <c r="O19" s="500"/>
      <c r="P19" s="500"/>
      <c r="Q19" s="500"/>
      <c r="R19" s="1412"/>
      <c r="S19" s="469"/>
    </row>
    <row r="20" spans="1:45" ht="16.5" thickBot="1">
      <c r="A20" s="1121" t="s">
        <v>518</v>
      </c>
      <c r="B20" s="673" t="e">
        <f ca="1">IF(D20="——",S22,S22-F20)</f>
        <v>#REF!</v>
      </c>
      <c r="C20" s="500"/>
      <c r="D20" s="3344" t="s">
        <v>3062</v>
      </c>
      <c r="E20" s="3345"/>
      <c r="F20" s="2437" t="e">
        <f ca="1">SUMIF(INDIRECT("'"&amp;H20&amp;"'"&amp;"!A:A"),"承租人权益价值",INDIRECT("'"&amp;H20&amp;"'"&amp;"!c:c"))</f>
        <v>#REF!</v>
      </c>
      <c r="G20" s="3346" t="s">
        <v>3049</v>
      </c>
      <c r="H20" s="3347"/>
      <c r="I20" s="500"/>
      <c r="J20" s="500"/>
      <c r="K20" s="500"/>
      <c r="L20" s="500"/>
      <c r="M20" s="500"/>
      <c r="N20" s="500"/>
      <c r="O20" s="500"/>
      <c r="P20" s="500"/>
      <c r="Q20" s="500"/>
      <c r="R20" s="1412"/>
      <c r="S20" s="469"/>
    </row>
    <row r="21" spans="1:45" ht="15.75">
      <c r="A21" s="1121" t="s">
        <v>519</v>
      </c>
      <c r="B21" s="673">
        <f>R22</f>
        <v>10000</v>
      </c>
      <c r="C21" s="500"/>
      <c r="D21" s="500"/>
      <c r="E21" s="500"/>
      <c r="F21" s="500"/>
      <c r="G21" s="500"/>
      <c r="H21" s="500"/>
      <c r="I21" s="500"/>
      <c r="J21" s="500"/>
      <c r="K21" s="500"/>
      <c r="L21" s="500"/>
      <c r="M21" s="500"/>
      <c r="N21" s="500"/>
      <c r="O21" s="500"/>
      <c r="P21" s="500"/>
      <c r="Q21" s="500"/>
      <c r="R21" s="1412"/>
      <c r="S21" s="469"/>
    </row>
    <row r="22" spans="1:45">
      <c r="A22" s="698" t="s">
        <v>520</v>
      </c>
      <c r="B22" s="313">
        <f>SUM(B24:B10000)</f>
        <v>100</v>
      </c>
      <c r="C22" s="3832" t="s">
        <v>168</v>
      </c>
      <c r="D22" s="3833"/>
      <c r="E22" s="3833"/>
      <c r="F22" s="3833"/>
      <c r="G22" s="3833"/>
      <c r="H22" s="3833"/>
      <c r="I22" s="3833"/>
      <c r="J22" s="3833"/>
      <c r="K22" s="3833"/>
      <c r="L22" s="3833"/>
      <c r="M22" s="3833"/>
      <c r="N22" s="3833"/>
      <c r="O22" s="3833"/>
      <c r="P22" s="3833"/>
      <c r="Q22" s="3834"/>
      <c r="R22" s="1122">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3" t="s">
        <v>524</v>
      </c>
      <c r="S23" s="299" t="s">
        <v>525</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8" customFormat="1">
      <c r="A24" s="1124" t="s">
        <v>526</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491"/>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8">
        <f t="shared" si="11"/>
        <v>0</v>
      </c>
    </row>
    <row r="26" spans="1:45">
      <c r="A26" s="491"/>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8">
        <f t="shared" si="11"/>
        <v>0</v>
      </c>
    </row>
    <row r="27" spans="1:45">
      <c r="A27" s="491"/>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8">
        <f t="shared" si="11"/>
        <v>0</v>
      </c>
    </row>
    <row r="28" spans="1:45">
      <c r="A28" s="491"/>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8">
        <f t="shared" si="11"/>
        <v>0</v>
      </c>
    </row>
    <row r="29" spans="1:45">
      <c r="A29" s="491"/>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8">
        <f t="shared" si="11"/>
        <v>0</v>
      </c>
    </row>
    <row r="30" spans="1:45">
      <c r="A30" s="491"/>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8">
        <f t="shared" si="11"/>
        <v>0</v>
      </c>
    </row>
    <row r="31" spans="1:45">
      <c r="A31" s="491"/>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8">
        <f t="shared" si="11"/>
        <v>0</v>
      </c>
    </row>
    <row r="32" spans="1:45">
      <c r="A32" s="491"/>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8">
        <f t="shared" si="11"/>
        <v>0</v>
      </c>
    </row>
    <row r="33" spans="1:19">
      <c r="A33" s="491"/>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8">
        <f t="shared" si="11"/>
        <v>0</v>
      </c>
    </row>
    <row r="34" spans="1:19">
      <c r="A34" s="491"/>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8">
        <f t="shared" si="11"/>
        <v>0</v>
      </c>
    </row>
    <row r="35" spans="1:19">
      <c r="A35" s="491"/>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8">
        <f t="shared" si="11"/>
        <v>0</v>
      </c>
    </row>
    <row r="36" spans="1:19">
      <c r="A36" s="491"/>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8">
        <f t="shared" si="11"/>
        <v>0</v>
      </c>
    </row>
    <row r="37" spans="1:19">
      <c r="A37" s="491"/>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8">
        <f t="shared" si="11"/>
        <v>0</v>
      </c>
    </row>
    <row r="38" spans="1:19">
      <c r="A38" s="491"/>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8">
        <f t="shared" si="11"/>
        <v>0</v>
      </c>
    </row>
    <row r="39" spans="1:19">
      <c r="A39" s="491"/>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8">
        <f t="shared" si="11"/>
        <v>0</v>
      </c>
    </row>
    <row r="40" spans="1:19">
      <c r="A40" s="491"/>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8">
        <f t="shared" si="11"/>
        <v>0</v>
      </c>
    </row>
    <row r="41" spans="1:19">
      <c r="A41" s="491"/>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8">
        <f t="shared" si="11"/>
        <v>0</v>
      </c>
    </row>
    <row r="42" spans="1:19">
      <c r="A42" s="491"/>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8">
        <f t="shared" si="11"/>
        <v>0</v>
      </c>
    </row>
    <row r="43" spans="1:19">
      <c r="A43" s="491"/>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8">
        <f t="shared" si="11"/>
        <v>0</v>
      </c>
    </row>
    <row r="44" spans="1:19">
      <c r="A44" s="491"/>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8">
        <f t="shared" si="11"/>
        <v>0</v>
      </c>
    </row>
    <row r="45" spans="1:19">
      <c r="A45" s="491"/>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8">
        <f t="shared" si="11"/>
        <v>0</v>
      </c>
    </row>
    <row r="46" spans="1:19">
      <c r="A46" s="491"/>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8">
        <f t="shared" si="11"/>
        <v>0</v>
      </c>
    </row>
    <row r="47" spans="1:19">
      <c r="A47" s="491"/>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8">
        <f t="shared" si="11"/>
        <v>0</v>
      </c>
    </row>
    <row r="48" spans="1:19">
      <c r="A48" s="491"/>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8">
        <f t="shared" si="11"/>
        <v>0</v>
      </c>
    </row>
    <row r="49" spans="1:19">
      <c r="A49" s="491"/>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8">
        <f t="shared" si="11"/>
        <v>0</v>
      </c>
    </row>
    <row r="50" spans="1:19">
      <c r="A50" s="491"/>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8">
        <f t="shared" si="11"/>
        <v>0</v>
      </c>
    </row>
    <row r="51" spans="1:19">
      <c r="A51" s="491"/>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8">
        <f t="shared" si="11"/>
        <v>0</v>
      </c>
    </row>
    <row r="52" spans="1:19">
      <c r="A52" s="491"/>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8">
        <f t="shared" si="11"/>
        <v>0</v>
      </c>
    </row>
    <row r="53" spans="1:19">
      <c r="A53" s="491"/>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8">
        <f t="shared" si="11"/>
        <v>0</v>
      </c>
    </row>
    <row r="54" spans="1:19">
      <c r="A54" s="491"/>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8">
        <f t="shared" si="11"/>
        <v>0</v>
      </c>
    </row>
    <row r="55" spans="1:19">
      <c r="A55" s="491"/>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8">
        <f t="shared" ref="S55:S77" si="21">ROUND(R55*B55/10000,0)</f>
        <v>0</v>
      </c>
    </row>
    <row r="56" spans="1:19">
      <c r="A56" s="491"/>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8">
        <f t="shared" si="21"/>
        <v>0</v>
      </c>
    </row>
    <row r="57" spans="1:19">
      <c r="A57" s="491"/>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8">
        <f t="shared" si="21"/>
        <v>0</v>
      </c>
    </row>
    <row r="58" spans="1:19">
      <c r="A58" s="491"/>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8">
        <f t="shared" si="21"/>
        <v>0</v>
      </c>
    </row>
    <row r="59" spans="1:19">
      <c r="A59" s="491"/>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8">
        <f t="shared" si="21"/>
        <v>0</v>
      </c>
    </row>
    <row r="60" spans="1:19">
      <c r="A60" s="491"/>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8">
        <f t="shared" si="21"/>
        <v>0</v>
      </c>
    </row>
    <row r="61" spans="1:19">
      <c r="A61" s="491"/>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8">
        <f t="shared" si="21"/>
        <v>0</v>
      </c>
    </row>
    <row r="62" spans="1:19">
      <c r="A62" s="491"/>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8">
        <f t="shared" si="21"/>
        <v>0</v>
      </c>
    </row>
    <row r="63" spans="1:19">
      <c r="A63" s="491"/>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8">
        <f t="shared" si="21"/>
        <v>0</v>
      </c>
    </row>
    <row r="64" spans="1:19">
      <c r="A64" s="491"/>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8">
        <f t="shared" si="21"/>
        <v>0</v>
      </c>
    </row>
    <row r="65" spans="1:19">
      <c r="A65" s="491"/>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8">
        <f t="shared" si="21"/>
        <v>0</v>
      </c>
    </row>
    <row r="66" spans="1:19">
      <c r="A66" s="491"/>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8">
        <f t="shared" si="21"/>
        <v>0</v>
      </c>
    </row>
    <row r="67" spans="1:19">
      <c r="A67" s="491"/>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8">
        <f t="shared" si="21"/>
        <v>0</v>
      </c>
    </row>
    <row r="68" spans="1:19">
      <c r="A68" s="491"/>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8">
        <f t="shared" si="21"/>
        <v>0</v>
      </c>
    </row>
    <row r="69" spans="1:19">
      <c r="A69" s="491"/>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8">
        <f t="shared" si="21"/>
        <v>0</v>
      </c>
    </row>
    <row r="70" spans="1:19">
      <c r="A70" s="491"/>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8">
        <f t="shared" si="21"/>
        <v>0</v>
      </c>
    </row>
    <row r="71" spans="1:19">
      <c r="A71" s="491"/>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8">
        <f t="shared" si="21"/>
        <v>0</v>
      </c>
    </row>
    <row r="72" spans="1:19">
      <c r="A72" s="491"/>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8">
        <f t="shared" si="21"/>
        <v>0</v>
      </c>
    </row>
    <row r="73" spans="1:19">
      <c r="A73" s="491"/>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8">
        <f t="shared" si="21"/>
        <v>0</v>
      </c>
    </row>
    <row r="74" spans="1:19">
      <c r="A74" s="491"/>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8">
        <f t="shared" si="21"/>
        <v>0</v>
      </c>
    </row>
    <row r="75" spans="1:19">
      <c r="A75" s="491"/>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8">
        <f t="shared" si="21"/>
        <v>0</v>
      </c>
    </row>
    <row r="76" spans="1:19">
      <c r="A76" s="491"/>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8">
        <f t="shared" si="21"/>
        <v>0</v>
      </c>
    </row>
    <row r="77" spans="1:19">
      <c r="A77" s="491"/>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8">
        <f t="shared" si="21"/>
        <v>0</v>
      </c>
    </row>
    <row r="78" spans="1:19">
      <c r="A78" s="491"/>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8">
        <f t="shared" ref="S78:S122" si="22">ROUND(R78*B78/10000,0)</f>
        <v>0</v>
      </c>
    </row>
    <row r="79" spans="1:19">
      <c r="A79" s="491"/>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8">
        <f t="shared" si="22"/>
        <v>0</v>
      </c>
    </row>
    <row r="80" spans="1:19">
      <c r="A80" s="491"/>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8">
        <f t="shared" si="22"/>
        <v>0</v>
      </c>
    </row>
    <row r="81" spans="1:19">
      <c r="A81" s="491"/>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8">
        <f t="shared" si="22"/>
        <v>0</v>
      </c>
    </row>
    <row r="82" spans="1:19">
      <c r="A82" s="491"/>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8">
        <f t="shared" si="22"/>
        <v>0</v>
      </c>
    </row>
    <row r="83" spans="1:19">
      <c r="A83" s="491"/>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8">
        <f t="shared" si="22"/>
        <v>0</v>
      </c>
    </row>
    <row r="84" spans="1:19">
      <c r="A84" s="491"/>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8">
        <f t="shared" si="22"/>
        <v>0</v>
      </c>
    </row>
    <row r="85" spans="1:19">
      <c r="A85" s="491"/>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8">
        <f t="shared" si="22"/>
        <v>0</v>
      </c>
    </row>
    <row r="86" spans="1:19">
      <c r="A86" s="491"/>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8">
        <f t="shared" si="22"/>
        <v>0</v>
      </c>
    </row>
    <row r="87" spans="1:19">
      <c r="A87" s="491"/>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8">
        <f t="shared" si="22"/>
        <v>0</v>
      </c>
    </row>
    <row r="88" spans="1:19">
      <c r="A88" s="491"/>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8">
        <f t="shared" si="22"/>
        <v>0</v>
      </c>
    </row>
    <row r="89" spans="1:19">
      <c r="A89" s="491"/>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8">
        <f t="shared" si="22"/>
        <v>0</v>
      </c>
    </row>
    <row r="90" spans="1:19">
      <c r="A90" s="491"/>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8">
        <f t="shared" si="22"/>
        <v>0</v>
      </c>
    </row>
    <row r="91" spans="1:19">
      <c r="A91" s="491"/>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8">
        <f t="shared" si="22"/>
        <v>0</v>
      </c>
    </row>
    <row r="92" spans="1:19">
      <c r="A92" s="491"/>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8">
        <f t="shared" si="22"/>
        <v>0</v>
      </c>
    </row>
    <row r="93" spans="1:19">
      <c r="A93" s="491"/>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8">
        <f t="shared" si="22"/>
        <v>0</v>
      </c>
    </row>
    <row r="94" spans="1:19">
      <c r="A94" s="491"/>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8">
        <f t="shared" si="22"/>
        <v>0</v>
      </c>
    </row>
    <row r="95" spans="1:19">
      <c r="A95" s="491"/>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8">
        <f t="shared" si="22"/>
        <v>0</v>
      </c>
    </row>
    <row r="96" spans="1:19">
      <c r="A96" s="491"/>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8">
        <f t="shared" si="22"/>
        <v>0</v>
      </c>
    </row>
    <row r="97" spans="1:19">
      <c r="A97" s="491"/>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8">
        <f t="shared" si="22"/>
        <v>0</v>
      </c>
    </row>
    <row r="98" spans="1:19">
      <c r="A98" s="491"/>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8">
        <f t="shared" si="22"/>
        <v>0</v>
      </c>
    </row>
    <row r="99" spans="1:19">
      <c r="A99" s="491"/>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8">
        <f t="shared" si="22"/>
        <v>0</v>
      </c>
    </row>
    <row r="100" spans="1:19">
      <c r="A100" s="491"/>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8">
        <f t="shared" si="22"/>
        <v>0</v>
      </c>
    </row>
    <row r="101" spans="1:19">
      <c r="A101" s="491"/>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8">
        <f t="shared" si="22"/>
        <v>0</v>
      </c>
    </row>
    <row r="102" spans="1:19">
      <c r="A102" s="491"/>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8">
        <f t="shared" si="22"/>
        <v>0</v>
      </c>
    </row>
    <row r="103" spans="1:19">
      <c r="A103" s="491"/>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8">
        <f t="shared" si="22"/>
        <v>0</v>
      </c>
    </row>
    <row r="104" spans="1:19">
      <c r="A104" s="491"/>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8">
        <f t="shared" si="22"/>
        <v>0</v>
      </c>
    </row>
    <row r="105" spans="1:19">
      <c r="A105" s="491"/>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8">
        <f t="shared" si="22"/>
        <v>0</v>
      </c>
    </row>
    <row r="106" spans="1:19">
      <c r="A106" s="491"/>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8">
        <f t="shared" si="22"/>
        <v>0</v>
      </c>
    </row>
    <row r="107" spans="1:19">
      <c r="A107" s="491"/>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8">
        <f t="shared" si="22"/>
        <v>0</v>
      </c>
    </row>
    <row r="108" spans="1:19">
      <c r="A108" s="491"/>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8">
        <f t="shared" si="22"/>
        <v>0</v>
      </c>
    </row>
    <row r="109" spans="1:19">
      <c r="A109" s="491"/>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8">
        <f t="shared" si="22"/>
        <v>0</v>
      </c>
    </row>
    <row r="110" spans="1:19">
      <c r="A110" s="491"/>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8">
        <f t="shared" si="22"/>
        <v>0</v>
      </c>
    </row>
    <row r="111" spans="1:19">
      <c r="A111" s="491"/>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8">
        <f t="shared" si="22"/>
        <v>0</v>
      </c>
    </row>
    <row r="112" spans="1:19">
      <c r="A112" s="491"/>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8">
        <f t="shared" si="22"/>
        <v>0</v>
      </c>
    </row>
    <row r="113" spans="1:19">
      <c r="A113" s="491"/>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8">
        <f t="shared" si="22"/>
        <v>0</v>
      </c>
    </row>
    <row r="114" spans="1:19">
      <c r="A114" s="491"/>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8">
        <f t="shared" si="22"/>
        <v>0</v>
      </c>
    </row>
    <row r="115" spans="1:19">
      <c r="A115" s="491"/>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8">
        <f t="shared" si="22"/>
        <v>0</v>
      </c>
    </row>
    <row r="116" spans="1:19">
      <c r="A116" s="491"/>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8">
        <f t="shared" si="22"/>
        <v>0</v>
      </c>
    </row>
    <row r="117" spans="1:19">
      <c r="A117" s="491"/>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8">
        <f t="shared" si="22"/>
        <v>0</v>
      </c>
    </row>
    <row r="118" spans="1:19">
      <c r="A118" s="491"/>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8">
        <f t="shared" si="22"/>
        <v>0</v>
      </c>
    </row>
    <row r="119" spans="1:19">
      <c r="A119" s="491"/>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8">
        <f t="shared" si="22"/>
        <v>0</v>
      </c>
    </row>
    <row r="120" spans="1:19">
      <c r="A120" s="491"/>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8">
        <f t="shared" si="22"/>
        <v>0</v>
      </c>
    </row>
    <row r="121" spans="1:19">
      <c r="A121" s="491"/>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8">
        <f t="shared" si="22"/>
        <v>0</v>
      </c>
    </row>
    <row r="122" spans="1:19">
      <c r="A122" s="491"/>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8">
        <f t="shared" si="22"/>
        <v>0</v>
      </c>
    </row>
    <row r="123" spans="1:19">
      <c r="A123" s="491"/>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8">
        <f t="shared" ref="S123:S186" si="32">ROUND(R123*B123/10000,0)</f>
        <v>0</v>
      </c>
    </row>
    <row r="124" spans="1:19">
      <c r="A124" s="491"/>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8">
        <f t="shared" si="32"/>
        <v>0</v>
      </c>
    </row>
    <row r="125" spans="1:19">
      <c r="A125" s="491"/>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8">
        <f t="shared" si="32"/>
        <v>0</v>
      </c>
    </row>
    <row r="126" spans="1:19">
      <c r="A126" s="491"/>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8">
        <f t="shared" si="32"/>
        <v>0</v>
      </c>
    </row>
    <row r="127" spans="1:19">
      <c r="A127" s="491"/>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8">
        <f t="shared" si="32"/>
        <v>0</v>
      </c>
    </row>
    <row r="128" spans="1:19">
      <c r="A128" s="491"/>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8">
        <f t="shared" si="32"/>
        <v>0</v>
      </c>
    </row>
    <row r="129" spans="1:19">
      <c r="A129" s="491"/>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8">
        <f t="shared" si="32"/>
        <v>0</v>
      </c>
    </row>
    <row r="130" spans="1:19">
      <c r="A130" s="491"/>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8">
        <f t="shared" si="32"/>
        <v>0</v>
      </c>
    </row>
    <row r="131" spans="1:19">
      <c r="A131" s="491"/>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8">
        <f t="shared" si="32"/>
        <v>0</v>
      </c>
    </row>
    <row r="132" spans="1:19">
      <c r="A132" s="491"/>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8">
        <f t="shared" si="32"/>
        <v>0</v>
      </c>
    </row>
    <row r="133" spans="1:19">
      <c r="A133" s="491"/>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8">
        <f t="shared" si="32"/>
        <v>0</v>
      </c>
    </row>
    <row r="134" spans="1:19">
      <c r="A134" s="491"/>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8">
        <f t="shared" si="32"/>
        <v>0</v>
      </c>
    </row>
    <row r="135" spans="1:19">
      <c r="A135" s="491"/>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8">
        <f t="shared" si="32"/>
        <v>0</v>
      </c>
    </row>
    <row r="136" spans="1:19">
      <c r="A136" s="491"/>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8">
        <f t="shared" si="32"/>
        <v>0</v>
      </c>
    </row>
    <row r="137" spans="1:19">
      <c r="A137" s="491"/>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8">
        <f t="shared" si="32"/>
        <v>0</v>
      </c>
    </row>
    <row r="138" spans="1:19">
      <c r="A138" s="491"/>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8">
        <f t="shared" si="32"/>
        <v>0</v>
      </c>
    </row>
    <row r="139" spans="1:19">
      <c r="A139" s="491"/>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8">
        <f t="shared" si="32"/>
        <v>0</v>
      </c>
    </row>
    <row r="140" spans="1:19">
      <c r="A140" s="491"/>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8">
        <f t="shared" si="32"/>
        <v>0</v>
      </c>
    </row>
    <row r="141" spans="1:19">
      <c r="A141" s="491"/>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8">
        <f t="shared" si="32"/>
        <v>0</v>
      </c>
    </row>
    <row r="142" spans="1:19">
      <c r="A142" s="491"/>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8">
        <f t="shared" si="32"/>
        <v>0</v>
      </c>
    </row>
    <row r="143" spans="1:19">
      <c r="A143" s="491"/>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8">
        <f t="shared" si="32"/>
        <v>0</v>
      </c>
    </row>
    <row r="144" spans="1:19">
      <c r="A144" s="491"/>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8">
        <f t="shared" si="32"/>
        <v>0</v>
      </c>
    </row>
    <row r="145" spans="1:19">
      <c r="A145" s="491"/>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8">
        <f t="shared" si="32"/>
        <v>0</v>
      </c>
    </row>
    <row r="146" spans="1:19">
      <c r="A146" s="491"/>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8">
        <f t="shared" si="32"/>
        <v>0</v>
      </c>
    </row>
    <row r="147" spans="1:19">
      <c r="A147" s="491"/>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8">
        <f t="shared" si="32"/>
        <v>0</v>
      </c>
    </row>
    <row r="148" spans="1:19">
      <c r="A148" s="491"/>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8">
        <f t="shared" si="32"/>
        <v>0</v>
      </c>
    </row>
    <row r="149" spans="1:19">
      <c r="A149" s="491"/>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8">
        <f t="shared" si="32"/>
        <v>0</v>
      </c>
    </row>
    <row r="150" spans="1:19">
      <c r="A150" s="491"/>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8">
        <f t="shared" si="32"/>
        <v>0</v>
      </c>
    </row>
    <row r="151" spans="1:19">
      <c r="A151" s="491"/>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8">
        <f t="shared" si="32"/>
        <v>0</v>
      </c>
    </row>
    <row r="152" spans="1:19">
      <c r="A152" s="491"/>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8">
        <f t="shared" si="32"/>
        <v>0</v>
      </c>
    </row>
    <row r="153" spans="1:19">
      <c r="A153" s="491"/>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8">
        <f t="shared" si="32"/>
        <v>0</v>
      </c>
    </row>
    <row r="154" spans="1:19">
      <c r="A154" s="491"/>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8">
        <f t="shared" si="32"/>
        <v>0</v>
      </c>
    </row>
    <row r="155" spans="1:19">
      <c r="A155" s="491"/>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8">
        <f t="shared" si="32"/>
        <v>0</v>
      </c>
    </row>
    <row r="156" spans="1:19">
      <c r="A156" s="491"/>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8">
        <f t="shared" si="32"/>
        <v>0</v>
      </c>
    </row>
    <row r="157" spans="1:19">
      <c r="A157" s="491"/>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8">
        <f t="shared" si="32"/>
        <v>0</v>
      </c>
    </row>
    <row r="158" spans="1:19">
      <c r="A158" s="491"/>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8">
        <f t="shared" si="32"/>
        <v>0</v>
      </c>
    </row>
    <row r="159" spans="1:19">
      <c r="A159" s="491"/>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8">
        <f t="shared" si="32"/>
        <v>0</v>
      </c>
    </row>
    <row r="160" spans="1:19">
      <c r="A160" s="491"/>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8">
        <f t="shared" si="32"/>
        <v>0</v>
      </c>
    </row>
    <row r="161" spans="1:19">
      <c r="A161" s="491"/>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8">
        <f t="shared" si="32"/>
        <v>0</v>
      </c>
    </row>
    <row r="162" spans="1:19">
      <c r="A162" s="491"/>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8">
        <f t="shared" si="32"/>
        <v>0</v>
      </c>
    </row>
    <row r="163" spans="1:19">
      <c r="A163" s="491"/>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8">
        <f t="shared" si="32"/>
        <v>0</v>
      </c>
    </row>
    <row r="164" spans="1:19">
      <c r="A164" s="491"/>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8">
        <f t="shared" si="32"/>
        <v>0</v>
      </c>
    </row>
    <row r="165" spans="1:19">
      <c r="A165" s="491"/>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8">
        <f t="shared" si="32"/>
        <v>0</v>
      </c>
    </row>
    <row r="166" spans="1:19">
      <c r="A166" s="491"/>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8">
        <f t="shared" si="32"/>
        <v>0</v>
      </c>
    </row>
    <row r="167" spans="1:19">
      <c r="A167" s="491"/>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8">
        <f t="shared" si="32"/>
        <v>0</v>
      </c>
    </row>
    <row r="168" spans="1:19">
      <c r="A168" s="491"/>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8">
        <f t="shared" si="32"/>
        <v>0</v>
      </c>
    </row>
    <row r="169" spans="1:19">
      <c r="A169" s="491"/>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8">
        <f t="shared" si="32"/>
        <v>0</v>
      </c>
    </row>
    <row r="170" spans="1:19">
      <c r="A170" s="491"/>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8">
        <f t="shared" si="32"/>
        <v>0</v>
      </c>
    </row>
    <row r="171" spans="1:19">
      <c r="A171" s="491"/>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8">
        <f t="shared" si="32"/>
        <v>0</v>
      </c>
    </row>
    <row r="172" spans="1:19">
      <c r="A172" s="491"/>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8">
        <f t="shared" si="32"/>
        <v>0</v>
      </c>
    </row>
    <row r="173" spans="1:19">
      <c r="A173" s="491"/>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8">
        <f t="shared" si="32"/>
        <v>0</v>
      </c>
    </row>
    <row r="174" spans="1:19">
      <c r="A174" s="491"/>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8">
        <f t="shared" si="32"/>
        <v>0</v>
      </c>
    </row>
    <row r="175" spans="1:19">
      <c r="A175" s="491"/>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8">
        <f t="shared" si="32"/>
        <v>0</v>
      </c>
    </row>
    <row r="176" spans="1:19">
      <c r="A176" s="491"/>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8">
        <f t="shared" si="32"/>
        <v>0</v>
      </c>
    </row>
    <row r="177" spans="1:19">
      <c r="A177" s="491"/>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8">
        <f t="shared" si="32"/>
        <v>0</v>
      </c>
    </row>
    <row r="178" spans="1:19">
      <c r="A178" s="491"/>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8">
        <f t="shared" si="32"/>
        <v>0</v>
      </c>
    </row>
    <row r="179" spans="1:19">
      <c r="A179" s="491"/>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8">
        <f t="shared" si="32"/>
        <v>0</v>
      </c>
    </row>
    <row r="180" spans="1:19">
      <c r="A180" s="491"/>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8">
        <f t="shared" si="32"/>
        <v>0</v>
      </c>
    </row>
    <row r="181" spans="1:19">
      <c r="A181" s="491"/>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8">
        <f t="shared" si="32"/>
        <v>0</v>
      </c>
    </row>
    <row r="182" spans="1:19">
      <c r="A182" s="491"/>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8">
        <f t="shared" si="32"/>
        <v>0</v>
      </c>
    </row>
    <row r="183" spans="1:19">
      <c r="A183" s="491"/>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8">
        <f t="shared" si="32"/>
        <v>0</v>
      </c>
    </row>
    <row r="184" spans="1:19">
      <c r="A184" s="491"/>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8">
        <f t="shared" si="32"/>
        <v>0</v>
      </c>
    </row>
    <row r="185" spans="1:19">
      <c r="A185" s="491"/>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8">
        <f t="shared" si="32"/>
        <v>0</v>
      </c>
    </row>
    <row r="186" spans="1:19">
      <c r="A186" s="491"/>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8">
        <f t="shared" si="32"/>
        <v>0</v>
      </c>
    </row>
    <row r="187" spans="1:19">
      <c r="A187" s="491"/>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8">
        <f t="shared" ref="S187:S222" si="42">ROUND(R187*B187/10000,0)</f>
        <v>0</v>
      </c>
    </row>
    <row r="188" spans="1:19">
      <c r="A188" s="491"/>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8">
        <f t="shared" si="42"/>
        <v>0</v>
      </c>
    </row>
    <row r="189" spans="1:19">
      <c r="A189" s="491"/>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8">
        <f t="shared" si="42"/>
        <v>0</v>
      </c>
    </row>
    <row r="190" spans="1:19">
      <c r="A190" s="491"/>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8">
        <f t="shared" si="42"/>
        <v>0</v>
      </c>
    </row>
    <row r="191" spans="1:19">
      <c r="A191" s="491"/>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8">
        <f t="shared" si="42"/>
        <v>0</v>
      </c>
    </row>
    <row r="192" spans="1:19">
      <c r="A192" s="491"/>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8">
        <f t="shared" si="42"/>
        <v>0</v>
      </c>
    </row>
    <row r="193" spans="1:19">
      <c r="A193" s="491"/>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8">
        <f t="shared" si="42"/>
        <v>0</v>
      </c>
    </row>
    <row r="194" spans="1:19">
      <c r="A194" s="491"/>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8">
        <f t="shared" si="42"/>
        <v>0</v>
      </c>
    </row>
    <row r="195" spans="1:19">
      <c r="A195" s="491"/>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8">
        <f t="shared" si="42"/>
        <v>0</v>
      </c>
    </row>
    <row r="196" spans="1:19">
      <c r="A196" s="491"/>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8">
        <f t="shared" si="42"/>
        <v>0</v>
      </c>
    </row>
    <row r="197" spans="1:19">
      <c r="A197" s="491"/>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8">
        <f t="shared" si="42"/>
        <v>0</v>
      </c>
    </row>
    <row r="198" spans="1:19">
      <c r="A198" s="491"/>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8">
        <f t="shared" si="42"/>
        <v>0</v>
      </c>
    </row>
    <row r="199" spans="1:19">
      <c r="A199" s="491"/>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8">
        <f t="shared" si="42"/>
        <v>0</v>
      </c>
    </row>
    <row r="200" spans="1:19">
      <c r="A200" s="491"/>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8">
        <f t="shared" si="42"/>
        <v>0</v>
      </c>
    </row>
    <row r="201" spans="1:19">
      <c r="A201" s="491"/>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8">
        <f t="shared" si="42"/>
        <v>0</v>
      </c>
    </row>
    <row r="202" spans="1:19">
      <c r="A202" s="491"/>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8">
        <f t="shared" si="42"/>
        <v>0</v>
      </c>
    </row>
    <row r="203" spans="1:19">
      <c r="A203" s="491"/>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8">
        <f t="shared" si="42"/>
        <v>0</v>
      </c>
    </row>
    <row r="204" spans="1:19">
      <c r="A204" s="491"/>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8">
        <f t="shared" si="42"/>
        <v>0</v>
      </c>
    </row>
    <row r="205" spans="1:19">
      <c r="A205" s="491"/>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8">
        <f t="shared" si="42"/>
        <v>0</v>
      </c>
    </row>
    <row r="206" spans="1:19">
      <c r="A206" s="491"/>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8">
        <f t="shared" si="42"/>
        <v>0</v>
      </c>
    </row>
    <row r="207" spans="1:19">
      <c r="A207" s="491"/>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8">
        <f t="shared" si="42"/>
        <v>0</v>
      </c>
    </row>
    <row r="208" spans="1:19">
      <c r="A208" s="491"/>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8">
        <f t="shared" si="42"/>
        <v>0</v>
      </c>
    </row>
    <row r="209" spans="1:19">
      <c r="A209" s="491"/>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8">
        <f t="shared" si="42"/>
        <v>0</v>
      </c>
    </row>
    <row r="210" spans="1:19">
      <c r="A210" s="491"/>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8">
        <f t="shared" si="42"/>
        <v>0</v>
      </c>
    </row>
    <row r="211" spans="1:19">
      <c r="A211" s="491"/>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8">
        <f t="shared" si="42"/>
        <v>0</v>
      </c>
    </row>
    <row r="212" spans="1:19">
      <c r="A212" s="491"/>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8">
        <f t="shared" si="42"/>
        <v>0</v>
      </c>
    </row>
    <row r="213" spans="1:19">
      <c r="A213" s="491"/>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8">
        <f t="shared" si="42"/>
        <v>0</v>
      </c>
    </row>
    <row r="214" spans="1:19">
      <c r="A214" s="491"/>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8">
        <f t="shared" si="42"/>
        <v>0</v>
      </c>
    </row>
    <row r="215" spans="1:19">
      <c r="A215" s="491"/>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8">
        <f t="shared" si="42"/>
        <v>0</v>
      </c>
    </row>
    <row r="216" spans="1:19">
      <c r="A216" s="491"/>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8">
        <f t="shared" si="42"/>
        <v>0</v>
      </c>
    </row>
    <row r="217" spans="1:19">
      <c r="A217" s="491"/>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8">
        <f t="shared" si="42"/>
        <v>0</v>
      </c>
    </row>
    <row r="218" spans="1:19">
      <c r="A218" s="491"/>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8">
        <f t="shared" si="42"/>
        <v>0</v>
      </c>
    </row>
    <row r="219" spans="1:19">
      <c r="A219" s="491"/>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8">
        <f t="shared" si="42"/>
        <v>0</v>
      </c>
    </row>
    <row r="220" spans="1:19">
      <c r="A220" s="491"/>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8">
        <f t="shared" si="42"/>
        <v>0</v>
      </c>
    </row>
    <row r="221" spans="1:19">
      <c r="A221" s="491"/>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8">
        <f t="shared" si="42"/>
        <v>0</v>
      </c>
    </row>
    <row r="222" spans="1:19">
      <c r="A222" s="491"/>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8">
        <f t="shared" si="42"/>
        <v>0</v>
      </c>
    </row>
    <row r="223" spans="1:19">
      <c r="A223" s="491"/>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8">
        <f t="shared" ref="S223:S286" si="52">ROUND(R223*B223/10000,0)</f>
        <v>0</v>
      </c>
    </row>
    <row r="224" spans="1:19">
      <c r="A224" s="491"/>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8">
        <f t="shared" si="52"/>
        <v>0</v>
      </c>
    </row>
    <row r="225" spans="1:19">
      <c r="A225" s="491"/>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8">
        <f t="shared" si="52"/>
        <v>0</v>
      </c>
    </row>
    <row r="226" spans="1:19">
      <c r="A226" s="491"/>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8">
        <f t="shared" si="52"/>
        <v>0</v>
      </c>
    </row>
    <row r="227" spans="1:19">
      <c r="A227" s="491"/>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8">
        <f t="shared" si="52"/>
        <v>0</v>
      </c>
    </row>
    <row r="228" spans="1:19">
      <c r="A228" s="491"/>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8">
        <f t="shared" si="52"/>
        <v>0</v>
      </c>
    </row>
    <row r="229" spans="1:19">
      <c r="A229" s="491"/>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8">
        <f t="shared" si="52"/>
        <v>0</v>
      </c>
    </row>
    <row r="230" spans="1:19">
      <c r="A230" s="491"/>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8">
        <f t="shared" si="52"/>
        <v>0</v>
      </c>
    </row>
    <row r="231" spans="1:19">
      <c r="A231" s="491"/>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8">
        <f t="shared" si="52"/>
        <v>0</v>
      </c>
    </row>
    <row r="232" spans="1:19">
      <c r="A232" s="491"/>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8">
        <f t="shared" si="52"/>
        <v>0</v>
      </c>
    </row>
    <row r="233" spans="1:19">
      <c r="A233" s="491"/>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8">
        <f t="shared" si="52"/>
        <v>0</v>
      </c>
    </row>
    <row r="234" spans="1:19">
      <c r="A234" s="491"/>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8">
        <f t="shared" si="52"/>
        <v>0</v>
      </c>
    </row>
    <row r="235" spans="1:19">
      <c r="A235" s="491"/>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8">
        <f t="shared" si="52"/>
        <v>0</v>
      </c>
    </row>
    <row r="236" spans="1:19">
      <c r="A236" s="491"/>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8">
        <f t="shared" si="52"/>
        <v>0</v>
      </c>
    </row>
    <row r="237" spans="1:19">
      <c r="A237" s="491"/>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8">
        <f t="shared" si="52"/>
        <v>0</v>
      </c>
    </row>
    <row r="238" spans="1:19">
      <c r="A238" s="491"/>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8">
        <f t="shared" si="52"/>
        <v>0</v>
      </c>
    </row>
    <row r="239" spans="1:19">
      <c r="A239" s="491"/>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8">
        <f t="shared" si="52"/>
        <v>0</v>
      </c>
    </row>
    <row r="240" spans="1:19">
      <c r="A240" s="491"/>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8">
        <f t="shared" si="52"/>
        <v>0</v>
      </c>
    </row>
    <row r="241" spans="1:19">
      <c r="A241" s="491"/>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8">
        <f t="shared" si="52"/>
        <v>0</v>
      </c>
    </row>
    <row r="242" spans="1:19">
      <c r="A242" s="491"/>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8">
        <f t="shared" si="52"/>
        <v>0</v>
      </c>
    </row>
    <row r="243" spans="1:19">
      <c r="A243" s="491"/>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8">
        <f t="shared" si="52"/>
        <v>0</v>
      </c>
    </row>
    <row r="244" spans="1:19">
      <c r="A244" s="491"/>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8">
        <f t="shared" si="52"/>
        <v>0</v>
      </c>
    </row>
    <row r="245" spans="1:19">
      <c r="A245" s="491"/>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8">
        <f t="shared" si="52"/>
        <v>0</v>
      </c>
    </row>
    <row r="246" spans="1:19">
      <c r="A246" s="491"/>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8">
        <f t="shared" si="52"/>
        <v>0</v>
      </c>
    </row>
    <row r="247" spans="1:19">
      <c r="A247" s="491"/>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8">
        <f t="shared" si="52"/>
        <v>0</v>
      </c>
    </row>
    <row r="248" spans="1:19">
      <c r="A248" s="491"/>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8">
        <f t="shared" si="52"/>
        <v>0</v>
      </c>
    </row>
    <row r="249" spans="1:19">
      <c r="A249" s="491"/>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8">
        <f t="shared" si="52"/>
        <v>0</v>
      </c>
    </row>
    <row r="250" spans="1:19">
      <c r="A250" s="491"/>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8">
        <f t="shared" si="52"/>
        <v>0</v>
      </c>
    </row>
    <row r="251" spans="1:19">
      <c r="A251" s="491"/>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8">
        <f t="shared" si="52"/>
        <v>0</v>
      </c>
    </row>
    <row r="252" spans="1:19">
      <c r="A252" s="491"/>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8">
        <f t="shared" si="52"/>
        <v>0</v>
      </c>
    </row>
    <row r="253" spans="1:19">
      <c r="A253" s="491"/>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8">
        <f t="shared" si="52"/>
        <v>0</v>
      </c>
    </row>
    <row r="254" spans="1:19">
      <c r="A254" s="491"/>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8">
        <f t="shared" si="52"/>
        <v>0</v>
      </c>
    </row>
    <row r="255" spans="1:19">
      <c r="A255" s="491"/>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8">
        <f t="shared" si="52"/>
        <v>0</v>
      </c>
    </row>
    <row r="256" spans="1:19">
      <c r="A256" s="491"/>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8">
        <f t="shared" si="52"/>
        <v>0</v>
      </c>
    </row>
    <row r="257" spans="1:19">
      <c r="A257" s="491"/>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8">
        <f t="shared" si="52"/>
        <v>0</v>
      </c>
    </row>
    <row r="258" spans="1:19">
      <c r="A258" s="491"/>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8">
        <f t="shared" si="52"/>
        <v>0</v>
      </c>
    </row>
    <row r="259" spans="1:19">
      <c r="A259" s="491"/>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8">
        <f t="shared" si="52"/>
        <v>0</v>
      </c>
    </row>
    <row r="260" spans="1:19">
      <c r="A260" s="491"/>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8">
        <f t="shared" si="52"/>
        <v>0</v>
      </c>
    </row>
    <row r="261" spans="1:19">
      <c r="A261" s="491"/>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8">
        <f t="shared" si="52"/>
        <v>0</v>
      </c>
    </row>
    <row r="262" spans="1:19">
      <c r="A262" s="491"/>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8">
        <f t="shared" si="52"/>
        <v>0</v>
      </c>
    </row>
    <row r="263" spans="1:19">
      <c r="A263" s="491"/>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8">
        <f t="shared" si="52"/>
        <v>0</v>
      </c>
    </row>
    <row r="264" spans="1:19">
      <c r="A264" s="491"/>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8">
        <f t="shared" si="52"/>
        <v>0</v>
      </c>
    </row>
    <row r="265" spans="1:19">
      <c r="A265" s="491"/>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8">
        <f t="shared" si="52"/>
        <v>0</v>
      </c>
    </row>
    <row r="266" spans="1:19">
      <c r="A266" s="491"/>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8">
        <f t="shared" si="52"/>
        <v>0</v>
      </c>
    </row>
    <row r="267" spans="1:19">
      <c r="A267" s="491"/>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8">
        <f t="shared" si="52"/>
        <v>0</v>
      </c>
    </row>
    <row r="268" spans="1:19">
      <c r="A268" s="491"/>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8">
        <f t="shared" si="52"/>
        <v>0</v>
      </c>
    </row>
    <row r="269" spans="1:19">
      <c r="A269" s="491"/>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8">
        <f t="shared" si="52"/>
        <v>0</v>
      </c>
    </row>
    <row r="270" spans="1:19">
      <c r="A270" s="491"/>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8">
        <f t="shared" si="52"/>
        <v>0</v>
      </c>
    </row>
    <row r="271" spans="1:19">
      <c r="A271" s="491"/>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8">
        <f t="shared" si="52"/>
        <v>0</v>
      </c>
    </row>
    <row r="272" spans="1:19">
      <c r="A272" s="491"/>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8">
        <f t="shared" si="52"/>
        <v>0</v>
      </c>
    </row>
    <row r="273" spans="1:19">
      <c r="A273" s="491"/>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8">
        <f t="shared" si="52"/>
        <v>0</v>
      </c>
    </row>
    <row r="274" spans="1:19">
      <c r="A274" s="491"/>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8">
        <f t="shared" si="52"/>
        <v>0</v>
      </c>
    </row>
    <row r="275" spans="1:19">
      <c r="A275" s="491"/>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8">
        <f t="shared" si="52"/>
        <v>0</v>
      </c>
    </row>
    <row r="276" spans="1:19">
      <c r="A276" s="491"/>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8">
        <f t="shared" si="52"/>
        <v>0</v>
      </c>
    </row>
    <row r="277" spans="1:19">
      <c r="A277" s="491"/>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8">
        <f t="shared" si="52"/>
        <v>0</v>
      </c>
    </row>
    <row r="278" spans="1:19">
      <c r="A278" s="491"/>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8">
        <f t="shared" si="52"/>
        <v>0</v>
      </c>
    </row>
    <row r="279" spans="1:19">
      <c r="A279" s="491"/>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8">
        <f t="shared" si="52"/>
        <v>0</v>
      </c>
    </row>
    <row r="280" spans="1:19">
      <c r="A280" s="491"/>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8">
        <f t="shared" si="52"/>
        <v>0</v>
      </c>
    </row>
    <row r="281" spans="1:19">
      <c r="A281" s="491"/>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8">
        <f t="shared" si="52"/>
        <v>0</v>
      </c>
    </row>
    <row r="282" spans="1:19">
      <c r="A282" s="491"/>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8">
        <f t="shared" si="52"/>
        <v>0</v>
      </c>
    </row>
    <row r="283" spans="1:19">
      <c r="A283" s="491"/>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8">
        <f t="shared" si="52"/>
        <v>0</v>
      </c>
    </row>
    <row r="284" spans="1:19">
      <c r="A284" s="491"/>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8">
        <f t="shared" si="52"/>
        <v>0</v>
      </c>
    </row>
    <row r="285" spans="1:19">
      <c r="A285" s="491"/>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8">
        <f t="shared" si="52"/>
        <v>0</v>
      </c>
    </row>
    <row r="286" spans="1:19">
      <c r="A286" s="491"/>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8">
        <f t="shared" si="52"/>
        <v>0</v>
      </c>
    </row>
    <row r="287" spans="1:19">
      <c r="A287" s="491"/>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8">
        <f t="shared" ref="S287:S320" si="62">ROUND(R287*B287/10000,0)</f>
        <v>0</v>
      </c>
    </row>
    <row r="288" spans="1:19">
      <c r="A288" s="491"/>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8">
        <f t="shared" si="62"/>
        <v>0</v>
      </c>
    </row>
    <row r="289" spans="1:19">
      <c r="A289" s="491"/>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8">
        <f t="shared" si="62"/>
        <v>0</v>
      </c>
    </row>
    <row r="290" spans="1:19">
      <c r="A290" s="491"/>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8">
        <f t="shared" si="62"/>
        <v>0</v>
      </c>
    </row>
    <row r="291" spans="1:19">
      <c r="A291" s="491"/>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8">
        <f t="shared" si="62"/>
        <v>0</v>
      </c>
    </row>
    <row r="292" spans="1:19">
      <c r="A292" s="491"/>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8">
        <f t="shared" si="62"/>
        <v>0</v>
      </c>
    </row>
    <row r="293" spans="1:19">
      <c r="A293" s="491"/>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8">
        <f t="shared" si="62"/>
        <v>0</v>
      </c>
    </row>
    <row r="294" spans="1:19">
      <c r="A294" s="491"/>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8">
        <f t="shared" si="62"/>
        <v>0</v>
      </c>
    </row>
    <row r="295" spans="1:19">
      <c r="A295" s="491"/>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8">
        <f t="shared" si="62"/>
        <v>0</v>
      </c>
    </row>
    <row r="296" spans="1:19">
      <c r="A296" s="491"/>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8">
        <f t="shared" si="62"/>
        <v>0</v>
      </c>
    </row>
    <row r="297" spans="1:19">
      <c r="A297" s="491"/>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8">
        <f t="shared" si="62"/>
        <v>0</v>
      </c>
    </row>
    <row r="298" spans="1:19">
      <c r="A298" s="491"/>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8">
        <f t="shared" si="62"/>
        <v>0</v>
      </c>
    </row>
    <row r="299" spans="1:19">
      <c r="A299" s="491"/>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8">
        <f t="shared" si="62"/>
        <v>0</v>
      </c>
    </row>
    <row r="300" spans="1:19">
      <c r="A300" s="491"/>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8">
        <f t="shared" si="62"/>
        <v>0</v>
      </c>
    </row>
    <row r="301" spans="1:19">
      <c r="A301" s="491"/>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8">
        <f t="shared" si="62"/>
        <v>0</v>
      </c>
    </row>
    <row r="302" spans="1:19">
      <c r="A302" s="491"/>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8">
        <f t="shared" si="62"/>
        <v>0</v>
      </c>
    </row>
    <row r="303" spans="1:19">
      <c r="A303" s="491"/>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8">
        <f t="shared" si="62"/>
        <v>0</v>
      </c>
    </row>
    <row r="304" spans="1:19">
      <c r="A304" s="491"/>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8">
        <f t="shared" si="62"/>
        <v>0</v>
      </c>
    </row>
    <row r="305" spans="1:19">
      <c r="A305" s="491"/>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8">
        <f t="shared" si="62"/>
        <v>0</v>
      </c>
    </row>
    <row r="306" spans="1:19">
      <c r="A306" s="491"/>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8">
        <f t="shared" si="62"/>
        <v>0</v>
      </c>
    </row>
    <row r="307" spans="1:19">
      <c r="A307" s="491"/>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8">
        <f t="shared" si="62"/>
        <v>0</v>
      </c>
    </row>
    <row r="308" spans="1:19">
      <c r="A308" s="491"/>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8">
        <f t="shared" si="62"/>
        <v>0</v>
      </c>
    </row>
    <row r="309" spans="1:19">
      <c r="A309" s="491"/>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8">
        <f t="shared" si="62"/>
        <v>0</v>
      </c>
    </row>
    <row r="310" spans="1:19">
      <c r="A310" s="491"/>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8">
        <f t="shared" si="62"/>
        <v>0</v>
      </c>
    </row>
    <row r="311" spans="1:19">
      <c r="A311" s="491"/>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8">
        <f t="shared" si="62"/>
        <v>0</v>
      </c>
    </row>
    <row r="312" spans="1:19">
      <c r="A312" s="491"/>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8">
        <f t="shared" si="62"/>
        <v>0</v>
      </c>
    </row>
    <row r="313" spans="1:19">
      <c r="A313" s="491"/>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8">
        <f t="shared" si="62"/>
        <v>0</v>
      </c>
    </row>
    <row r="314" spans="1:19">
      <c r="A314" s="491"/>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8">
        <f t="shared" si="62"/>
        <v>0</v>
      </c>
    </row>
    <row r="315" spans="1:19">
      <c r="A315" s="491"/>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8">
        <f t="shared" si="62"/>
        <v>0</v>
      </c>
    </row>
    <row r="316" spans="1:19">
      <c r="A316" s="491"/>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8">
        <f t="shared" si="62"/>
        <v>0</v>
      </c>
    </row>
    <row r="317" spans="1:19">
      <c r="A317" s="491"/>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8">
        <f t="shared" si="62"/>
        <v>0</v>
      </c>
    </row>
    <row r="318" spans="1:19">
      <c r="A318" s="491"/>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8">
        <f t="shared" si="62"/>
        <v>0</v>
      </c>
    </row>
    <row r="319" spans="1:19">
      <c r="A319" s="491"/>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8">
        <f t="shared" si="62"/>
        <v>0</v>
      </c>
    </row>
    <row r="320" spans="1:19">
      <c r="A320" s="491"/>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8">
        <f t="shared" si="62"/>
        <v>0</v>
      </c>
    </row>
    <row r="321" spans="1:19">
      <c r="A321" s="491"/>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8">
        <f t="shared" ref="S321:S384" si="63">ROUND(R321*B321/10000,0)</f>
        <v>0</v>
      </c>
    </row>
    <row r="322" spans="1:19">
      <c r="A322" s="491"/>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8">
        <f t="shared" si="63"/>
        <v>0</v>
      </c>
    </row>
    <row r="323" spans="1:19">
      <c r="A323" s="491"/>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8">
        <f t="shared" si="63"/>
        <v>0</v>
      </c>
    </row>
    <row r="324" spans="1:19">
      <c r="A324" s="491"/>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8">
        <f t="shared" si="63"/>
        <v>0</v>
      </c>
    </row>
    <row r="325" spans="1:19">
      <c r="A325" s="491"/>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8">
        <f t="shared" si="63"/>
        <v>0</v>
      </c>
    </row>
    <row r="326" spans="1:19">
      <c r="A326" s="491"/>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8">
        <f t="shared" si="63"/>
        <v>0</v>
      </c>
    </row>
    <row r="327" spans="1:19">
      <c r="A327" s="491"/>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8">
        <f t="shared" si="63"/>
        <v>0</v>
      </c>
    </row>
    <row r="328" spans="1:19">
      <c r="A328" s="491"/>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8">
        <f t="shared" si="63"/>
        <v>0</v>
      </c>
    </row>
    <row r="329" spans="1:19">
      <c r="A329" s="491"/>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8">
        <f t="shared" si="63"/>
        <v>0</v>
      </c>
    </row>
    <row r="330" spans="1:19">
      <c r="A330" s="491"/>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8">
        <f t="shared" si="63"/>
        <v>0</v>
      </c>
    </row>
    <row r="331" spans="1:19">
      <c r="A331" s="491"/>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8">
        <f t="shared" si="63"/>
        <v>0</v>
      </c>
    </row>
    <row r="332" spans="1:19">
      <c r="A332" s="491"/>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8">
        <f t="shared" si="63"/>
        <v>0</v>
      </c>
    </row>
    <row r="333" spans="1:19">
      <c r="A333" s="491"/>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8">
        <f t="shared" si="63"/>
        <v>0</v>
      </c>
    </row>
    <row r="334" spans="1:19">
      <c r="A334" s="491"/>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8">
        <f t="shared" si="63"/>
        <v>0</v>
      </c>
    </row>
    <row r="335" spans="1:19">
      <c r="A335" s="491"/>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8">
        <f t="shared" si="63"/>
        <v>0</v>
      </c>
    </row>
    <row r="336" spans="1:19">
      <c r="A336" s="491"/>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8">
        <f t="shared" si="63"/>
        <v>0</v>
      </c>
    </row>
    <row r="337" spans="1:19">
      <c r="A337" s="491"/>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8">
        <f t="shared" si="63"/>
        <v>0</v>
      </c>
    </row>
    <row r="338" spans="1:19">
      <c r="A338" s="491"/>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8">
        <f t="shared" si="63"/>
        <v>0</v>
      </c>
    </row>
    <row r="339" spans="1:19">
      <c r="A339" s="491"/>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8">
        <f t="shared" si="63"/>
        <v>0</v>
      </c>
    </row>
    <row r="340" spans="1:19">
      <c r="A340" s="491"/>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8">
        <f t="shared" si="63"/>
        <v>0</v>
      </c>
    </row>
    <row r="341" spans="1:19">
      <c r="A341" s="491"/>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8">
        <f t="shared" si="63"/>
        <v>0</v>
      </c>
    </row>
    <row r="342" spans="1:19">
      <c r="A342" s="491"/>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8">
        <f t="shared" si="63"/>
        <v>0</v>
      </c>
    </row>
    <row r="343" spans="1:19">
      <c r="A343" s="491"/>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8">
        <f t="shared" si="63"/>
        <v>0</v>
      </c>
    </row>
    <row r="344" spans="1:19">
      <c r="A344" s="491"/>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8">
        <f t="shared" si="63"/>
        <v>0</v>
      </c>
    </row>
    <row r="345" spans="1:19">
      <c r="A345" s="491"/>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8">
        <f t="shared" si="63"/>
        <v>0</v>
      </c>
    </row>
    <row r="346" spans="1:19">
      <c r="A346" s="491"/>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8">
        <f t="shared" si="63"/>
        <v>0</v>
      </c>
    </row>
    <row r="347" spans="1:19">
      <c r="A347" s="491"/>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8">
        <f t="shared" si="63"/>
        <v>0</v>
      </c>
    </row>
    <row r="348" spans="1:19">
      <c r="A348" s="491"/>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8">
        <f t="shared" si="63"/>
        <v>0</v>
      </c>
    </row>
    <row r="349" spans="1:19">
      <c r="A349" s="491"/>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8">
        <f t="shared" si="63"/>
        <v>0</v>
      </c>
    </row>
    <row r="350" spans="1:19">
      <c r="A350" s="491"/>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8">
        <f t="shared" si="63"/>
        <v>0</v>
      </c>
    </row>
    <row r="351" spans="1:19">
      <c r="A351" s="491"/>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8">
        <f t="shared" si="63"/>
        <v>0</v>
      </c>
    </row>
    <row r="352" spans="1:19">
      <c r="A352" s="491"/>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8">
        <f t="shared" si="63"/>
        <v>0</v>
      </c>
    </row>
    <row r="353" spans="1:19">
      <c r="A353" s="491"/>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8">
        <f t="shared" si="63"/>
        <v>0</v>
      </c>
    </row>
    <row r="354" spans="1:19">
      <c r="A354" s="491"/>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8">
        <f t="shared" si="63"/>
        <v>0</v>
      </c>
    </row>
    <row r="355" spans="1:19">
      <c r="A355" s="491"/>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8">
        <f t="shared" si="63"/>
        <v>0</v>
      </c>
    </row>
    <row r="356" spans="1:19">
      <c r="A356" s="491"/>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8">
        <f t="shared" si="63"/>
        <v>0</v>
      </c>
    </row>
    <row r="357" spans="1:19">
      <c r="A357" s="491"/>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8">
        <f t="shared" si="63"/>
        <v>0</v>
      </c>
    </row>
    <row r="358" spans="1:19">
      <c r="A358" s="491"/>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8">
        <f t="shared" si="63"/>
        <v>0</v>
      </c>
    </row>
    <row r="359" spans="1:19">
      <c r="A359" s="491"/>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8">
        <f t="shared" si="63"/>
        <v>0</v>
      </c>
    </row>
    <row r="360" spans="1:19">
      <c r="A360" s="491"/>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8">
        <f t="shared" si="63"/>
        <v>0</v>
      </c>
    </row>
    <row r="361" spans="1:19">
      <c r="A361" s="491"/>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8">
        <f t="shared" si="63"/>
        <v>0</v>
      </c>
    </row>
    <row r="362" spans="1:19">
      <c r="A362" s="491"/>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8">
        <f t="shared" si="63"/>
        <v>0</v>
      </c>
    </row>
    <row r="363" spans="1:19">
      <c r="A363" s="491"/>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8">
        <f t="shared" si="63"/>
        <v>0</v>
      </c>
    </row>
    <row r="364" spans="1:19">
      <c r="A364" s="491"/>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8">
        <f t="shared" si="63"/>
        <v>0</v>
      </c>
    </row>
    <row r="365" spans="1:19">
      <c r="A365" s="491"/>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8">
        <f t="shared" si="63"/>
        <v>0</v>
      </c>
    </row>
    <row r="366" spans="1:19">
      <c r="A366" s="491"/>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8">
        <f t="shared" si="63"/>
        <v>0</v>
      </c>
    </row>
    <row r="367" spans="1:19">
      <c r="A367" s="491"/>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8">
        <f t="shared" si="63"/>
        <v>0</v>
      </c>
    </row>
    <row r="368" spans="1:19">
      <c r="A368" s="491"/>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8">
        <f t="shared" si="63"/>
        <v>0</v>
      </c>
    </row>
    <row r="369" spans="1:19">
      <c r="A369" s="491"/>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8">
        <f t="shared" si="63"/>
        <v>0</v>
      </c>
    </row>
    <row r="370" spans="1:19">
      <c r="A370" s="491"/>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8">
        <f t="shared" si="63"/>
        <v>0</v>
      </c>
    </row>
    <row r="371" spans="1:19">
      <c r="A371" s="491"/>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8">
        <f t="shared" si="63"/>
        <v>0</v>
      </c>
    </row>
    <row r="372" spans="1:19">
      <c r="A372" s="491"/>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8">
        <f t="shared" si="63"/>
        <v>0</v>
      </c>
    </row>
    <row r="373" spans="1:19">
      <c r="A373" s="491"/>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8">
        <f t="shared" si="63"/>
        <v>0</v>
      </c>
    </row>
    <row r="374" spans="1:19">
      <c r="A374" s="491"/>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8">
        <f t="shared" si="63"/>
        <v>0</v>
      </c>
    </row>
    <row r="375" spans="1:19">
      <c r="A375" s="491"/>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8">
        <f t="shared" si="63"/>
        <v>0</v>
      </c>
    </row>
    <row r="376" spans="1:19">
      <c r="A376" s="491"/>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8">
        <f t="shared" si="63"/>
        <v>0</v>
      </c>
    </row>
    <row r="377" spans="1:19">
      <c r="A377" s="491"/>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8">
        <f t="shared" si="63"/>
        <v>0</v>
      </c>
    </row>
    <row r="378" spans="1:19">
      <c r="A378" s="491"/>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8">
        <f t="shared" si="63"/>
        <v>0</v>
      </c>
    </row>
    <row r="379" spans="1:19">
      <c r="A379" s="491"/>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8">
        <f t="shared" si="63"/>
        <v>0</v>
      </c>
    </row>
    <row r="380" spans="1:19">
      <c r="A380" s="491"/>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8">
        <f t="shared" si="63"/>
        <v>0</v>
      </c>
    </row>
    <row r="381" spans="1:19">
      <c r="A381" s="491"/>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8">
        <f t="shared" si="63"/>
        <v>0</v>
      </c>
    </row>
    <row r="382" spans="1:19">
      <c r="A382" s="491"/>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8">
        <f t="shared" si="63"/>
        <v>0</v>
      </c>
    </row>
    <row r="383" spans="1:19">
      <c r="A383" s="491"/>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8">
        <f t="shared" si="63"/>
        <v>0</v>
      </c>
    </row>
    <row r="384" spans="1:19">
      <c r="A384" s="491"/>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8">
        <f t="shared" si="63"/>
        <v>0</v>
      </c>
    </row>
    <row r="385" spans="1:19">
      <c r="A385" s="491"/>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8">
        <f t="shared" ref="S385:S422" si="73">ROUND(R385*B385/10000,0)</f>
        <v>0</v>
      </c>
    </row>
    <row r="386" spans="1:19">
      <c r="A386" s="491"/>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8">
        <f t="shared" si="73"/>
        <v>0</v>
      </c>
    </row>
    <row r="387" spans="1:19">
      <c r="A387" s="491"/>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8">
        <f t="shared" si="73"/>
        <v>0</v>
      </c>
    </row>
    <row r="388" spans="1:19">
      <c r="A388" s="491"/>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8">
        <f t="shared" si="73"/>
        <v>0</v>
      </c>
    </row>
    <row r="389" spans="1:19">
      <c r="A389" s="491"/>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8">
        <f t="shared" si="73"/>
        <v>0</v>
      </c>
    </row>
    <row r="390" spans="1:19">
      <c r="A390" s="491"/>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8">
        <f t="shared" si="73"/>
        <v>0</v>
      </c>
    </row>
    <row r="391" spans="1:19">
      <c r="A391" s="491"/>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8">
        <f t="shared" si="73"/>
        <v>0</v>
      </c>
    </row>
    <row r="392" spans="1:19">
      <c r="A392" s="491"/>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8">
        <f t="shared" si="73"/>
        <v>0</v>
      </c>
    </row>
    <row r="393" spans="1:19">
      <c r="A393" s="491"/>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8">
        <f t="shared" si="73"/>
        <v>0</v>
      </c>
    </row>
    <row r="394" spans="1:19">
      <c r="A394" s="491"/>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8">
        <f t="shared" si="73"/>
        <v>0</v>
      </c>
    </row>
    <row r="395" spans="1:19">
      <c r="A395" s="491"/>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8">
        <f t="shared" si="73"/>
        <v>0</v>
      </c>
    </row>
    <row r="396" spans="1:19">
      <c r="A396" s="491"/>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8">
        <f t="shared" si="73"/>
        <v>0</v>
      </c>
    </row>
    <row r="397" spans="1:19">
      <c r="A397" s="491"/>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8">
        <f t="shared" si="73"/>
        <v>0</v>
      </c>
    </row>
    <row r="398" spans="1:19">
      <c r="A398" s="491"/>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8">
        <f t="shared" si="73"/>
        <v>0</v>
      </c>
    </row>
    <row r="399" spans="1:19">
      <c r="A399" s="491"/>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8">
        <f t="shared" si="73"/>
        <v>0</v>
      </c>
    </row>
    <row r="400" spans="1:19">
      <c r="A400" s="491"/>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8">
        <f t="shared" si="73"/>
        <v>0</v>
      </c>
    </row>
    <row r="401" spans="1:19">
      <c r="A401" s="491"/>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8">
        <f t="shared" si="73"/>
        <v>0</v>
      </c>
    </row>
    <row r="402" spans="1:19">
      <c r="A402" s="491"/>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8">
        <f t="shared" si="73"/>
        <v>0</v>
      </c>
    </row>
    <row r="403" spans="1:19">
      <c r="A403" s="491"/>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8">
        <f t="shared" si="73"/>
        <v>0</v>
      </c>
    </row>
    <row r="404" spans="1:19">
      <c r="A404" s="491"/>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8">
        <f t="shared" si="73"/>
        <v>0</v>
      </c>
    </row>
    <row r="405" spans="1:19">
      <c r="A405" s="491"/>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8">
        <f t="shared" si="73"/>
        <v>0</v>
      </c>
    </row>
    <row r="406" spans="1:19">
      <c r="A406" s="491"/>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8">
        <f t="shared" si="73"/>
        <v>0</v>
      </c>
    </row>
    <row r="407" spans="1:19">
      <c r="A407" s="491"/>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8">
        <f t="shared" si="73"/>
        <v>0</v>
      </c>
    </row>
    <row r="408" spans="1:19">
      <c r="A408" s="491"/>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8">
        <f t="shared" si="73"/>
        <v>0</v>
      </c>
    </row>
    <row r="409" spans="1:19">
      <c r="A409" s="491"/>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8">
        <f t="shared" si="73"/>
        <v>0</v>
      </c>
    </row>
    <row r="410" spans="1:19">
      <c r="A410" s="491"/>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8">
        <f t="shared" si="73"/>
        <v>0</v>
      </c>
    </row>
    <row r="411" spans="1:19">
      <c r="A411" s="491"/>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8">
        <f t="shared" si="73"/>
        <v>0</v>
      </c>
    </row>
    <row r="412" spans="1:19">
      <c r="A412" s="491"/>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8">
        <f t="shared" si="73"/>
        <v>0</v>
      </c>
    </row>
    <row r="413" spans="1:19">
      <c r="A413" s="491"/>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8">
        <f t="shared" si="73"/>
        <v>0</v>
      </c>
    </row>
    <row r="414" spans="1:19">
      <c r="A414" s="491"/>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8">
        <f t="shared" si="73"/>
        <v>0</v>
      </c>
    </row>
    <row r="415" spans="1:19">
      <c r="A415" s="491"/>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8">
        <f t="shared" si="73"/>
        <v>0</v>
      </c>
    </row>
    <row r="416" spans="1:19">
      <c r="A416" s="491"/>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8">
        <f t="shared" si="73"/>
        <v>0</v>
      </c>
    </row>
    <row r="417" spans="1:19">
      <c r="A417" s="491"/>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8">
        <f t="shared" si="73"/>
        <v>0</v>
      </c>
    </row>
    <row r="418" spans="1:19">
      <c r="A418" s="491"/>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8">
        <f t="shared" si="73"/>
        <v>0</v>
      </c>
    </row>
    <row r="419" spans="1:19">
      <c r="A419" s="491"/>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8">
        <f t="shared" si="73"/>
        <v>0</v>
      </c>
    </row>
    <row r="420" spans="1:19">
      <c r="A420" s="491"/>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8">
        <f t="shared" si="73"/>
        <v>0</v>
      </c>
    </row>
    <row r="421" spans="1:19">
      <c r="A421" s="491"/>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8">
        <f t="shared" si="73"/>
        <v>0</v>
      </c>
    </row>
    <row r="422" spans="1:19">
      <c r="A422" s="491"/>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8">
        <f t="shared" si="73"/>
        <v>0</v>
      </c>
    </row>
    <row r="423" spans="1:19">
      <c r="A423" s="491"/>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8">
        <f t="shared" ref="S423:S467" si="83">ROUND(R423*B423/10000,0)</f>
        <v>0</v>
      </c>
    </row>
    <row r="424" spans="1:19">
      <c r="A424" s="491"/>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8">
        <f t="shared" si="83"/>
        <v>0</v>
      </c>
    </row>
    <row r="425" spans="1:19">
      <c r="A425" s="491"/>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8">
        <f t="shared" si="83"/>
        <v>0</v>
      </c>
    </row>
    <row r="426" spans="1:19">
      <c r="A426" s="491"/>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8">
        <f t="shared" si="83"/>
        <v>0</v>
      </c>
    </row>
    <row r="427" spans="1:19">
      <c r="A427" s="491"/>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8">
        <f t="shared" si="83"/>
        <v>0</v>
      </c>
    </row>
    <row r="428" spans="1:19">
      <c r="A428" s="491"/>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8">
        <f t="shared" si="83"/>
        <v>0</v>
      </c>
    </row>
    <row r="429" spans="1:19">
      <c r="A429" s="491"/>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8">
        <f t="shared" si="83"/>
        <v>0</v>
      </c>
    </row>
    <row r="430" spans="1:19">
      <c r="A430" s="491"/>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8">
        <f t="shared" si="83"/>
        <v>0</v>
      </c>
    </row>
    <row r="431" spans="1:19">
      <c r="A431" s="491"/>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8">
        <f t="shared" si="83"/>
        <v>0</v>
      </c>
    </row>
    <row r="432" spans="1:19">
      <c r="A432" s="491"/>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8">
        <f t="shared" si="83"/>
        <v>0</v>
      </c>
    </row>
    <row r="433" spans="1:19">
      <c r="A433" s="491"/>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8">
        <f t="shared" si="83"/>
        <v>0</v>
      </c>
    </row>
    <row r="434" spans="1:19">
      <c r="A434" s="491"/>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8">
        <f t="shared" si="83"/>
        <v>0</v>
      </c>
    </row>
    <row r="435" spans="1:19">
      <c r="A435" s="491"/>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8">
        <f t="shared" si="83"/>
        <v>0</v>
      </c>
    </row>
    <row r="436" spans="1:19">
      <c r="A436" s="491"/>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8">
        <f t="shared" si="83"/>
        <v>0</v>
      </c>
    </row>
    <row r="437" spans="1:19">
      <c r="A437" s="491"/>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8">
        <f t="shared" si="83"/>
        <v>0</v>
      </c>
    </row>
    <row r="438" spans="1:19">
      <c r="A438" s="491"/>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8">
        <f t="shared" si="83"/>
        <v>0</v>
      </c>
    </row>
    <row r="439" spans="1:19">
      <c r="A439" s="491"/>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8">
        <f t="shared" si="83"/>
        <v>0</v>
      </c>
    </row>
    <row r="440" spans="1:19">
      <c r="A440" s="491"/>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8">
        <f t="shared" si="83"/>
        <v>0</v>
      </c>
    </row>
    <row r="441" spans="1:19">
      <c r="A441" s="491"/>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8">
        <f t="shared" si="83"/>
        <v>0</v>
      </c>
    </row>
    <row r="442" spans="1:19">
      <c r="A442" s="491"/>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8">
        <f t="shared" si="83"/>
        <v>0</v>
      </c>
    </row>
    <row r="443" spans="1:19">
      <c r="A443" s="491"/>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8">
        <f t="shared" si="83"/>
        <v>0</v>
      </c>
    </row>
    <row r="444" spans="1:19">
      <c r="A444" s="491"/>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8">
        <f t="shared" si="83"/>
        <v>0</v>
      </c>
    </row>
    <row r="445" spans="1:19">
      <c r="A445" s="491"/>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8">
        <f t="shared" si="83"/>
        <v>0</v>
      </c>
    </row>
    <row r="446" spans="1:19">
      <c r="A446" s="491"/>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8">
        <f t="shared" si="83"/>
        <v>0</v>
      </c>
    </row>
    <row r="447" spans="1:19">
      <c r="A447" s="491"/>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8">
        <f t="shared" si="83"/>
        <v>0</v>
      </c>
    </row>
    <row r="448" spans="1:19">
      <c r="A448" s="491"/>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8">
        <f t="shared" si="83"/>
        <v>0</v>
      </c>
    </row>
    <row r="449" spans="1:19">
      <c r="A449" s="491"/>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8">
        <f t="shared" si="83"/>
        <v>0</v>
      </c>
    </row>
    <row r="450" spans="1:19">
      <c r="A450" s="491"/>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8">
        <f t="shared" si="83"/>
        <v>0</v>
      </c>
    </row>
    <row r="451" spans="1:19">
      <c r="A451" s="491"/>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8">
        <f t="shared" si="83"/>
        <v>0</v>
      </c>
    </row>
    <row r="452" spans="1:19">
      <c r="A452" s="491"/>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8">
        <f t="shared" si="83"/>
        <v>0</v>
      </c>
    </row>
    <row r="453" spans="1:19">
      <c r="A453" s="491"/>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8">
        <f t="shared" si="83"/>
        <v>0</v>
      </c>
    </row>
    <row r="454" spans="1:19">
      <c r="A454" s="491"/>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8">
        <f t="shared" si="83"/>
        <v>0</v>
      </c>
    </row>
    <row r="455" spans="1:19">
      <c r="A455" s="491"/>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8">
        <f t="shared" si="83"/>
        <v>0</v>
      </c>
    </row>
    <row r="456" spans="1:19">
      <c r="A456" s="491"/>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8">
        <f t="shared" si="83"/>
        <v>0</v>
      </c>
    </row>
    <row r="457" spans="1:19">
      <c r="A457" s="491"/>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8">
        <f t="shared" si="83"/>
        <v>0</v>
      </c>
    </row>
    <row r="458" spans="1:19">
      <c r="A458" s="491"/>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8">
        <f t="shared" si="83"/>
        <v>0</v>
      </c>
    </row>
    <row r="459" spans="1:19">
      <c r="A459" s="491"/>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8">
        <f t="shared" si="83"/>
        <v>0</v>
      </c>
    </row>
    <row r="460" spans="1:19">
      <c r="A460" s="491"/>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8">
        <f t="shared" si="83"/>
        <v>0</v>
      </c>
    </row>
    <row r="461" spans="1:19">
      <c r="A461" s="491"/>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8">
        <f t="shared" si="83"/>
        <v>0</v>
      </c>
    </row>
    <row r="462" spans="1:19">
      <c r="A462" s="491"/>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8">
        <f t="shared" si="83"/>
        <v>0</v>
      </c>
    </row>
    <row r="463" spans="1:19">
      <c r="A463" s="491"/>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8">
        <f t="shared" si="83"/>
        <v>0</v>
      </c>
    </row>
    <row r="464" spans="1:19">
      <c r="A464" s="491"/>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8">
        <f t="shared" si="83"/>
        <v>0</v>
      </c>
    </row>
    <row r="465" spans="1:19">
      <c r="A465" s="491"/>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8">
        <f t="shared" si="83"/>
        <v>0</v>
      </c>
    </row>
    <row r="466" spans="1:19">
      <c r="A466" s="491"/>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8">
        <f t="shared" si="83"/>
        <v>0</v>
      </c>
    </row>
    <row r="467" spans="1:19">
      <c r="A467" s="491"/>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8">
        <f t="shared" si="83"/>
        <v>0</v>
      </c>
    </row>
    <row r="468" spans="1:19">
      <c r="A468" s="491"/>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8">
        <f t="shared" ref="S468:S497" si="84">ROUND(R468*B468/10000,0)</f>
        <v>0</v>
      </c>
    </row>
    <row r="469" spans="1:19">
      <c r="A469" s="491"/>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8">
        <f t="shared" si="84"/>
        <v>0</v>
      </c>
    </row>
    <row r="470" spans="1:19">
      <c r="A470" s="491"/>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8">
        <f t="shared" si="84"/>
        <v>0</v>
      </c>
    </row>
    <row r="471" spans="1:19">
      <c r="A471" s="491"/>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8">
        <f t="shared" si="84"/>
        <v>0</v>
      </c>
    </row>
    <row r="472" spans="1:19">
      <c r="A472" s="491"/>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8">
        <f t="shared" si="84"/>
        <v>0</v>
      </c>
    </row>
    <row r="473" spans="1:19">
      <c r="A473" s="491"/>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8">
        <f t="shared" si="84"/>
        <v>0</v>
      </c>
    </row>
    <row r="474" spans="1:19">
      <c r="A474" s="491"/>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8">
        <f t="shared" si="84"/>
        <v>0</v>
      </c>
    </row>
    <row r="475" spans="1:19">
      <c r="A475" s="491"/>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8">
        <f t="shared" si="84"/>
        <v>0</v>
      </c>
    </row>
    <row r="476" spans="1:19">
      <c r="A476" s="491"/>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8">
        <f t="shared" si="84"/>
        <v>0</v>
      </c>
    </row>
    <row r="477" spans="1:19">
      <c r="A477" s="491"/>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8">
        <f t="shared" si="84"/>
        <v>0</v>
      </c>
    </row>
    <row r="478" spans="1:19">
      <c r="A478" s="491"/>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8">
        <f t="shared" si="84"/>
        <v>0</v>
      </c>
    </row>
    <row r="479" spans="1:19">
      <c r="A479" s="491"/>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8">
        <f t="shared" si="84"/>
        <v>0</v>
      </c>
    </row>
    <row r="480" spans="1:19">
      <c r="A480" s="491"/>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8">
        <f t="shared" si="84"/>
        <v>0</v>
      </c>
    </row>
    <row r="481" spans="1:19">
      <c r="A481" s="491"/>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8">
        <f t="shared" si="84"/>
        <v>0</v>
      </c>
    </row>
    <row r="482" spans="1:19">
      <c r="A482" s="491"/>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8">
        <f t="shared" si="84"/>
        <v>0</v>
      </c>
    </row>
    <row r="483" spans="1:19">
      <c r="A483" s="491"/>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8">
        <f t="shared" si="84"/>
        <v>0</v>
      </c>
    </row>
    <row r="484" spans="1:19">
      <c r="A484" s="491"/>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8">
        <f t="shared" si="84"/>
        <v>0</v>
      </c>
    </row>
    <row r="485" spans="1:19">
      <c r="A485" s="491"/>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8">
        <f t="shared" si="84"/>
        <v>0</v>
      </c>
    </row>
    <row r="486" spans="1:19">
      <c r="A486" s="491"/>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8">
        <f t="shared" si="84"/>
        <v>0</v>
      </c>
    </row>
    <row r="487" spans="1:19">
      <c r="A487" s="491"/>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8">
        <f t="shared" si="84"/>
        <v>0</v>
      </c>
    </row>
    <row r="488" spans="1:19">
      <c r="A488" s="491"/>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8">
        <f t="shared" si="84"/>
        <v>0</v>
      </c>
    </row>
    <row r="489" spans="1:19">
      <c r="A489" s="491"/>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8">
        <f t="shared" si="84"/>
        <v>0</v>
      </c>
    </row>
    <row r="490" spans="1:19">
      <c r="A490" s="491"/>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8">
        <f t="shared" si="84"/>
        <v>0</v>
      </c>
    </row>
    <row r="491" spans="1:19">
      <c r="A491" s="491"/>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8">
        <f t="shared" si="84"/>
        <v>0</v>
      </c>
    </row>
    <row r="492" spans="1:19">
      <c r="A492" s="491"/>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8">
        <f t="shared" si="84"/>
        <v>0</v>
      </c>
    </row>
    <row r="493" spans="1:19">
      <c r="A493" s="491"/>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8">
        <f t="shared" si="84"/>
        <v>0</v>
      </c>
    </row>
    <row r="494" spans="1:19">
      <c r="A494" s="491"/>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8">
        <f t="shared" si="84"/>
        <v>0</v>
      </c>
    </row>
    <row r="495" spans="1:19">
      <c r="A495" s="491"/>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8">
        <f t="shared" si="84"/>
        <v>0</v>
      </c>
    </row>
    <row r="496" spans="1:19">
      <c r="A496" s="491"/>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8">
        <f t="shared" si="84"/>
        <v>0</v>
      </c>
    </row>
    <row r="497" spans="1:19">
      <c r="A497" s="491"/>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8">
        <f t="shared" si="84"/>
        <v>0</v>
      </c>
    </row>
    <row r="498" spans="1:19">
      <c r="A498" s="491"/>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8">
        <f t="shared" ref="S498:S524" si="94">ROUND(R498*B498/10000,0)</f>
        <v>0</v>
      </c>
    </row>
    <row r="499" spans="1:19">
      <c r="A499" s="491"/>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8">
        <f t="shared" si="94"/>
        <v>0</v>
      </c>
    </row>
    <row r="500" spans="1:19">
      <c r="A500" s="491"/>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8">
        <f t="shared" si="94"/>
        <v>0</v>
      </c>
    </row>
    <row r="501" spans="1:19">
      <c r="A501" s="491"/>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8">
        <f t="shared" si="94"/>
        <v>0</v>
      </c>
    </row>
    <row r="502" spans="1:19">
      <c r="A502" s="491"/>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8">
        <f t="shared" si="94"/>
        <v>0</v>
      </c>
    </row>
    <row r="503" spans="1:19">
      <c r="A503" s="491"/>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8">
        <f t="shared" si="94"/>
        <v>0</v>
      </c>
    </row>
    <row r="504" spans="1:19">
      <c r="A504" s="491"/>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8">
        <f t="shared" si="94"/>
        <v>0</v>
      </c>
    </row>
    <row r="505" spans="1:19">
      <c r="A505" s="491"/>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8">
        <f t="shared" si="94"/>
        <v>0</v>
      </c>
    </row>
    <row r="506" spans="1:19">
      <c r="A506" s="491"/>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8">
        <f t="shared" si="94"/>
        <v>0</v>
      </c>
    </row>
    <row r="507" spans="1:19">
      <c r="A507" s="491"/>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8">
        <f t="shared" si="94"/>
        <v>0</v>
      </c>
    </row>
    <row r="508" spans="1:19">
      <c r="A508" s="491"/>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8">
        <f t="shared" si="94"/>
        <v>0</v>
      </c>
    </row>
    <row r="509" spans="1:19">
      <c r="A509" s="491"/>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8">
        <f t="shared" si="94"/>
        <v>0</v>
      </c>
    </row>
    <row r="510" spans="1:19">
      <c r="A510" s="491"/>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8">
        <f t="shared" si="94"/>
        <v>0</v>
      </c>
    </row>
    <row r="511" spans="1:19">
      <c r="A511" s="491"/>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8">
        <f t="shared" si="94"/>
        <v>0</v>
      </c>
    </row>
    <row r="512" spans="1:19">
      <c r="A512" s="491"/>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8">
        <f t="shared" si="94"/>
        <v>0</v>
      </c>
    </row>
    <row r="513" spans="1:19">
      <c r="A513" s="491"/>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8">
        <f t="shared" si="94"/>
        <v>0</v>
      </c>
    </row>
    <row r="514" spans="1:19">
      <c r="A514" s="491"/>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8">
        <f t="shared" si="94"/>
        <v>0</v>
      </c>
    </row>
    <row r="515" spans="1:19">
      <c r="A515" s="491"/>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8">
        <f t="shared" si="94"/>
        <v>0</v>
      </c>
    </row>
    <row r="516" spans="1:19">
      <c r="A516" s="491"/>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8">
        <f t="shared" si="94"/>
        <v>0</v>
      </c>
    </row>
    <row r="517" spans="1:19">
      <c r="A517" s="491"/>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8">
        <f t="shared" si="94"/>
        <v>0</v>
      </c>
    </row>
    <row r="518" spans="1:19">
      <c r="A518" s="491"/>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8">
        <f t="shared" si="94"/>
        <v>0</v>
      </c>
    </row>
    <row r="519" spans="1:19">
      <c r="A519" s="491"/>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8">
        <f t="shared" si="94"/>
        <v>0</v>
      </c>
    </row>
    <row r="520" spans="1:19">
      <c r="A520" s="491"/>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8">
        <f t="shared" si="94"/>
        <v>0</v>
      </c>
    </row>
    <row r="521" spans="1:19">
      <c r="A521" s="491"/>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8">
        <f t="shared" si="94"/>
        <v>0</v>
      </c>
    </row>
    <row r="522" spans="1:19">
      <c r="A522" s="491"/>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8">
        <f t="shared" si="94"/>
        <v>0</v>
      </c>
    </row>
    <row r="523" spans="1:19">
      <c r="A523" s="491"/>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8">
        <f t="shared" si="94"/>
        <v>0</v>
      </c>
    </row>
    <row r="524" spans="1:19">
      <c r="A524" s="491"/>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812</v>
      </c>
      <c r="B1" s="573"/>
      <c r="C1" s="574"/>
      <c r="D1" s="574"/>
      <c r="E1" s="574"/>
      <c r="F1" s="574"/>
      <c r="G1" s="575"/>
    </row>
    <row r="2" spans="1:7" s="576" customFormat="1" ht="18" customHeight="1">
      <c r="A2" s="577" t="s">
        <v>813</v>
      </c>
      <c r="B2" s="578">
        <f ca="1">C52</f>
        <v>40739</v>
      </c>
      <c r="C2" s="85" t="s">
        <v>862</v>
      </c>
      <c r="D2" s="575"/>
      <c r="E2" s="575"/>
      <c r="F2" s="575"/>
      <c r="G2" s="575"/>
    </row>
    <row r="3" spans="1:7" s="576" customFormat="1" ht="18" customHeight="1" thickBot="1">
      <c r="A3" s="579" t="s">
        <v>814</v>
      </c>
      <c r="B3" s="580">
        <f ca="1">ROUND(B2*10000/'数据-汇总表'!E3,0)</f>
        <v>7408</v>
      </c>
      <c r="C3" s="85" t="s">
        <v>863</v>
      </c>
      <c r="D3" s="575"/>
      <c r="E3" s="575"/>
      <c r="F3" s="575"/>
      <c r="G3" s="575"/>
    </row>
    <row r="4" spans="1:7" s="584" customFormat="1" ht="15.75">
      <c r="A4" s="581" t="s">
        <v>815</v>
      </c>
      <c r="B4" s="582"/>
      <c r="C4" s="582"/>
      <c r="D4" s="582"/>
      <c r="E4" s="582"/>
      <c r="F4" s="582"/>
      <c r="G4" s="583"/>
    </row>
    <row r="5" spans="1:7" s="590" customFormat="1" ht="13.5" customHeight="1">
      <c r="A5" s="631" t="s">
        <v>2502</v>
      </c>
      <c r="B5" s="586" t="s">
        <v>816</v>
      </c>
      <c r="C5" s="587">
        <f>C6+C7+C8</f>
        <v>20610</v>
      </c>
      <c r="D5" s="587" t="s">
        <v>817</v>
      </c>
      <c r="E5" s="588" t="s">
        <v>818</v>
      </c>
      <c r="F5" s="588" t="s">
        <v>819</v>
      </c>
      <c r="G5" s="589"/>
    </row>
    <row r="6" spans="1:7" s="590" customFormat="1" ht="13.5" customHeight="1">
      <c r="A6" s="1800" t="s">
        <v>1915</v>
      </c>
      <c r="B6" s="591" t="s">
        <v>820</v>
      </c>
      <c r="C6" s="592">
        <v>20000</v>
      </c>
      <c r="D6" s="593"/>
      <c r="E6" s="594"/>
      <c r="F6" s="594"/>
      <c r="G6" s="595"/>
    </row>
    <row r="7" spans="1:7" s="590" customFormat="1" ht="13.5" customHeight="1">
      <c r="A7" s="1800" t="s">
        <v>1916</v>
      </c>
      <c r="B7" s="591" t="s">
        <v>344</v>
      </c>
      <c r="C7" s="596">
        <f>ROUND(C6*F7,0)</f>
        <v>610</v>
      </c>
      <c r="D7" s="596"/>
      <c r="E7" s="594"/>
      <c r="F7" s="597">
        <f>'数据-取费表'!B48+'数据-取费表'!B49</f>
        <v>3.0499999999999999E-2</v>
      </c>
      <c r="G7" s="595"/>
    </row>
    <row r="8" spans="1:7" s="599" customFormat="1">
      <c r="A8" s="1800" t="s">
        <v>1917</v>
      </c>
      <c r="B8" s="591" t="s">
        <v>821</v>
      </c>
      <c r="C8" s="596" t="str">
        <f>IF(G8="已包含在土地购买价格中","0",'数据-取费表'!B29)</f>
        <v>0</v>
      </c>
      <c r="D8" s="598"/>
      <c r="E8" s="596"/>
      <c r="F8" s="597"/>
      <c r="G8" s="84" t="s">
        <v>2679</v>
      </c>
    </row>
    <row r="9" spans="1:7" s="590" customFormat="1" ht="13.5" customHeight="1">
      <c r="A9" s="1801" t="s">
        <v>1924</v>
      </c>
      <c r="B9" s="600" t="s">
        <v>822</v>
      </c>
      <c r="C9" s="601">
        <f>ROUND(D9*E9/10000,0)</f>
        <v>510</v>
      </c>
      <c r="D9" s="1905">
        <f>'数据-汇总表'!E5</f>
        <v>42524.060000000005</v>
      </c>
      <c r="E9" s="601">
        <f>'数据-取费表'!B27</f>
        <v>120</v>
      </c>
      <c r="F9" s="597"/>
      <c r="G9" s="602"/>
    </row>
    <row r="10" spans="1:7" s="590" customFormat="1" ht="13.5" customHeight="1">
      <c r="A10" s="1801" t="s">
        <v>1925</v>
      </c>
      <c r="B10" s="600" t="s">
        <v>823</v>
      </c>
      <c r="C10" s="601">
        <f>ROUND(D10*E10/10000,0)</f>
        <v>200</v>
      </c>
      <c r="D10" s="1905">
        <f>'数据-汇总表'!E6</f>
        <v>12472.739999999998</v>
      </c>
      <c r="E10" s="601">
        <f>'数据-取费表'!B28</f>
        <v>160</v>
      </c>
      <c r="F10" s="597"/>
      <c r="G10" s="602"/>
    </row>
    <row r="11" spans="1:7" s="590" customFormat="1" ht="13.5" hidden="1" customHeight="1">
      <c r="A11" s="603" t="s">
        <v>42</v>
      </c>
      <c r="B11" s="591" t="s">
        <v>824</v>
      </c>
      <c r="C11" s="587"/>
      <c r="D11" s="1907"/>
      <c r="E11" s="594"/>
      <c r="F11" s="594"/>
      <c r="G11" s="595"/>
    </row>
    <row r="12" spans="1:7" s="590" customFormat="1" ht="13.5" hidden="1" customHeight="1">
      <c r="A12" s="603" t="s">
        <v>43</v>
      </c>
      <c r="B12" s="591" t="s">
        <v>825</v>
      </c>
      <c r="C12" s="587">
        <v>0</v>
      </c>
      <c r="D12" s="1907"/>
      <c r="E12" s="604"/>
      <c r="F12" s="597">
        <v>3.0499999999999999E-2</v>
      </c>
      <c r="G12" s="595"/>
    </row>
    <row r="13" spans="1:7" s="590" customFormat="1" ht="13.5" hidden="1" customHeight="1">
      <c r="A13" s="603" t="s">
        <v>44</v>
      </c>
      <c r="B13" s="591" t="s">
        <v>826</v>
      </c>
      <c r="C13" s="587"/>
      <c r="D13" s="1907"/>
      <c r="E13" s="594"/>
      <c r="F13" s="594"/>
      <c r="G13" s="595"/>
    </row>
    <row r="14" spans="1:7" s="590" customFormat="1" ht="13.5" hidden="1" customHeight="1">
      <c r="A14" s="603" t="s">
        <v>45</v>
      </c>
      <c r="B14" s="591" t="s">
        <v>821</v>
      </c>
      <c r="C14" s="587"/>
      <c r="D14" s="1907"/>
      <c r="E14" s="594"/>
      <c r="F14" s="594"/>
      <c r="G14" s="595" t="s">
        <v>827</v>
      </c>
    </row>
    <row r="15" spans="1:7" s="590" customFormat="1" ht="13.5" hidden="1" customHeight="1">
      <c r="A15" s="603" t="s">
        <v>46</v>
      </c>
      <c r="B15" s="591" t="s">
        <v>828</v>
      </c>
      <c r="C15" s="596"/>
      <c r="D15" s="1907"/>
      <c r="E15" s="594"/>
      <c r="F15" s="594"/>
      <c r="G15" s="595" t="s">
        <v>829</v>
      </c>
    </row>
    <row r="16" spans="1:7" s="590" customFormat="1" ht="13.5" hidden="1" customHeight="1">
      <c r="A16" s="603" t="s">
        <v>47</v>
      </c>
      <c r="B16" s="591" t="s">
        <v>821</v>
      </c>
      <c r="C16" s="596"/>
      <c r="D16" s="1907"/>
      <c r="E16" s="594"/>
      <c r="F16" s="594"/>
      <c r="G16" s="595"/>
    </row>
    <row r="17" spans="1:7" s="590" customFormat="1" ht="13.5" hidden="1" customHeight="1">
      <c r="A17" s="603" t="s">
        <v>48</v>
      </c>
      <c r="B17" s="591" t="s">
        <v>830</v>
      </c>
      <c r="C17" s="605"/>
      <c r="D17" s="1908"/>
      <c r="E17" s="605"/>
      <c r="F17" s="605"/>
      <c r="G17" s="595" t="s">
        <v>829</v>
      </c>
    </row>
    <row r="18" spans="1:7" s="590" customFormat="1" ht="13.5" hidden="1" customHeight="1">
      <c r="A18" s="603" t="s">
        <v>49</v>
      </c>
      <c r="B18" s="591" t="s">
        <v>831</v>
      </c>
      <c r="C18" s="596">
        <v>0</v>
      </c>
      <c r="D18" s="1907"/>
      <c r="E18" s="594"/>
      <c r="F18" s="597">
        <v>3.0499999999999999E-2</v>
      </c>
      <c r="G18" s="595" t="s">
        <v>832</v>
      </c>
    </row>
    <row r="19" spans="1:7" s="599" customFormat="1" ht="13.5" customHeight="1">
      <c r="A19" s="1799" t="s">
        <v>2503</v>
      </c>
      <c r="B19" s="586" t="s">
        <v>840</v>
      </c>
      <c r="C19" s="587">
        <f>IF(G19="已包含在土地取得成本中","0",ROUND(D19*E19/10000,0))</f>
        <v>1100</v>
      </c>
      <c r="D19" s="1909">
        <f>'数据-汇总表'!E3</f>
        <v>54996.800000000003</v>
      </c>
      <c r="E19" s="587">
        <f>'数据-取费表'!B31</f>
        <v>200</v>
      </c>
      <c r="F19" s="607"/>
      <c r="G19" s="84" t="s">
        <v>2525</v>
      </c>
    </row>
    <row r="20" spans="1:7" s="590" customFormat="1" ht="13.5" customHeight="1">
      <c r="A20" s="1799" t="s">
        <v>2505</v>
      </c>
      <c r="B20" s="586" t="s">
        <v>833</v>
      </c>
      <c r="C20" s="608">
        <f>ROUND((C5+C19)*F20,0)</f>
        <v>434</v>
      </c>
      <c r="D20" s="608"/>
      <c r="E20" s="608"/>
      <c r="F20" s="609">
        <f>'数据-取费表'!B37</f>
        <v>0.02</v>
      </c>
      <c r="G20" s="2616" t="s">
        <v>2516</v>
      </c>
    </row>
    <row r="21" spans="1:7" s="590" customFormat="1" ht="13.5" customHeight="1">
      <c r="A21" s="1799" t="s">
        <v>2507</v>
      </c>
      <c r="B21" s="586" t="s">
        <v>834</v>
      </c>
      <c r="C21" s="611">
        <f>F21</f>
        <v>0.02</v>
      </c>
      <c r="D21" s="612" t="s">
        <v>855</v>
      </c>
      <c r="E21" s="608"/>
      <c r="F21" s="609">
        <f>'数据-取费表'!B38</f>
        <v>0.02</v>
      </c>
      <c r="G21" s="610" t="s">
        <v>835</v>
      </c>
    </row>
    <row r="22" spans="1:7" s="590" customFormat="1" ht="13.5" customHeight="1">
      <c r="A22" s="1799" t="s">
        <v>1910</v>
      </c>
      <c r="B22" s="586" t="s">
        <v>836</v>
      </c>
      <c r="C22" s="2695">
        <f ca="1">ROUND(SUM(C23:C25),0)</f>
        <v>1255</v>
      </c>
      <c r="D22" s="611">
        <f ca="1">C26</f>
        <v>5.9999999999999995E-4</v>
      </c>
      <c r="E22" s="612" t="s">
        <v>855</v>
      </c>
      <c r="F22" s="613">
        <f ca="1">'数据-取费表'!B40</f>
        <v>4.7500000000000001E-2</v>
      </c>
      <c r="G22" s="2616" t="str">
        <f>IF('数据-取费表'!B22&lt;=1,"单利计息","复利计息")</f>
        <v>复利计息</v>
      </c>
    </row>
    <row r="23" spans="1:7" s="590" customFormat="1" ht="13.5" customHeight="1">
      <c r="A23" s="1802" t="s">
        <v>1918</v>
      </c>
      <c r="B23" s="591" t="s">
        <v>2509</v>
      </c>
      <c r="C23" s="2696">
        <f ca="1">ROUND(IF('数据-取费表'!B22&lt;=1,C5*F22*'数据-取费表'!B23,C5*(POWER((1+F22),'数据-取费表'!B23)-1)),0)</f>
        <v>1180</v>
      </c>
      <c r="D23" s="614"/>
      <c r="E23" s="614"/>
      <c r="F23" s="615"/>
      <c r="G23" s="616" t="s">
        <v>837</v>
      </c>
    </row>
    <row r="24" spans="1:7" s="590" customFormat="1" ht="13.5" customHeight="1">
      <c r="A24" s="1802" t="s">
        <v>1916</v>
      </c>
      <c r="B24" s="591" t="s">
        <v>2504</v>
      </c>
      <c r="C24" s="2696">
        <f ca="1">ROUND(IF('数据-取费表'!B22&lt;=1,C19*F22*('数据-取费表'!B19/2+'数据-取费表'!B21),C19*(POWER((1+F22),('数据-取费表'!B19/2+'数据-取费表'!B21))-1)),0)</f>
        <v>63</v>
      </c>
      <c r="D24" s="614"/>
      <c r="E24" s="614"/>
      <c r="F24" s="615"/>
      <c r="G24" s="616" t="s">
        <v>838</v>
      </c>
    </row>
    <row r="25" spans="1:7" s="590" customFormat="1" ht="24">
      <c r="A25" s="1802" t="s">
        <v>1917</v>
      </c>
      <c r="B25" s="591" t="s">
        <v>2506</v>
      </c>
      <c r="C25" s="2696">
        <f ca="1">ROUND(IF('数据-取费表'!B22&lt;=1,C20*F22*'数据-取费表'!B23/2,C20*(POWER((1+F22),'数据-取费表'!B23/2)-1)),0)</f>
        <v>12</v>
      </c>
      <c r="D25" s="614"/>
      <c r="E25" s="617"/>
      <c r="F25" s="615"/>
      <c r="G25" s="618" t="s">
        <v>839</v>
      </c>
    </row>
    <row r="26" spans="1:7" s="590" customFormat="1">
      <c r="A26" s="1802" t="s">
        <v>1919</v>
      </c>
      <c r="B26" s="591" t="s">
        <v>2508</v>
      </c>
      <c r="C26" s="614">
        <f ca="1">ROUND(IF('数据-取费表'!B22&lt;=1,F21*F22*'数据-取费表'!B23/2,F21*(POWER((1+F22),'数据-取费表'!B23/2)-1)),4)</f>
        <v>5.9999999999999995E-4</v>
      </c>
      <c r="D26" s="614"/>
      <c r="E26" s="617"/>
      <c r="F26" s="615"/>
      <c r="G26" s="619"/>
    </row>
    <row r="27" spans="1:7" s="590" customFormat="1" ht="24.75">
      <c r="A27" s="1799" t="s">
        <v>1911</v>
      </c>
      <c r="B27" s="620" t="s">
        <v>841</v>
      </c>
      <c r="C27" s="621">
        <f>C28</f>
        <v>2392</v>
      </c>
      <c r="D27" s="611">
        <f>C29</f>
        <v>2.2000000000000001E-3</v>
      </c>
      <c r="E27" s="612" t="s">
        <v>855</v>
      </c>
      <c r="F27" s="622">
        <f>'数据-取费表'!Q16</f>
        <v>0.18</v>
      </c>
      <c r="G27" s="623" t="s">
        <v>2517</v>
      </c>
    </row>
    <row r="28" spans="1:7" s="590" customFormat="1" ht="13.5" customHeight="1">
      <c r="A28" s="1802" t="s">
        <v>1918</v>
      </c>
      <c r="B28" s="624" t="s">
        <v>2510</v>
      </c>
      <c r="C28" s="625">
        <f>ROUND((C5+C19+C20)*F27*'数据-取费表'!B21/'数据-取费表'!B20,0)</f>
        <v>2392</v>
      </c>
      <c r="D28" s="611"/>
      <c r="E28" s="612"/>
      <c r="F28" s="622"/>
      <c r="G28" s="623"/>
    </row>
    <row r="29" spans="1:7" s="590" customFormat="1" ht="13.5" customHeight="1">
      <c r="A29" s="1802" t="s">
        <v>1916</v>
      </c>
      <c r="B29" s="624" t="s">
        <v>2511</v>
      </c>
      <c r="C29" s="614">
        <f>ROUND(C21*F27*'数据-取费表'!B21/'数据-取费表'!B20,4)</f>
        <v>2.2000000000000001E-3</v>
      </c>
      <c r="D29" s="611"/>
      <c r="E29" s="612"/>
      <c r="F29" s="622"/>
      <c r="G29" s="623"/>
    </row>
    <row r="30" spans="1:7" s="590" customFormat="1" ht="13.5" customHeight="1">
      <c r="A30" s="1799" t="s">
        <v>1912</v>
      </c>
      <c r="B30" s="586" t="s">
        <v>345</v>
      </c>
      <c r="C30" s="611">
        <f>F30</f>
        <v>5.6000000000000001E-2</v>
      </c>
      <c r="D30" s="612" t="s">
        <v>856</v>
      </c>
      <c r="E30" s="617"/>
      <c r="F30" s="613">
        <f>'数据-取费表'!B41</f>
        <v>5.6000000000000001E-2</v>
      </c>
      <c r="G30" s="610" t="s">
        <v>842</v>
      </c>
    </row>
    <row r="31" spans="1:7" ht="16.5" customHeight="1">
      <c r="A31" s="585">
        <v>1</v>
      </c>
      <c r="B31" s="586" t="s">
        <v>857</v>
      </c>
      <c r="C31" s="587">
        <f ca="1">ROUND((C5+C19+C20+C22+C27)/(1-C21-D22-D27-C30/(1+'数据-取费表'!B42)),0)</f>
        <v>27916</v>
      </c>
      <c r="D31" s="606"/>
      <c r="E31" s="587"/>
      <c r="F31" s="626"/>
      <c r="G31" s="610" t="s">
        <v>2518</v>
      </c>
    </row>
    <row r="32" spans="1:7" s="584" customFormat="1" ht="15.75">
      <c r="A32" s="628" t="s">
        <v>843</v>
      </c>
      <c r="B32" s="629"/>
      <c r="C32" s="629"/>
      <c r="D32" s="629"/>
      <c r="E32" s="629"/>
      <c r="F32" s="629"/>
      <c r="G32" s="630"/>
    </row>
    <row r="33" spans="1:7" s="590" customFormat="1" ht="13.5" customHeight="1">
      <c r="A33" s="631" t="s">
        <v>1906</v>
      </c>
      <c r="B33" s="586" t="s">
        <v>844</v>
      </c>
      <c r="C33" s="632">
        <f>SUM(C34:C38)</f>
        <v>9599</v>
      </c>
      <c r="D33" s="608"/>
      <c r="E33" s="588"/>
      <c r="F33" s="617"/>
      <c r="G33" s="610"/>
    </row>
    <row r="34" spans="1:7" s="634" customFormat="1" ht="13.5" customHeight="1">
      <c r="A34" s="1802" t="s">
        <v>1918</v>
      </c>
      <c r="B34" s="591" t="s">
        <v>346</v>
      </c>
      <c r="C34" s="596">
        <f>IF(F34=100%,'数据-取费表'!M16-SUMIF('数据-取费表'!C:C,"公共配套",'数据-取费表'!M:M),'数据-取费表'!O16-SUMIF('数据-取费表'!C:C,"公共配套",'数据-取费表'!O:O))</f>
        <v>8232</v>
      </c>
      <c r="D34" s="593"/>
      <c r="E34" s="596"/>
      <c r="F34" s="633">
        <f>IF('数据-取费表'!B24=0,1,'数据-取费表'!N16)</f>
        <v>0.59399999999999997</v>
      </c>
      <c r="G34" s="595" t="s">
        <v>845</v>
      </c>
    </row>
    <row r="35" spans="1:7" ht="13.5" customHeight="1">
      <c r="A35" s="1802" t="s">
        <v>1920</v>
      </c>
      <c r="B35" s="591" t="s">
        <v>347</v>
      </c>
      <c r="C35" s="596">
        <f>ROUND(C34*F35,0)</f>
        <v>247</v>
      </c>
      <c r="D35" s="596"/>
      <c r="E35" s="596"/>
      <c r="F35" s="635">
        <f>'数据-取费表'!B33</f>
        <v>0.03</v>
      </c>
      <c r="G35" s="595" t="s">
        <v>846</v>
      </c>
    </row>
    <row r="36" spans="1:7" ht="24">
      <c r="A36" s="1802" t="s">
        <v>1921</v>
      </c>
      <c r="B36" s="591" t="s">
        <v>348</v>
      </c>
      <c r="C36" s="596">
        <f>ROUND(IF(SUMIF('数据-取费表'!C:C,"住宅",IF(F34=100%,'数据-取费表'!M:M,'数据-取费表'!O:O))=0,0,IF(F36=0,SUMIF('数据-取费表'!C:C,"公共配套",IF(F34=100%,'数据-取费表'!M:M,'数据-取费表'!O:O)),SUMIF('数据-取费表'!C:C,"住宅",IF(F34=100%,'数据-取费表'!M:M,'数据-取费表'!O:O))*F36)),0)</f>
        <v>344</v>
      </c>
      <c r="D36" s="596"/>
      <c r="E36" s="596"/>
      <c r="F36" s="635">
        <f>'数据-取费表'!B34</f>
        <v>0.05</v>
      </c>
      <c r="G36" s="636" t="s">
        <v>349</v>
      </c>
    </row>
    <row r="37" spans="1:7" s="634" customFormat="1" ht="13.5" customHeight="1">
      <c r="A37" s="1802" t="s">
        <v>1922</v>
      </c>
      <c r="B37" s="591" t="s">
        <v>847</v>
      </c>
      <c r="C37" s="625">
        <f>ROUND(E37*D37*F34/10000,0)</f>
        <v>653</v>
      </c>
      <c r="D37" s="593">
        <f>'数据-汇总表'!E3</f>
        <v>54996.800000000003</v>
      </c>
      <c r="E37" s="625">
        <f>'数据-取费表'!B35</f>
        <v>200</v>
      </c>
      <c r="F37" s="635"/>
      <c r="G37" s="637" t="s">
        <v>848</v>
      </c>
    </row>
    <row r="38" spans="1:7" ht="13.5" customHeight="1">
      <c r="A38" s="1802" t="s">
        <v>1923</v>
      </c>
      <c r="B38" s="591" t="s">
        <v>350</v>
      </c>
      <c r="C38" s="596">
        <f>ROUND(C34*F38,0)</f>
        <v>123</v>
      </c>
      <c r="D38" s="596"/>
      <c r="E38" s="596"/>
      <c r="F38" s="635">
        <f>'数据-取费表'!B36</f>
        <v>1.4999999999999999E-2</v>
      </c>
      <c r="G38" s="595" t="s">
        <v>846</v>
      </c>
    </row>
    <row r="39" spans="1:7" s="590" customFormat="1" ht="13.5" customHeight="1">
      <c r="A39" s="1799" t="s">
        <v>1907</v>
      </c>
      <c r="B39" s="586" t="s">
        <v>833</v>
      </c>
      <c r="C39" s="608">
        <f>ROUND(C33*F20,0)</f>
        <v>192</v>
      </c>
      <c r="D39" s="608"/>
      <c r="E39" s="608"/>
      <c r="F39" s="609"/>
      <c r="G39" s="2616" t="s">
        <v>2519</v>
      </c>
    </row>
    <row r="40" spans="1:7" s="590" customFormat="1" ht="13.5" customHeight="1">
      <c r="A40" s="1799" t="s">
        <v>1908</v>
      </c>
      <c r="B40" s="586" t="s">
        <v>834</v>
      </c>
      <c r="C40" s="638">
        <f>F21</f>
        <v>0.02</v>
      </c>
      <c r="D40" s="612" t="s">
        <v>858</v>
      </c>
      <c r="E40" s="608"/>
      <c r="F40" s="609"/>
      <c r="G40" s="610" t="s">
        <v>849</v>
      </c>
    </row>
    <row r="41" spans="1:7" s="590" customFormat="1" ht="13.5" customHeight="1">
      <c r="A41" s="1799" t="s">
        <v>1909</v>
      </c>
      <c r="B41" s="586" t="s">
        <v>836</v>
      </c>
      <c r="C41" s="608">
        <f ca="1">ROUND(SUM(C42:C43),0)</f>
        <v>276</v>
      </c>
      <c r="D41" s="611">
        <f ca="1">C44</f>
        <v>5.9999999999999995E-4</v>
      </c>
      <c r="E41" s="612" t="s">
        <v>858</v>
      </c>
      <c r="F41" s="613"/>
      <c r="G41" s="2616" t="str">
        <f>IF('数据-取费表'!B22&lt;=1,"单利计息","复利计息")</f>
        <v>复利计息</v>
      </c>
    </row>
    <row r="42" spans="1:7" ht="13.5" customHeight="1">
      <c r="A42" s="1802" t="s">
        <v>1918</v>
      </c>
      <c r="B42" s="591" t="s">
        <v>2509</v>
      </c>
      <c r="C42" s="614">
        <f ca="1">ROUND(IF('数据-取费表'!B22&lt;=1,C33*F22*'数据-取费表'!B21/2,C33*(POWER((1+F22),'数据-取费表'!B21/2)-1)),0)</f>
        <v>271</v>
      </c>
      <c r="D42" s="614"/>
      <c r="E42" s="614"/>
      <c r="F42" s="615"/>
      <c r="G42" s="3701" t="s">
        <v>850</v>
      </c>
    </row>
    <row r="43" spans="1:7" ht="13.5" customHeight="1">
      <c r="A43" s="1802" t="s">
        <v>1916</v>
      </c>
      <c r="B43" s="591" t="s">
        <v>2512</v>
      </c>
      <c r="C43" s="614">
        <f ca="1">ROUND(IF('数据-取费表'!B22&lt;=1,C39*F22*'数据-取费表'!B21/2,C39*(POWER((1+F22),'数据-取费表'!B21/2)-1)),0)</f>
        <v>5</v>
      </c>
      <c r="D43" s="614"/>
      <c r="E43" s="614"/>
      <c r="F43" s="615"/>
      <c r="G43" s="3702"/>
    </row>
    <row r="44" spans="1:7" ht="13.5" customHeight="1">
      <c r="A44" s="1802" t="s">
        <v>1917</v>
      </c>
      <c r="B44" s="591" t="s">
        <v>2514</v>
      </c>
      <c r="C44" s="614">
        <f ca="1">ROUND(IF('数据-取费表'!B22&lt;=1,C40*F22*'数据-取费表'!B21/2,C40*(POWER((1+F22),'数据-取费表'!B21/2)-1)),4)</f>
        <v>5.9999999999999995E-4</v>
      </c>
      <c r="D44" s="614"/>
      <c r="E44" s="614"/>
      <c r="F44" s="615"/>
      <c r="G44" s="3703"/>
    </row>
    <row r="45" spans="1:7" s="590" customFormat="1" ht="13.5" customHeight="1">
      <c r="A45" s="1799" t="s">
        <v>1910</v>
      </c>
      <c r="B45" s="620" t="s">
        <v>841</v>
      </c>
      <c r="C45" s="621">
        <f>C46</f>
        <v>1762</v>
      </c>
      <c r="D45" s="611">
        <f>C47</f>
        <v>3.5999999999999999E-3</v>
      </c>
      <c r="E45" s="612" t="s">
        <v>858</v>
      </c>
      <c r="F45" s="622"/>
      <c r="G45" s="623" t="s">
        <v>2520</v>
      </c>
    </row>
    <row r="46" spans="1:7" s="590" customFormat="1" ht="13.5" customHeight="1">
      <c r="A46" s="1802" t="s">
        <v>1918</v>
      </c>
      <c r="B46" s="624" t="s">
        <v>2513</v>
      </c>
      <c r="C46" s="625">
        <f>ROUND((C33+C39)*F27,0)</f>
        <v>1762</v>
      </c>
      <c r="D46" s="639"/>
      <c r="E46" s="612"/>
      <c r="F46" s="622"/>
      <c r="G46" s="623"/>
    </row>
    <row r="47" spans="1:7" s="590" customFormat="1" ht="13.5" customHeight="1">
      <c r="A47" s="1802" t="s">
        <v>1916</v>
      </c>
      <c r="B47" s="624" t="s">
        <v>2515</v>
      </c>
      <c r="C47" s="614">
        <f>ROUND(C40*F27,4)</f>
        <v>3.5999999999999999E-3</v>
      </c>
      <c r="D47" s="639"/>
      <c r="E47" s="612"/>
      <c r="F47" s="622"/>
      <c r="G47" s="623"/>
    </row>
    <row r="48" spans="1:7" s="590" customFormat="1" ht="13.5" customHeight="1">
      <c r="A48" s="1799" t="s">
        <v>1911</v>
      </c>
      <c r="B48" s="586" t="s">
        <v>851</v>
      </c>
      <c r="C48" s="638">
        <f>F30</f>
        <v>5.6000000000000001E-2</v>
      </c>
      <c r="D48" s="612" t="s">
        <v>859</v>
      </c>
      <c r="E48" s="608"/>
      <c r="F48" s="613"/>
      <c r="G48" s="610" t="s">
        <v>852</v>
      </c>
    </row>
    <row r="49" spans="1:7" ht="16.5" customHeight="1">
      <c r="A49" s="1799" t="s">
        <v>1912</v>
      </c>
      <c r="B49" s="586" t="s">
        <v>860</v>
      </c>
      <c r="C49" s="608">
        <f ca="1">ROUND((C33+C39+C41+C45)/(1-C40-D41-D45-C48/(1+'数据-取费表'!B42)),0)</f>
        <v>12823</v>
      </c>
      <c r="D49" s="608"/>
      <c r="E49" s="608"/>
      <c r="F49" s="640"/>
      <c r="G49" s="610" t="s">
        <v>2521</v>
      </c>
    </row>
    <row r="50" spans="1:7" s="634" customFormat="1" ht="24">
      <c r="A50" s="1799" t="s">
        <v>1913</v>
      </c>
      <c r="B50" s="586" t="s">
        <v>853</v>
      </c>
      <c r="C50" s="608"/>
      <c r="D50" s="608"/>
      <c r="E50" s="608"/>
      <c r="F50" s="640">
        <f>IF('数据-取费表'!B24=0,'数据-取费表'!N16,1)</f>
        <v>1</v>
      </c>
      <c r="G50" s="623" t="s">
        <v>854</v>
      </c>
    </row>
    <row r="51" spans="1:7" ht="16.5" customHeight="1">
      <c r="A51" s="1799" t="s">
        <v>1914</v>
      </c>
      <c r="B51" s="586" t="s">
        <v>861</v>
      </c>
      <c r="C51" s="608">
        <f ca="1">ROUND(C49*F50,0)</f>
        <v>12823</v>
      </c>
      <c r="D51" s="608"/>
      <c r="E51" s="608"/>
      <c r="F51" s="640"/>
      <c r="G51" s="610" t="s">
        <v>351</v>
      </c>
    </row>
    <row r="52" spans="1:7" s="584" customFormat="1" ht="16.5" thickBot="1">
      <c r="A52" s="641" t="s">
        <v>352</v>
      </c>
      <c r="B52" s="642"/>
      <c r="C52" s="643">
        <f ca="1">C31+C51</f>
        <v>40739</v>
      </c>
      <c r="D52" s="642"/>
      <c r="E52" s="642"/>
      <c r="F52" s="642"/>
      <c r="G52" s="644"/>
    </row>
    <row r="55" spans="1:7" ht="15">
      <c r="B55" s="646" t="s">
        <v>353</v>
      </c>
      <c r="C55" s="647"/>
    </row>
    <row r="56" spans="1:7">
      <c r="B56" s="649" t="s">
        <v>354</v>
      </c>
      <c r="C56" s="650">
        <f ca="1">ROUND(C51/C52,3)</f>
        <v>0.315</v>
      </c>
    </row>
    <row r="57" spans="1:7">
      <c r="B57" s="649" t="s">
        <v>355</v>
      </c>
      <c r="C57" s="651">
        <f ca="1">1-C56</f>
        <v>0.68500000000000005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838" t="s">
        <v>1164</v>
      </c>
      <c r="B1" s="3838"/>
      <c r="C1" s="3838"/>
      <c r="D1" s="3838"/>
      <c r="E1" s="3838"/>
      <c r="F1" s="3838"/>
      <c r="H1" s="1517" t="s">
        <v>1165</v>
      </c>
      <c r="I1" s="1518" t="s">
        <v>1166</v>
      </c>
      <c r="J1" s="1518" t="s">
        <v>1167</v>
      </c>
      <c r="K1" s="1518" t="s">
        <v>1168</v>
      </c>
      <c r="L1" s="1518" t="s">
        <v>1169</v>
      </c>
      <c r="M1" s="1518" t="s">
        <v>1170</v>
      </c>
      <c r="N1" s="1518" t="s">
        <v>1171</v>
      </c>
      <c r="O1" s="1518" t="s">
        <v>1172</v>
      </c>
      <c r="P1" s="1518" t="s">
        <v>1173</v>
      </c>
      <c r="Q1" s="1518" t="s">
        <v>1174</v>
      </c>
      <c r="R1" s="1518" t="s">
        <v>1175</v>
      </c>
      <c r="S1" s="1519" t="s">
        <v>1176</v>
      </c>
    </row>
    <row r="2" spans="1:19" ht="14.25" thickBot="1">
      <c r="A2" s="3839" t="s">
        <v>1177</v>
      </c>
      <c r="B2" s="3839"/>
      <c r="C2" s="3839"/>
      <c r="D2" s="3839"/>
      <c r="E2" s="3839"/>
      <c r="F2" s="3839"/>
      <c r="H2" s="1520" t="s">
        <v>1178</v>
      </c>
      <c r="I2" s="1521" t="s">
        <v>1179</v>
      </c>
      <c r="J2" s="1521" t="s">
        <v>1180</v>
      </c>
      <c r="K2" s="1521" t="s">
        <v>1181</v>
      </c>
      <c r="L2" s="1521" t="s">
        <v>1182</v>
      </c>
      <c r="M2" s="1521" t="s">
        <v>1183</v>
      </c>
      <c r="N2" s="1521" t="s">
        <v>1184</v>
      </c>
      <c r="O2" s="1521" t="s">
        <v>1185</v>
      </c>
      <c r="P2" s="1521" t="s">
        <v>1186</v>
      </c>
      <c r="Q2" s="1521" t="s">
        <v>1187</v>
      </c>
      <c r="R2" s="1521" t="s">
        <v>1188</v>
      </c>
      <c r="S2" s="1521" t="s">
        <v>1189</v>
      </c>
    </row>
    <row r="3" spans="1:19" s="1516" customFormat="1" ht="19.5" customHeight="1">
      <c r="A3" s="3840" t="s">
        <v>1190</v>
      </c>
      <c r="B3" s="1522"/>
      <c r="C3" s="1523" t="s">
        <v>1191</v>
      </c>
      <c r="D3" s="1523" t="s">
        <v>1192</v>
      </c>
      <c r="E3" s="1523" t="s">
        <v>1839</v>
      </c>
      <c r="F3" s="1523" t="s">
        <v>1194</v>
      </c>
      <c r="G3" s="1524"/>
      <c r="H3" s="1520" t="s">
        <v>1195</v>
      </c>
      <c r="I3" s="1521" t="s">
        <v>1196</v>
      </c>
      <c r="J3" s="1521" t="s">
        <v>1197</v>
      </c>
      <c r="K3" s="1521" t="s">
        <v>1198</v>
      </c>
      <c r="L3" s="1521" t="s">
        <v>1199</v>
      </c>
      <c r="M3" s="1521" t="s">
        <v>1200</v>
      </c>
      <c r="N3" s="1521" t="s">
        <v>1201</v>
      </c>
      <c r="O3" s="1521" t="s">
        <v>1202</v>
      </c>
      <c r="P3" s="1521" t="s">
        <v>1203</v>
      </c>
      <c r="Q3" s="1521" t="s">
        <v>1204</v>
      </c>
      <c r="R3" s="1521" t="s">
        <v>1205</v>
      </c>
      <c r="S3" s="1521" t="s">
        <v>1206</v>
      </c>
    </row>
    <row r="4" spans="1:19" s="1516" customFormat="1" ht="19.5" customHeight="1" thickBot="1">
      <c r="A4" s="3841"/>
      <c r="B4" s="1525" t="s">
        <v>1207</v>
      </c>
      <c r="C4" s="1525" t="s">
        <v>1208</v>
      </c>
      <c r="D4" s="1525" t="s">
        <v>1208</v>
      </c>
      <c r="E4" s="1525" t="s">
        <v>1208</v>
      </c>
      <c r="F4" s="1526" t="s">
        <v>1208</v>
      </c>
      <c r="G4" s="1524"/>
      <c r="H4" s="1520" t="s">
        <v>1209</v>
      </c>
      <c r="I4" s="1521" t="s">
        <v>1132</v>
      </c>
      <c r="J4" s="1521" t="s">
        <v>1210</v>
      </c>
      <c r="K4" s="1521" t="s">
        <v>1211</v>
      </c>
      <c r="L4" s="1521" t="s">
        <v>1212</v>
      </c>
      <c r="M4" s="1521" t="s">
        <v>1213</v>
      </c>
      <c r="N4" s="1521" t="s">
        <v>1214</v>
      </c>
      <c r="O4" s="1521" t="s">
        <v>1215</v>
      </c>
      <c r="P4" s="1521" t="s">
        <v>1216</v>
      </c>
      <c r="Q4" s="1521" t="s">
        <v>1217</v>
      </c>
      <c r="R4" s="1521" t="s">
        <v>1218</v>
      </c>
      <c r="S4" s="1521" t="s">
        <v>1219</v>
      </c>
    </row>
    <row r="5" spans="1:19" ht="14.25" customHeight="1" thickBot="1">
      <c r="A5" s="1527" t="s">
        <v>1946</v>
      </c>
      <c r="B5" s="1528" t="s">
        <v>1947</v>
      </c>
      <c r="C5" s="1528">
        <v>29530</v>
      </c>
      <c r="D5" s="1528">
        <v>28130</v>
      </c>
      <c r="E5" s="1528">
        <v>27930</v>
      </c>
      <c r="F5" s="1529">
        <v>11300</v>
      </c>
      <c r="G5" s="1524"/>
      <c r="H5" s="1520" t="s">
        <v>1221</v>
      </c>
      <c r="I5" s="1521" t="s">
        <v>1222</v>
      </c>
      <c r="J5" s="1521" t="s">
        <v>1223</v>
      </c>
      <c r="K5" s="1521" t="s">
        <v>1224</v>
      </c>
      <c r="L5" s="1521" t="s">
        <v>1225</v>
      </c>
      <c r="M5" s="1521" t="s">
        <v>1226</v>
      </c>
      <c r="N5" s="1521" t="s">
        <v>1227</v>
      </c>
      <c r="O5" s="1521" t="s">
        <v>1228</v>
      </c>
      <c r="P5" s="1521" t="s">
        <v>1229</v>
      </c>
      <c r="Q5" s="1521" t="s">
        <v>1230</v>
      </c>
      <c r="R5" s="1521" t="s">
        <v>1231</v>
      </c>
      <c r="S5" s="1521" t="s">
        <v>1232</v>
      </c>
    </row>
    <row r="6" spans="1:19" ht="14.25" customHeight="1" thickBot="1">
      <c r="A6" s="1527" t="s">
        <v>1220</v>
      </c>
      <c r="B6" s="1521" t="s">
        <v>1195</v>
      </c>
      <c r="C6" s="1521">
        <v>30290</v>
      </c>
      <c r="D6" s="1521">
        <v>29210</v>
      </c>
      <c r="E6" s="1521">
        <v>28860</v>
      </c>
      <c r="F6" s="1530">
        <v>12600</v>
      </c>
      <c r="G6" s="1524"/>
      <c r="H6" s="1520" t="s">
        <v>1233</v>
      </c>
      <c r="I6" s="1521" t="s">
        <v>1234</v>
      </c>
      <c r="J6" s="1521" t="s">
        <v>1235</v>
      </c>
      <c r="K6" s="1521" t="s">
        <v>1236</v>
      </c>
      <c r="L6" s="1521" t="s">
        <v>1237</v>
      </c>
      <c r="M6" s="1521" t="s">
        <v>1238</v>
      </c>
      <c r="N6" s="1521" t="s">
        <v>1239</v>
      </c>
      <c r="O6" s="1521" t="s">
        <v>1240</v>
      </c>
      <c r="P6" s="1521" t="s">
        <v>1241</v>
      </c>
      <c r="Q6" s="1521" t="s">
        <v>1242</v>
      </c>
      <c r="R6" s="1521" t="s">
        <v>1243</v>
      </c>
      <c r="S6" s="1521" t="s">
        <v>1244</v>
      </c>
    </row>
    <row r="7" spans="1:19" ht="14.25" customHeight="1" thickBot="1">
      <c r="A7" s="1527" t="s">
        <v>1220</v>
      </c>
      <c r="B7" s="1531" t="s">
        <v>1209</v>
      </c>
      <c r="C7" s="1521">
        <v>29350</v>
      </c>
      <c r="D7" s="1521">
        <v>28410</v>
      </c>
      <c r="E7" s="1521">
        <v>27990</v>
      </c>
      <c r="F7" s="1530">
        <v>12300</v>
      </c>
      <c r="G7" s="1524"/>
      <c r="I7" s="1521" t="s">
        <v>1245</v>
      </c>
      <c r="J7" s="1521" t="s">
        <v>1246</v>
      </c>
      <c r="K7" s="1521" t="s">
        <v>1247</v>
      </c>
      <c r="L7" s="1521" t="s">
        <v>1248</v>
      </c>
      <c r="M7" s="1521" t="s">
        <v>1249</v>
      </c>
      <c r="N7" s="1521" t="s">
        <v>1250</v>
      </c>
      <c r="O7" s="1521" t="s">
        <v>1251</v>
      </c>
      <c r="P7" s="1521" t="s">
        <v>1252</v>
      </c>
      <c r="Q7" s="1521" t="s">
        <v>1253</v>
      </c>
      <c r="R7" s="1521" t="s">
        <v>1254</v>
      </c>
      <c r="S7" s="1531" t="s">
        <v>1255</v>
      </c>
    </row>
    <row r="8" spans="1:19" ht="14.25" customHeight="1" thickBot="1">
      <c r="A8" s="1527" t="s">
        <v>1220</v>
      </c>
      <c r="B8" s="1521" t="s">
        <v>1221</v>
      </c>
      <c r="C8" s="1521">
        <v>30890</v>
      </c>
      <c r="D8" s="1521">
        <v>29780</v>
      </c>
      <c r="E8" s="1521">
        <v>29270</v>
      </c>
      <c r="F8" s="1530">
        <v>11600</v>
      </c>
      <c r="G8" s="1524"/>
      <c r="I8" s="1521" t="s">
        <v>1256</v>
      </c>
      <c r="J8" s="1521" t="s">
        <v>1257</v>
      </c>
      <c r="K8" s="1521" t="s">
        <v>1258</v>
      </c>
      <c r="L8" s="1521" t="s">
        <v>1259</v>
      </c>
      <c r="M8" s="1521" t="s">
        <v>1260</v>
      </c>
      <c r="N8" s="1521" t="s">
        <v>1261</v>
      </c>
      <c r="O8" s="1521" t="s">
        <v>1262</v>
      </c>
      <c r="P8" s="1521" t="s">
        <v>1263</v>
      </c>
      <c r="Q8" s="1521" t="s">
        <v>1264</v>
      </c>
      <c r="R8" s="1521" t="s">
        <v>1265</v>
      </c>
      <c r="S8" s="1521" t="s">
        <v>1266</v>
      </c>
    </row>
    <row r="9" spans="1:19" ht="14.25" customHeight="1" thickBot="1">
      <c r="A9" s="1527" t="s">
        <v>1220</v>
      </c>
      <c r="B9" s="1532" t="s">
        <v>1233</v>
      </c>
      <c r="C9" s="1533">
        <v>28140</v>
      </c>
      <c r="D9" s="1533"/>
      <c r="E9" s="1533"/>
      <c r="F9" s="1534"/>
      <c r="G9" s="1524"/>
      <c r="I9" s="1521" t="s">
        <v>1267</v>
      </c>
      <c r="J9" s="1521" t="s">
        <v>1268</v>
      </c>
      <c r="K9" s="1521" t="s">
        <v>1269</v>
      </c>
      <c r="L9" s="1521" t="s">
        <v>1270</v>
      </c>
      <c r="M9" s="1521" t="s">
        <v>1271</v>
      </c>
      <c r="N9" s="1521" t="s">
        <v>1272</v>
      </c>
      <c r="O9" s="1521" t="s">
        <v>1273</v>
      </c>
      <c r="P9" s="1521" t="s">
        <v>1274</v>
      </c>
      <c r="Q9" s="1521" t="s">
        <v>1275</v>
      </c>
      <c r="R9" s="1521" t="s">
        <v>1276</v>
      </c>
    </row>
    <row r="10" spans="1:19" ht="14.25" customHeight="1" thickBot="1">
      <c r="A10" s="1527" t="s">
        <v>1277</v>
      </c>
      <c r="B10" s="1528" t="s">
        <v>1278</v>
      </c>
      <c r="C10" s="1528">
        <v>27450</v>
      </c>
      <c r="D10" s="1528">
        <v>26180</v>
      </c>
      <c r="E10" s="1528">
        <v>25980</v>
      </c>
      <c r="F10" s="1529">
        <v>8910</v>
      </c>
      <c r="G10" s="1524"/>
      <c r="I10" s="1521" t="s">
        <v>1279</v>
      </c>
      <c r="J10" s="1521" t="s">
        <v>1280</v>
      </c>
      <c r="K10" s="1521" t="s">
        <v>1281</v>
      </c>
      <c r="L10" s="1521" t="s">
        <v>1282</v>
      </c>
      <c r="M10" s="1521" t="s">
        <v>1283</v>
      </c>
      <c r="N10" s="1521" t="s">
        <v>1284</v>
      </c>
      <c r="O10" s="1521" t="s">
        <v>1285</v>
      </c>
      <c r="P10" s="1521" t="s">
        <v>1286</v>
      </c>
      <c r="Q10" s="1521" t="s">
        <v>1287</v>
      </c>
      <c r="R10" s="1521" t="s">
        <v>1288</v>
      </c>
    </row>
    <row r="11" spans="1:19" ht="14.25" customHeight="1" thickBot="1">
      <c r="A11" s="1527" t="s">
        <v>1277</v>
      </c>
      <c r="B11" s="1531" t="s">
        <v>1196</v>
      </c>
      <c r="C11" s="1521">
        <v>22950</v>
      </c>
      <c r="D11" s="1521">
        <v>22630</v>
      </c>
      <c r="E11" s="1521">
        <v>22030</v>
      </c>
      <c r="F11" s="1535">
        <v>8330</v>
      </c>
      <c r="G11" s="1524"/>
      <c r="I11" s="1521" t="s">
        <v>1289</v>
      </c>
      <c r="J11" s="1521" t="s">
        <v>1290</v>
      </c>
      <c r="K11" s="1521" t="s">
        <v>1291</v>
      </c>
      <c r="L11" s="1521" t="s">
        <v>1292</v>
      </c>
      <c r="M11" s="1521" t="s">
        <v>1293</v>
      </c>
      <c r="N11" s="1521" t="s">
        <v>1294</v>
      </c>
      <c r="O11" s="1521" t="s">
        <v>1295</v>
      </c>
      <c r="P11" s="1521" t="s">
        <v>1296</v>
      </c>
      <c r="Q11" s="1521" t="s">
        <v>1297</v>
      </c>
      <c r="R11" s="1521" t="s">
        <v>1298</v>
      </c>
    </row>
    <row r="12" spans="1:19" ht="14.25" customHeight="1" thickBot="1">
      <c r="A12" s="1527" t="s">
        <v>1277</v>
      </c>
      <c r="B12" s="1531" t="s">
        <v>1132</v>
      </c>
      <c r="C12" s="1521">
        <v>24940</v>
      </c>
      <c r="D12" s="1521">
        <v>23180</v>
      </c>
      <c r="E12" s="1521">
        <v>22910</v>
      </c>
      <c r="F12" s="1535">
        <v>7180</v>
      </c>
      <c r="G12" s="1524"/>
      <c r="I12" s="1521" t="s">
        <v>1299</v>
      </c>
      <c r="J12" s="1521" t="s">
        <v>1300</v>
      </c>
      <c r="K12" s="1521" t="s">
        <v>1301</v>
      </c>
      <c r="L12" s="1521" t="s">
        <v>1302</v>
      </c>
      <c r="M12" s="1521" t="s">
        <v>1303</v>
      </c>
      <c r="N12" s="1521" t="s">
        <v>1304</v>
      </c>
      <c r="O12" s="1521" t="s">
        <v>1305</v>
      </c>
      <c r="P12" s="1521" t="s">
        <v>1306</v>
      </c>
      <c r="Q12" s="1521" t="s">
        <v>1307</v>
      </c>
      <c r="R12" s="1521" t="s">
        <v>1308</v>
      </c>
    </row>
    <row r="13" spans="1:19" ht="14.25" customHeight="1" thickBot="1">
      <c r="A13" s="1527" t="s">
        <v>1277</v>
      </c>
      <c r="B13" s="1531" t="s">
        <v>1222</v>
      </c>
      <c r="C13" s="1521">
        <v>24140</v>
      </c>
      <c r="D13" s="1521">
        <v>22270</v>
      </c>
      <c r="E13" s="1521">
        <v>21950</v>
      </c>
      <c r="F13" s="1535">
        <v>7600</v>
      </c>
      <c r="G13" s="1524"/>
      <c r="I13" s="1521" t="s">
        <v>1309</v>
      </c>
      <c r="J13" s="1521" t="s">
        <v>1310</v>
      </c>
      <c r="K13" s="1521" t="s">
        <v>1311</v>
      </c>
      <c r="L13" s="1521" t="s">
        <v>1312</v>
      </c>
      <c r="M13" s="1521" t="s">
        <v>1313</v>
      </c>
      <c r="N13" s="1521" t="s">
        <v>1314</v>
      </c>
      <c r="O13" s="1521" t="s">
        <v>1315</v>
      </c>
      <c r="P13" s="1521" t="s">
        <v>1316</v>
      </c>
      <c r="Q13" s="1521" t="s">
        <v>1317</v>
      </c>
      <c r="R13" s="1521" t="s">
        <v>1318</v>
      </c>
    </row>
    <row r="14" spans="1:19" ht="14.25" customHeight="1" thickBot="1">
      <c r="A14" s="1527" t="s">
        <v>1277</v>
      </c>
      <c r="B14" s="1531" t="s">
        <v>1234</v>
      </c>
      <c r="C14" s="1521">
        <v>25600</v>
      </c>
      <c r="D14" s="1521">
        <v>22260</v>
      </c>
      <c r="E14" s="1521">
        <v>22110</v>
      </c>
      <c r="F14" s="1535">
        <v>7630</v>
      </c>
      <c r="G14" s="1524"/>
      <c r="I14" s="1521" t="s">
        <v>1319</v>
      </c>
      <c r="J14" s="1521" t="s">
        <v>1320</v>
      </c>
      <c r="K14" s="1521" t="s">
        <v>1321</v>
      </c>
      <c r="L14" s="1521" t="s">
        <v>1322</v>
      </c>
      <c r="M14" s="1521" t="s">
        <v>1323</v>
      </c>
      <c r="N14" s="1521" t="s">
        <v>1324</v>
      </c>
      <c r="O14" s="1521" t="s">
        <v>1325</v>
      </c>
      <c r="P14" s="1521" t="s">
        <v>1326</v>
      </c>
      <c r="Q14" s="1521" t="s">
        <v>1327</v>
      </c>
      <c r="R14" s="1521" t="s">
        <v>1328</v>
      </c>
    </row>
    <row r="15" spans="1:19" ht="14.25" customHeight="1" thickBot="1">
      <c r="A15" s="1527" t="s">
        <v>1277</v>
      </c>
      <c r="B15" s="1531" t="s">
        <v>1245</v>
      </c>
      <c r="C15" s="1521">
        <v>24760</v>
      </c>
      <c r="D15" s="1521">
        <v>24440</v>
      </c>
      <c r="E15" s="1521">
        <v>24130</v>
      </c>
      <c r="F15" s="1535">
        <v>9480</v>
      </c>
      <c r="G15" s="1524"/>
      <c r="I15" s="1521" t="s">
        <v>1330</v>
      </c>
      <c r="J15" s="1521" t="s">
        <v>1331</v>
      </c>
      <c r="K15" s="1521" t="s">
        <v>1332</v>
      </c>
      <c r="L15" s="1521" t="s">
        <v>1333</v>
      </c>
      <c r="M15" s="1521" t="s">
        <v>1334</v>
      </c>
      <c r="N15" s="1521" t="s">
        <v>1335</v>
      </c>
      <c r="O15" s="1521" t="s">
        <v>1336</v>
      </c>
      <c r="P15" s="1521" t="s">
        <v>1337</v>
      </c>
      <c r="Q15" s="1521" t="s">
        <v>1338</v>
      </c>
      <c r="R15" s="1521" t="s">
        <v>1339</v>
      </c>
    </row>
    <row r="16" spans="1:19" ht="14.25" customHeight="1" thickBot="1">
      <c r="A16" s="1527" t="s">
        <v>1277</v>
      </c>
      <c r="B16" s="1531" t="s">
        <v>1256</v>
      </c>
      <c r="C16" s="1521">
        <v>22220</v>
      </c>
      <c r="D16" s="1521">
        <v>22310</v>
      </c>
      <c r="E16" s="1521">
        <v>22000</v>
      </c>
      <c r="F16" s="1535">
        <v>8900</v>
      </c>
      <c r="G16" s="1524"/>
      <c r="I16" s="1521" t="s">
        <v>1341</v>
      </c>
      <c r="J16" s="1521" t="s">
        <v>1342</v>
      </c>
      <c r="K16" s="1521" t="s">
        <v>1343</v>
      </c>
      <c r="L16" s="1521" t="s">
        <v>1344</v>
      </c>
      <c r="M16" s="1521" t="s">
        <v>1345</v>
      </c>
      <c r="N16" s="1521" t="s">
        <v>1346</v>
      </c>
      <c r="O16" s="1521" t="s">
        <v>1347</v>
      </c>
      <c r="P16" s="1521" t="s">
        <v>1348</v>
      </c>
      <c r="Q16" s="1521" t="s">
        <v>1349</v>
      </c>
      <c r="R16" s="1521" t="s">
        <v>1350</v>
      </c>
    </row>
    <row r="17" spans="1:18" ht="14.25" customHeight="1" thickBot="1">
      <c r="A17" s="1527" t="s">
        <v>1277</v>
      </c>
      <c r="B17" s="1531" t="s">
        <v>1267</v>
      </c>
      <c r="C17" s="1521">
        <v>24700</v>
      </c>
      <c r="D17" s="1521">
        <v>25150</v>
      </c>
      <c r="E17" s="1521">
        <v>24700</v>
      </c>
      <c r="F17" s="1536"/>
      <c r="G17" s="1524"/>
      <c r="I17" s="1521" t="s">
        <v>1351</v>
      </c>
      <c r="J17" s="1521" t="s">
        <v>1352</v>
      </c>
      <c r="K17" s="1521" t="s">
        <v>1353</v>
      </c>
      <c r="L17" s="1521" t="s">
        <v>1354</v>
      </c>
      <c r="M17" s="1521" t="s">
        <v>1355</v>
      </c>
      <c r="N17" s="1521" t="s">
        <v>1356</v>
      </c>
      <c r="O17" s="1521" t="s">
        <v>1357</v>
      </c>
      <c r="P17" s="1521" t="s">
        <v>1358</v>
      </c>
      <c r="Q17" s="1521" t="s">
        <v>1359</v>
      </c>
      <c r="R17" s="1521" t="s">
        <v>1360</v>
      </c>
    </row>
    <row r="18" spans="1:18" ht="14.25" customHeight="1" thickBot="1">
      <c r="A18" s="1527" t="s">
        <v>1277</v>
      </c>
      <c r="B18" s="1531" t="s">
        <v>1279</v>
      </c>
      <c r="C18" s="1521">
        <v>22350</v>
      </c>
      <c r="D18" s="1521">
        <v>24340</v>
      </c>
      <c r="E18" s="1521">
        <v>24100</v>
      </c>
      <c r="F18" s="1536"/>
      <c r="G18" s="1524"/>
      <c r="I18" s="1521" t="s">
        <v>1361</v>
      </c>
      <c r="J18" s="1521" t="s">
        <v>1362</v>
      </c>
      <c r="K18" s="1521" t="s">
        <v>1363</v>
      </c>
      <c r="L18" s="1521" t="s">
        <v>1364</v>
      </c>
      <c r="M18" s="1521" t="s">
        <v>1365</v>
      </c>
      <c r="N18" s="1521" t="s">
        <v>1366</v>
      </c>
      <c r="O18" s="1521" t="s">
        <v>1367</v>
      </c>
      <c r="P18" s="1521" t="s">
        <v>1368</v>
      </c>
      <c r="Q18" s="1521" t="s">
        <v>1369</v>
      </c>
      <c r="R18" s="1521" t="s">
        <v>1370</v>
      </c>
    </row>
    <row r="19" spans="1:18" ht="14.25" customHeight="1" thickBot="1">
      <c r="A19" s="1527" t="s">
        <v>1277</v>
      </c>
      <c r="B19" s="1531" t="s">
        <v>1289</v>
      </c>
      <c r="C19" s="1521">
        <v>23430</v>
      </c>
      <c r="D19" s="1521">
        <v>21580</v>
      </c>
      <c r="E19" s="1521">
        <v>21350</v>
      </c>
      <c r="F19" s="1536"/>
      <c r="G19" s="1524"/>
      <c r="I19" s="1521" t="s">
        <v>1371</v>
      </c>
      <c r="J19" s="1521" t="s">
        <v>1372</v>
      </c>
      <c r="K19" s="1521" t="s">
        <v>1373</v>
      </c>
      <c r="L19" s="1521" t="s">
        <v>1374</v>
      </c>
      <c r="M19" s="1521" t="s">
        <v>1375</v>
      </c>
      <c r="N19" s="1521" t="s">
        <v>1376</v>
      </c>
      <c r="O19" s="1521" t="s">
        <v>1377</v>
      </c>
      <c r="P19" s="1521" t="s">
        <v>1378</v>
      </c>
      <c r="Q19" s="1521" t="s">
        <v>1379</v>
      </c>
      <c r="R19" s="1521" t="s">
        <v>1380</v>
      </c>
    </row>
    <row r="20" spans="1:18" ht="14.25" customHeight="1" thickBot="1">
      <c r="A20" s="1527" t="s">
        <v>1277</v>
      </c>
      <c r="B20" s="1531" t="s">
        <v>1299</v>
      </c>
      <c r="C20" s="1521">
        <v>27660</v>
      </c>
      <c r="D20" s="1521">
        <v>24240</v>
      </c>
      <c r="E20" s="1521">
        <v>24020</v>
      </c>
      <c r="F20" s="1536"/>
      <c r="I20" s="1521" t="s">
        <v>1381</v>
      </c>
      <c r="J20" s="1521" t="s">
        <v>1382</v>
      </c>
      <c r="K20" s="1521" t="s">
        <v>1383</v>
      </c>
      <c r="L20" s="1521" t="s">
        <v>1384</v>
      </c>
      <c r="M20" s="1521" t="s">
        <v>1385</v>
      </c>
      <c r="N20" s="1521" t="s">
        <v>1386</v>
      </c>
      <c r="O20" s="1521" t="s">
        <v>1387</v>
      </c>
      <c r="P20" s="1521" t="s">
        <v>1388</v>
      </c>
      <c r="Q20" s="1521" t="s">
        <v>1389</v>
      </c>
      <c r="R20" s="1521" t="s">
        <v>1390</v>
      </c>
    </row>
    <row r="21" spans="1:18" ht="14.25" customHeight="1" thickBot="1">
      <c r="A21" s="1527" t="s">
        <v>1277</v>
      </c>
      <c r="B21" s="1531" t="s">
        <v>1309</v>
      </c>
      <c r="C21" s="1521">
        <v>24720</v>
      </c>
      <c r="D21" s="1521">
        <v>21670</v>
      </c>
      <c r="E21" s="1521">
        <v>21510</v>
      </c>
      <c r="F21" s="1536"/>
      <c r="J21" s="1521" t="s">
        <v>1391</v>
      </c>
      <c r="K21" s="1521" t="s">
        <v>1392</v>
      </c>
      <c r="L21" s="1521" t="s">
        <v>1393</v>
      </c>
      <c r="M21" s="1521" t="s">
        <v>1394</v>
      </c>
      <c r="N21" s="1521" t="s">
        <v>1395</v>
      </c>
      <c r="O21" s="1521" t="s">
        <v>1396</v>
      </c>
      <c r="P21" s="1521" t="s">
        <v>1397</v>
      </c>
      <c r="Q21" s="1521" t="s">
        <v>1398</v>
      </c>
      <c r="R21" s="1521" t="s">
        <v>1399</v>
      </c>
    </row>
    <row r="22" spans="1:18" ht="14.25" customHeight="1" thickBot="1">
      <c r="A22" s="1527" t="s">
        <v>1277</v>
      </c>
      <c r="B22" s="1531" t="s">
        <v>1400</v>
      </c>
      <c r="C22" s="1521">
        <v>26530</v>
      </c>
      <c r="D22" s="1521">
        <v>22980</v>
      </c>
      <c r="E22" s="1521">
        <v>22650</v>
      </c>
      <c r="F22" s="1536"/>
      <c r="K22" s="1521" t="s">
        <v>1401</v>
      </c>
      <c r="L22" s="1521" t="s">
        <v>1402</v>
      </c>
      <c r="M22" s="1521" t="s">
        <v>1403</v>
      </c>
      <c r="N22" s="1521" t="s">
        <v>1404</v>
      </c>
      <c r="O22" s="1521" t="s">
        <v>1405</v>
      </c>
      <c r="P22" s="1521" t="s">
        <v>1406</v>
      </c>
      <c r="Q22" s="1521" t="s">
        <v>1407</v>
      </c>
      <c r="R22" s="1531" t="s">
        <v>1408</v>
      </c>
    </row>
    <row r="23" spans="1:18" ht="14.25" customHeight="1" thickBot="1">
      <c r="A23" s="1527" t="s">
        <v>1277</v>
      </c>
      <c r="B23" s="1531" t="s">
        <v>1330</v>
      </c>
      <c r="C23" s="1521">
        <v>24700</v>
      </c>
      <c r="D23" s="1521">
        <v>27290</v>
      </c>
      <c r="E23" s="1521">
        <v>26710</v>
      </c>
      <c r="F23" s="1536"/>
      <c r="K23" s="1521" t="s">
        <v>1409</v>
      </c>
      <c r="L23" s="1521" t="s">
        <v>1410</v>
      </c>
      <c r="M23" s="1521" t="s">
        <v>1411</v>
      </c>
      <c r="N23" s="1521" t="s">
        <v>1412</v>
      </c>
      <c r="O23" s="1521" t="s">
        <v>1413</v>
      </c>
      <c r="P23" s="1521" t="s">
        <v>1414</v>
      </c>
      <c r="Q23" s="1521" t="s">
        <v>1415</v>
      </c>
    </row>
    <row r="24" spans="1:18" ht="14.25" customHeight="1" thickBot="1">
      <c r="A24" s="1527" t="s">
        <v>1277</v>
      </c>
      <c r="B24" s="1531" t="s">
        <v>1341</v>
      </c>
      <c r="C24" s="1521">
        <v>23070</v>
      </c>
      <c r="D24" s="1521">
        <v>24130</v>
      </c>
      <c r="E24" s="1521">
        <v>23860</v>
      </c>
      <c r="F24" s="1536"/>
      <c r="K24" s="1521" t="s">
        <v>1416</v>
      </c>
      <c r="L24" s="1521" t="s">
        <v>1417</v>
      </c>
      <c r="M24" s="1521" t="s">
        <v>1418</v>
      </c>
      <c r="N24" s="1521" t="s">
        <v>1419</v>
      </c>
      <c r="O24" s="1521" t="s">
        <v>1420</v>
      </c>
      <c r="P24" s="1521" t="s">
        <v>1421</v>
      </c>
      <c r="Q24" s="1521" t="s">
        <v>1422</v>
      </c>
    </row>
    <row r="25" spans="1:18" ht="14.25" customHeight="1" thickBot="1">
      <c r="A25" s="1527" t="s">
        <v>1277</v>
      </c>
      <c r="B25" s="1531" t="s">
        <v>1351</v>
      </c>
      <c r="C25" s="1521">
        <v>27550</v>
      </c>
      <c r="D25" s="1521">
        <v>25850</v>
      </c>
      <c r="E25" s="1521">
        <v>25340</v>
      </c>
      <c r="F25" s="1536"/>
      <c r="K25" s="1521" t="s">
        <v>1423</v>
      </c>
      <c r="L25" s="1521" t="s">
        <v>1424</v>
      </c>
      <c r="M25" s="1521" t="s">
        <v>1425</v>
      </c>
      <c r="N25" s="1521" t="s">
        <v>1426</v>
      </c>
      <c r="O25" s="1521" t="s">
        <v>1427</v>
      </c>
      <c r="P25" s="1521" t="s">
        <v>1428</v>
      </c>
      <c r="Q25" s="1521" t="s">
        <v>1429</v>
      </c>
    </row>
    <row r="26" spans="1:18" ht="14.25" customHeight="1" thickBot="1">
      <c r="A26" s="1527" t="s">
        <v>1277</v>
      </c>
      <c r="B26" s="1531" t="s">
        <v>1361</v>
      </c>
      <c r="C26" s="1521"/>
      <c r="D26" s="1521">
        <v>23900</v>
      </c>
      <c r="E26" s="1521">
        <v>23590</v>
      </c>
      <c r="F26" s="1536"/>
      <c r="K26" s="1521" t="s">
        <v>1430</v>
      </c>
      <c r="L26" s="1521" t="s">
        <v>1431</v>
      </c>
      <c r="M26" s="1521" t="s">
        <v>1432</v>
      </c>
      <c r="N26" s="1521" t="s">
        <v>1433</v>
      </c>
      <c r="O26" s="1521" t="s">
        <v>1434</v>
      </c>
      <c r="P26" s="1521" t="s">
        <v>1435</v>
      </c>
      <c r="Q26" s="1521" t="s">
        <v>1436</v>
      </c>
    </row>
    <row r="27" spans="1:18" ht="14.25" customHeight="1" thickBot="1">
      <c r="A27" s="1527" t="s">
        <v>1277</v>
      </c>
      <c r="B27" s="1531" t="s">
        <v>1371</v>
      </c>
      <c r="C27" s="1521"/>
      <c r="D27" s="1521">
        <v>22850</v>
      </c>
      <c r="E27" s="1521">
        <v>21920</v>
      </c>
      <c r="F27" s="1536"/>
      <c r="K27" s="1521" t="s">
        <v>1437</v>
      </c>
      <c r="L27" s="1521" t="s">
        <v>1438</v>
      </c>
      <c r="M27" s="1521" t="s">
        <v>1439</v>
      </c>
      <c r="N27" s="1521" t="s">
        <v>1440</v>
      </c>
      <c r="O27" s="1521" t="s">
        <v>1441</v>
      </c>
      <c r="P27" s="1521" t="s">
        <v>1442</v>
      </c>
      <c r="Q27" s="1521" t="s">
        <v>1443</v>
      </c>
    </row>
    <row r="28" spans="1:18" ht="14.25" customHeight="1" thickBot="1">
      <c r="A28" s="1537" t="s">
        <v>1277</v>
      </c>
      <c r="B28" s="1532" t="s">
        <v>1381</v>
      </c>
      <c r="C28" s="1533"/>
      <c r="D28" s="1533">
        <v>26610</v>
      </c>
      <c r="E28" s="1533">
        <v>26370</v>
      </c>
      <c r="F28" s="1534"/>
      <c r="K28" s="1521" t="s">
        <v>1444</v>
      </c>
      <c r="L28" s="1521" t="s">
        <v>1445</v>
      </c>
      <c r="M28" s="1521" t="s">
        <v>1446</v>
      </c>
      <c r="N28" s="1521" t="s">
        <v>1447</v>
      </c>
      <c r="O28" s="1521" t="s">
        <v>1448</v>
      </c>
      <c r="P28" s="1521" t="s">
        <v>1449</v>
      </c>
    </row>
    <row r="29" spans="1:18" ht="14.25" customHeight="1" thickBot="1">
      <c r="A29" s="1527" t="s">
        <v>1450</v>
      </c>
      <c r="B29" s="1528" t="s">
        <v>1451</v>
      </c>
      <c r="C29" s="1528">
        <v>22090</v>
      </c>
      <c r="D29" s="1528">
        <v>21860</v>
      </c>
      <c r="E29" s="1528">
        <v>19380</v>
      </c>
      <c r="F29" s="1529">
        <v>6610</v>
      </c>
      <c r="L29" s="1521" t="s">
        <v>1452</v>
      </c>
      <c r="M29" s="1521" t="s">
        <v>1453</v>
      </c>
      <c r="N29" s="1521" t="s">
        <v>1454</v>
      </c>
      <c r="O29" s="1521" t="s">
        <v>1455</v>
      </c>
      <c r="P29" s="1521" t="s">
        <v>1456</v>
      </c>
    </row>
    <row r="30" spans="1:18" ht="14.25" customHeight="1" thickBot="1">
      <c r="A30" s="1527" t="s">
        <v>1450</v>
      </c>
      <c r="B30" s="1531" t="s">
        <v>1197</v>
      </c>
      <c r="C30" s="1521">
        <v>21380</v>
      </c>
      <c r="D30" s="1521">
        <v>19930</v>
      </c>
      <c r="E30" s="1521">
        <v>19860</v>
      </c>
      <c r="F30" s="1535">
        <v>6010</v>
      </c>
      <c r="L30" s="1521" t="s">
        <v>1457</v>
      </c>
      <c r="M30" s="1521" t="s">
        <v>1458</v>
      </c>
      <c r="N30" s="1521" t="s">
        <v>1459</v>
      </c>
      <c r="O30" s="1521" t="s">
        <v>2494</v>
      </c>
      <c r="P30" s="1521" t="s">
        <v>1460</v>
      </c>
    </row>
    <row r="31" spans="1:18" ht="14.25" customHeight="1" thickBot="1">
      <c r="A31" s="1527" t="s">
        <v>1450</v>
      </c>
      <c r="B31" s="1531" t="s">
        <v>1210</v>
      </c>
      <c r="C31" s="1521">
        <v>21670</v>
      </c>
      <c r="D31" s="1521">
        <v>20660</v>
      </c>
      <c r="E31" s="1521">
        <v>20290</v>
      </c>
      <c r="F31" s="1535">
        <v>5840</v>
      </c>
      <c r="L31" s="1521" t="s">
        <v>1461</v>
      </c>
      <c r="M31" s="1521" t="s">
        <v>1462</v>
      </c>
      <c r="N31" s="1521" t="s">
        <v>1463</v>
      </c>
      <c r="O31" s="1521" t="s">
        <v>1464</v>
      </c>
      <c r="P31" s="1521" t="s">
        <v>1465</v>
      </c>
    </row>
    <row r="32" spans="1:18" ht="14.25" customHeight="1" thickBot="1">
      <c r="A32" s="1527" t="s">
        <v>1450</v>
      </c>
      <c r="B32" s="1531" t="s">
        <v>1223</v>
      </c>
      <c r="C32" s="1521">
        <v>22280</v>
      </c>
      <c r="D32" s="1521">
        <v>21800</v>
      </c>
      <c r="E32" s="1521">
        <v>17650</v>
      </c>
      <c r="F32" s="1535">
        <v>4690</v>
      </c>
      <c r="L32" s="1521" t="s">
        <v>1466</v>
      </c>
      <c r="M32" s="1521" t="s">
        <v>1467</v>
      </c>
      <c r="N32" s="1521" t="s">
        <v>1468</v>
      </c>
      <c r="O32" s="1521" t="s">
        <v>1469</v>
      </c>
      <c r="P32" s="1521" t="s">
        <v>1470</v>
      </c>
    </row>
    <row r="33" spans="1:16" ht="14.25" customHeight="1" thickBot="1">
      <c r="A33" s="1527" t="s">
        <v>1450</v>
      </c>
      <c r="B33" s="1531" t="s">
        <v>1235</v>
      </c>
      <c r="C33" s="1521">
        <v>22130</v>
      </c>
      <c r="D33" s="1521">
        <v>20460</v>
      </c>
      <c r="E33" s="1521">
        <v>18500</v>
      </c>
      <c r="F33" s="1535">
        <v>5340</v>
      </c>
      <c r="L33" s="1521" t="s">
        <v>1471</v>
      </c>
      <c r="M33" s="1521" t="s">
        <v>1472</v>
      </c>
      <c r="N33" s="1521" t="s">
        <v>1473</v>
      </c>
      <c r="O33" s="1521" t="s">
        <v>1474</v>
      </c>
      <c r="P33" s="1521" t="s">
        <v>1475</v>
      </c>
    </row>
    <row r="34" spans="1:16" ht="14.25" customHeight="1" thickBot="1">
      <c r="A34" s="1527" t="s">
        <v>1450</v>
      </c>
      <c r="B34" s="1531" t="s">
        <v>1246</v>
      </c>
      <c r="C34" s="1521">
        <v>22070</v>
      </c>
      <c r="D34" s="1521">
        <v>20110</v>
      </c>
      <c r="E34" s="1521">
        <v>18830</v>
      </c>
      <c r="F34" s="1535">
        <v>5190</v>
      </c>
      <c r="L34" s="1521" t="s">
        <v>1476</v>
      </c>
      <c r="M34" s="1521" t="s">
        <v>1477</v>
      </c>
      <c r="N34" s="1521" t="s">
        <v>1478</v>
      </c>
      <c r="O34" s="1521" t="s">
        <v>1479</v>
      </c>
      <c r="P34" s="1521" t="s">
        <v>1480</v>
      </c>
    </row>
    <row r="35" spans="1:16" ht="14.25" customHeight="1" thickBot="1">
      <c r="A35" s="1527" t="s">
        <v>1450</v>
      </c>
      <c r="B35" s="1531" t="s">
        <v>1257</v>
      </c>
      <c r="C35" s="1521">
        <v>22240</v>
      </c>
      <c r="D35" s="1521">
        <v>19550</v>
      </c>
      <c r="E35" s="1521">
        <v>19220</v>
      </c>
      <c r="F35" s="1535">
        <v>5800</v>
      </c>
      <c r="L35" s="1521" t="s">
        <v>1481</v>
      </c>
      <c r="M35" s="1521" t="s">
        <v>1482</v>
      </c>
      <c r="N35" s="1521" t="s">
        <v>1483</v>
      </c>
      <c r="O35" s="1521" t="s">
        <v>1484</v>
      </c>
      <c r="P35" s="1521" t="s">
        <v>1485</v>
      </c>
    </row>
    <row r="36" spans="1:16" ht="14.25" customHeight="1" thickBot="1">
      <c r="A36" s="1527" t="s">
        <v>1450</v>
      </c>
      <c r="B36" s="1531" t="s">
        <v>1268</v>
      </c>
      <c r="C36" s="1521">
        <v>19750</v>
      </c>
      <c r="D36" s="1521">
        <v>19790</v>
      </c>
      <c r="E36" s="1521">
        <v>18510</v>
      </c>
      <c r="F36" s="1535">
        <v>6520</v>
      </c>
      <c r="M36" s="1521" t="s">
        <v>1486</v>
      </c>
      <c r="N36" s="1521" t="s">
        <v>1487</v>
      </c>
      <c r="O36" s="1521" t="s">
        <v>1488</v>
      </c>
      <c r="P36" s="1521" t="s">
        <v>1489</v>
      </c>
    </row>
    <row r="37" spans="1:16" ht="14.25" customHeight="1" thickBot="1">
      <c r="A37" s="1527" t="s">
        <v>1450</v>
      </c>
      <c r="B37" s="1531" t="s">
        <v>1280</v>
      </c>
      <c r="C37" s="1521">
        <v>22380</v>
      </c>
      <c r="D37" s="1521">
        <v>18530</v>
      </c>
      <c r="E37" s="1521">
        <v>17930</v>
      </c>
      <c r="F37" s="1535">
        <v>6270</v>
      </c>
      <c r="M37" s="1521" t="s">
        <v>1490</v>
      </c>
      <c r="N37" s="1521" t="s">
        <v>1491</v>
      </c>
      <c r="O37" s="1521" t="s">
        <v>1492</v>
      </c>
      <c r="P37" s="1521" t="s">
        <v>1493</v>
      </c>
    </row>
    <row r="38" spans="1:16" ht="14.25" customHeight="1" thickBot="1">
      <c r="A38" s="1527" t="s">
        <v>1450</v>
      </c>
      <c r="B38" s="1531" t="s">
        <v>1290</v>
      </c>
      <c r="C38" s="1521">
        <v>20200</v>
      </c>
      <c r="D38" s="1521">
        <v>20070</v>
      </c>
      <c r="E38" s="1521">
        <v>19950</v>
      </c>
      <c r="F38" s="1535"/>
      <c r="M38" s="1521" t="s">
        <v>1494</v>
      </c>
      <c r="N38" s="1521" t="s">
        <v>1495</v>
      </c>
      <c r="O38" s="1521" t="s">
        <v>1496</v>
      </c>
      <c r="P38" s="1521" t="s">
        <v>1497</v>
      </c>
    </row>
    <row r="39" spans="1:16" ht="14.25" customHeight="1" thickBot="1">
      <c r="A39" s="1527" t="s">
        <v>1450</v>
      </c>
      <c r="B39" s="1531" t="s">
        <v>1300</v>
      </c>
      <c r="C39" s="1521">
        <v>19300</v>
      </c>
      <c r="D39" s="1521">
        <v>20360</v>
      </c>
      <c r="E39" s="1521">
        <v>20230</v>
      </c>
      <c r="F39" s="1535"/>
      <c r="M39" s="1521" t="s">
        <v>1498</v>
      </c>
      <c r="N39" s="1521" t="s">
        <v>1499</v>
      </c>
      <c r="O39" s="1521" t="s">
        <v>1500</v>
      </c>
      <c r="P39" s="1521" t="s">
        <v>1501</v>
      </c>
    </row>
    <row r="40" spans="1:16" ht="14.25" customHeight="1" thickBot="1">
      <c r="A40" s="1527" t="s">
        <v>1450</v>
      </c>
      <c r="B40" s="1531" t="s">
        <v>1310</v>
      </c>
      <c r="C40" s="1521">
        <v>20210</v>
      </c>
      <c r="D40" s="1521">
        <v>19060</v>
      </c>
      <c r="E40" s="1521">
        <v>18890</v>
      </c>
      <c r="F40" s="1535"/>
      <c r="M40" s="1521" t="s">
        <v>1502</v>
      </c>
      <c r="N40" s="1521" t="s">
        <v>1503</v>
      </c>
      <c r="O40" s="1521" t="s">
        <v>1504</v>
      </c>
      <c r="P40" s="1521" t="s">
        <v>1505</v>
      </c>
    </row>
    <row r="41" spans="1:16" ht="14.25" customHeight="1" thickBot="1">
      <c r="A41" s="1527" t="s">
        <v>1450</v>
      </c>
      <c r="B41" s="1531" t="s">
        <v>1320</v>
      </c>
      <c r="C41" s="1521">
        <v>20560</v>
      </c>
      <c r="D41" s="1521">
        <v>21040</v>
      </c>
      <c r="E41" s="1521">
        <v>20740</v>
      </c>
      <c r="F41" s="1535"/>
      <c r="M41" s="1531" t="s">
        <v>1506</v>
      </c>
      <c r="N41" s="1531" t="s">
        <v>1507</v>
      </c>
      <c r="P41" s="1531" t="s">
        <v>1508</v>
      </c>
    </row>
    <row r="42" spans="1:16" ht="14.25" customHeight="1" thickBot="1">
      <c r="A42" s="1527" t="s">
        <v>1450</v>
      </c>
      <c r="B42" s="1531" t="s">
        <v>1331</v>
      </c>
      <c r="C42" s="1521">
        <v>19280</v>
      </c>
      <c r="D42" s="1521">
        <v>22940</v>
      </c>
      <c r="E42" s="1521">
        <v>22500</v>
      </c>
      <c r="F42" s="1535"/>
      <c r="M42" s="1521" t="s">
        <v>1509</v>
      </c>
      <c r="N42" s="1521" t="s">
        <v>1510</v>
      </c>
      <c r="P42" s="1521" t="s">
        <v>1511</v>
      </c>
    </row>
    <row r="43" spans="1:16" ht="14.25" customHeight="1" thickBot="1">
      <c r="A43" s="1527" t="s">
        <v>1450</v>
      </c>
      <c r="B43" s="1531" t="s">
        <v>1342</v>
      </c>
      <c r="C43" s="1521">
        <v>21520</v>
      </c>
      <c r="D43" s="1521">
        <v>19230</v>
      </c>
      <c r="E43" s="1521">
        <v>18540</v>
      </c>
      <c r="F43" s="1535"/>
      <c r="M43" s="1521" t="s">
        <v>1512</v>
      </c>
      <c r="N43" s="1521" t="s">
        <v>1513</v>
      </c>
      <c r="P43" s="1521" t="s">
        <v>1514</v>
      </c>
    </row>
    <row r="44" spans="1:16" ht="14.25" customHeight="1" thickBot="1">
      <c r="A44" s="1527" t="s">
        <v>1450</v>
      </c>
      <c r="B44" s="1531" t="s">
        <v>1352</v>
      </c>
      <c r="C44" s="1521">
        <v>23260</v>
      </c>
      <c r="D44" s="1521">
        <v>21180</v>
      </c>
      <c r="E44" s="1521">
        <v>20730</v>
      </c>
      <c r="F44" s="1535"/>
      <c r="M44" s="1521" t="s">
        <v>1515</v>
      </c>
      <c r="N44" s="1521" t="s">
        <v>1516</v>
      </c>
      <c r="P44" s="1521" t="s">
        <v>1517</v>
      </c>
    </row>
    <row r="45" spans="1:16" ht="14.25" customHeight="1" thickBot="1">
      <c r="A45" s="1527" t="s">
        <v>1450</v>
      </c>
      <c r="B45" s="1531" t="s">
        <v>1362</v>
      </c>
      <c r="C45" s="1521">
        <v>19610</v>
      </c>
      <c r="D45" s="1521">
        <v>18090</v>
      </c>
      <c r="E45" s="1521">
        <v>17970</v>
      </c>
      <c r="F45" s="1535"/>
      <c r="M45" s="1521" t="s">
        <v>1518</v>
      </c>
      <c r="N45" s="1521" t="s">
        <v>1519</v>
      </c>
      <c r="P45" s="1521" t="s">
        <v>1520</v>
      </c>
    </row>
    <row r="46" spans="1:16" ht="14.25" customHeight="1" thickBot="1">
      <c r="A46" s="1527" t="s">
        <v>1450</v>
      </c>
      <c r="B46" s="1531" t="s">
        <v>1372</v>
      </c>
      <c r="C46" s="1521">
        <v>21660</v>
      </c>
      <c r="D46" s="1521">
        <v>19190</v>
      </c>
      <c r="E46" s="1521">
        <v>19790</v>
      </c>
      <c r="F46" s="1535"/>
      <c r="M46" s="1521" t="s">
        <v>1521</v>
      </c>
      <c r="N46" s="1521" t="s">
        <v>1522</v>
      </c>
      <c r="P46" s="1521" t="s">
        <v>1523</v>
      </c>
    </row>
    <row r="47" spans="1:16" ht="14.25" customHeight="1" thickBot="1">
      <c r="A47" s="1527" t="s">
        <v>1450</v>
      </c>
      <c r="B47" s="1531" t="s">
        <v>1382</v>
      </c>
      <c r="C47" s="1521">
        <v>18220</v>
      </c>
      <c r="D47" s="1521"/>
      <c r="E47" s="1521">
        <v>17220</v>
      </c>
      <c r="F47" s="1535"/>
      <c r="M47" s="1521" t="s">
        <v>1524</v>
      </c>
      <c r="N47" s="1521" t="s">
        <v>1525</v>
      </c>
    </row>
    <row r="48" spans="1:16" ht="14.25" customHeight="1" thickBot="1">
      <c r="A48" s="1527" t="s">
        <v>1450</v>
      </c>
      <c r="B48" s="1532" t="s">
        <v>1391</v>
      </c>
      <c r="C48" s="1533">
        <v>19430</v>
      </c>
      <c r="D48" s="1533"/>
      <c r="E48" s="1533">
        <v>17830</v>
      </c>
      <c r="F48" s="1538"/>
      <c r="M48" s="1521" t="s">
        <v>1526</v>
      </c>
      <c r="N48" s="1521" t="s">
        <v>1527</v>
      </c>
    </row>
    <row r="49" spans="1:14" ht="14.25" customHeight="1" thickBot="1">
      <c r="A49" s="1527" t="s">
        <v>1131</v>
      </c>
      <c r="B49" s="1528" t="s">
        <v>1528</v>
      </c>
      <c r="C49" s="1528">
        <v>17090</v>
      </c>
      <c r="D49" s="1528">
        <v>16950</v>
      </c>
      <c r="E49" s="1528">
        <v>16310</v>
      </c>
      <c r="F49" s="1529">
        <v>4540</v>
      </c>
      <c r="M49" s="1521" t="s">
        <v>1529</v>
      </c>
      <c r="N49" s="1521" t="s">
        <v>1530</v>
      </c>
    </row>
    <row r="50" spans="1:14" ht="14.25" customHeight="1" thickBot="1">
      <c r="A50" s="1527" t="s">
        <v>1131</v>
      </c>
      <c r="B50" s="1521" t="s">
        <v>1198</v>
      </c>
      <c r="C50" s="1521">
        <v>19040</v>
      </c>
      <c r="D50" s="1521">
        <v>16960</v>
      </c>
      <c r="E50" s="1521">
        <v>14800</v>
      </c>
      <c r="F50" s="1535">
        <v>3940</v>
      </c>
    </row>
    <row r="51" spans="1:14" ht="14.25" customHeight="1" thickBot="1">
      <c r="A51" s="1527" t="s">
        <v>1131</v>
      </c>
      <c r="B51" s="1521" t="s">
        <v>1211</v>
      </c>
      <c r="C51" s="1521">
        <v>17040</v>
      </c>
      <c r="D51" s="1521">
        <v>16930</v>
      </c>
      <c r="E51" s="1521">
        <v>15030</v>
      </c>
      <c r="F51" s="1535">
        <v>4120</v>
      </c>
    </row>
    <row r="52" spans="1:14" ht="14.25" customHeight="1" thickBot="1">
      <c r="A52" s="1527" t="s">
        <v>1131</v>
      </c>
      <c r="B52" s="1521" t="s">
        <v>1224</v>
      </c>
      <c r="C52" s="1521">
        <v>17110</v>
      </c>
      <c r="D52" s="1521">
        <v>17750</v>
      </c>
      <c r="E52" s="1521">
        <v>17310</v>
      </c>
      <c r="F52" s="1535">
        <v>3220</v>
      </c>
    </row>
    <row r="53" spans="1:14" ht="14.25" customHeight="1" thickBot="1">
      <c r="A53" s="1527" t="s">
        <v>1131</v>
      </c>
      <c r="B53" s="1521" t="s">
        <v>1236</v>
      </c>
      <c r="C53" s="1521">
        <v>17810</v>
      </c>
      <c r="D53" s="1521">
        <v>17260</v>
      </c>
      <c r="E53" s="1521">
        <v>17090</v>
      </c>
      <c r="F53" s="1535">
        <v>3520</v>
      </c>
    </row>
    <row r="54" spans="1:14" ht="14.25" customHeight="1" thickBot="1">
      <c r="A54" s="1527" t="s">
        <v>1131</v>
      </c>
      <c r="B54" s="1521" t="s">
        <v>1247</v>
      </c>
      <c r="C54" s="1521">
        <v>17410</v>
      </c>
      <c r="D54" s="1521">
        <v>16780</v>
      </c>
      <c r="E54" s="1521">
        <v>16370</v>
      </c>
      <c r="F54" s="1535">
        <v>3410</v>
      </c>
    </row>
    <row r="55" spans="1:14" ht="14.25" customHeight="1" thickBot="1">
      <c r="A55" s="1527" t="s">
        <v>1131</v>
      </c>
      <c r="B55" s="1521" t="s">
        <v>1258</v>
      </c>
      <c r="C55" s="1521">
        <v>16930</v>
      </c>
      <c r="D55" s="1521">
        <v>14720</v>
      </c>
      <c r="E55" s="1521">
        <v>15000</v>
      </c>
      <c r="F55" s="1535">
        <v>3710</v>
      </c>
    </row>
    <row r="56" spans="1:14" ht="14.25" customHeight="1" thickBot="1">
      <c r="A56" s="1527" t="s">
        <v>1131</v>
      </c>
      <c r="B56" s="1521" t="s">
        <v>1269</v>
      </c>
      <c r="C56" s="1521">
        <v>14930</v>
      </c>
      <c r="D56" s="1521">
        <v>15850</v>
      </c>
      <c r="E56" s="1521">
        <v>14320</v>
      </c>
      <c r="F56" s="1535">
        <v>3960</v>
      </c>
    </row>
    <row r="57" spans="1:14" ht="14.25" customHeight="1" thickBot="1">
      <c r="A57" s="1527" t="s">
        <v>1131</v>
      </c>
      <c r="B57" s="1521" t="s">
        <v>1281</v>
      </c>
      <c r="C57" s="1521">
        <v>16160</v>
      </c>
      <c r="D57" s="1521">
        <v>16190</v>
      </c>
      <c r="E57" s="1521">
        <v>15650</v>
      </c>
      <c r="F57" s="1535">
        <v>4200</v>
      </c>
    </row>
    <row r="58" spans="1:14" ht="14.25" customHeight="1" thickBot="1">
      <c r="A58" s="1527" t="s">
        <v>1131</v>
      </c>
      <c r="B58" s="1521" t="s">
        <v>1291</v>
      </c>
      <c r="C58" s="1521">
        <v>16360</v>
      </c>
      <c r="D58" s="1521">
        <v>14050</v>
      </c>
      <c r="E58" s="1521">
        <v>16070</v>
      </c>
      <c r="F58" s="1535">
        <v>3990</v>
      </c>
    </row>
    <row r="59" spans="1:14" ht="14.25" customHeight="1" thickBot="1">
      <c r="A59" s="1527" t="s">
        <v>1131</v>
      </c>
      <c r="B59" s="1521" t="s">
        <v>1301</v>
      </c>
      <c r="C59" s="1521">
        <v>14160</v>
      </c>
      <c r="D59" s="1521">
        <v>16620</v>
      </c>
      <c r="E59" s="1521">
        <v>13940</v>
      </c>
      <c r="F59" s="1535">
        <v>4260</v>
      </c>
    </row>
    <row r="60" spans="1:14" ht="14.25" customHeight="1" thickBot="1">
      <c r="A60" s="1527" t="s">
        <v>1131</v>
      </c>
      <c r="B60" s="1521" t="s">
        <v>1311</v>
      </c>
      <c r="C60" s="1521">
        <v>16750</v>
      </c>
      <c r="D60" s="1521">
        <v>13910</v>
      </c>
      <c r="E60" s="1521">
        <v>16550</v>
      </c>
      <c r="F60" s="1535">
        <v>4550</v>
      </c>
    </row>
    <row r="61" spans="1:14" ht="14.25" customHeight="1" thickBot="1">
      <c r="A61" s="1527" t="s">
        <v>1131</v>
      </c>
      <c r="B61" s="1521" t="s">
        <v>1321</v>
      </c>
      <c r="C61" s="1521">
        <v>14000</v>
      </c>
      <c r="D61" s="1521">
        <v>14550</v>
      </c>
      <c r="E61" s="1521">
        <v>13860</v>
      </c>
      <c r="F61" s="1539"/>
    </row>
    <row r="62" spans="1:14" ht="14.25" customHeight="1" thickBot="1">
      <c r="A62" s="1527" t="s">
        <v>1131</v>
      </c>
      <c r="B62" s="1521" t="s">
        <v>1332</v>
      </c>
      <c r="C62" s="1521">
        <v>14660</v>
      </c>
      <c r="D62" s="1521">
        <v>17450</v>
      </c>
      <c r="E62" s="1521">
        <v>14470</v>
      </c>
      <c r="F62" s="1539"/>
    </row>
    <row r="63" spans="1:14" ht="14.25" customHeight="1" thickBot="1">
      <c r="A63" s="1527" t="s">
        <v>1131</v>
      </c>
      <c r="B63" s="1521" t="s">
        <v>1343</v>
      </c>
      <c r="C63" s="1521">
        <v>17610</v>
      </c>
      <c r="D63" s="1521">
        <v>16500</v>
      </c>
      <c r="E63" s="1521">
        <v>17330</v>
      </c>
      <c r="F63" s="1539"/>
    </row>
    <row r="64" spans="1:14" ht="14.25" customHeight="1" thickBot="1">
      <c r="A64" s="1527" t="s">
        <v>1131</v>
      </c>
      <c r="B64" s="1521" t="s">
        <v>1353</v>
      </c>
      <c r="C64" s="1521">
        <v>16590</v>
      </c>
      <c r="D64" s="1521">
        <v>15130</v>
      </c>
      <c r="E64" s="1521">
        <v>16420</v>
      </c>
      <c r="F64" s="1539"/>
    </row>
    <row r="65" spans="1:6" s="1515" customFormat="1" ht="14.25" customHeight="1" thickBot="1">
      <c r="A65" s="1527" t="s">
        <v>1131</v>
      </c>
      <c r="B65" s="1521" t="s">
        <v>1363</v>
      </c>
      <c r="C65" s="1521">
        <v>15220</v>
      </c>
      <c r="D65" s="1521">
        <v>14660</v>
      </c>
      <c r="E65" s="1521">
        <v>15060</v>
      </c>
      <c r="F65" s="1535"/>
    </row>
    <row r="66" spans="1:6" s="1515" customFormat="1" ht="14.25" customHeight="1" thickBot="1">
      <c r="A66" s="1527" t="s">
        <v>1131</v>
      </c>
      <c r="B66" s="1521" t="s">
        <v>1373</v>
      </c>
      <c r="C66" s="1521">
        <v>14720</v>
      </c>
      <c r="D66" s="1521">
        <v>15970</v>
      </c>
      <c r="E66" s="1521">
        <v>14610</v>
      </c>
      <c r="F66" s="1535"/>
    </row>
    <row r="67" spans="1:6" s="1515" customFormat="1" ht="14.25" customHeight="1" thickBot="1">
      <c r="A67" s="1527" t="s">
        <v>1131</v>
      </c>
      <c r="B67" s="1521" t="s">
        <v>1383</v>
      </c>
      <c r="C67" s="1521">
        <v>16080</v>
      </c>
      <c r="D67" s="1521">
        <v>14840</v>
      </c>
      <c r="E67" s="1521">
        <v>15630</v>
      </c>
      <c r="F67" s="1535"/>
    </row>
    <row r="68" spans="1:6" s="1515" customFormat="1" ht="14.25" customHeight="1" thickBot="1">
      <c r="A68" s="1527" t="s">
        <v>1131</v>
      </c>
      <c r="B68" s="1521" t="s">
        <v>1392</v>
      </c>
      <c r="C68" s="1521">
        <v>14940</v>
      </c>
      <c r="D68" s="1521">
        <v>18000</v>
      </c>
      <c r="E68" s="1521">
        <v>14040</v>
      </c>
      <c r="F68" s="1535"/>
    </row>
    <row r="69" spans="1:6" s="1515" customFormat="1" ht="14.25" customHeight="1" thickBot="1">
      <c r="A69" s="1527" t="s">
        <v>1131</v>
      </c>
      <c r="B69" s="1521" t="s">
        <v>1401</v>
      </c>
      <c r="C69" s="1521">
        <v>18810</v>
      </c>
      <c r="D69" s="1521">
        <v>15100</v>
      </c>
      <c r="E69" s="1521">
        <v>14710</v>
      </c>
      <c r="F69" s="1535"/>
    </row>
    <row r="70" spans="1:6" s="1515" customFormat="1" ht="14.25" customHeight="1" thickBot="1">
      <c r="A70" s="1527" t="s">
        <v>1131</v>
      </c>
      <c r="B70" s="1521" t="s">
        <v>1409</v>
      </c>
      <c r="C70" s="1521">
        <v>18270</v>
      </c>
      <c r="D70" s="1521"/>
      <c r="E70" s="1521"/>
      <c r="F70" s="1535"/>
    </row>
    <row r="71" spans="1:6" s="1515" customFormat="1" ht="14.25" customHeight="1" thickBot="1">
      <c r="A71" s="1527" t="s">
        <v>1131</v>
      </c>
      <c r="B71" s="1521" t="s">
        <v>1416</v>
      </c>
      <c r="C71" s="1521">
        <v>15230</v>
      </c>
      <c r="D71" s="1521"/>
      <c r="E71" s="1521"/>
      <c r="F71" s="1535"/>
    </row>
    <row r="72" spans="1:6" s="1515" customFormat="1" ht="14.25" customHeight="1" thickBot="1">
      <c r="A72" s="1527" t="s">
        <v>1131</v>
      </c>
      <c r="B72" s="1521" t="s">
        <v>1423</v>
      </c>
      <c r="C72" s="1521"/>
      <c r="D72" s="1521"/>
      <c r="E72" s="1521"/>
      <c r="F72" s="1535">
        <v>4120</v>
      </c>
    </row>
    <row r="73" spans="1:6" s="1515" customFormat="1" ht="14.25" customHeight="1" thickBot="1">
      <c r="A73" s="1527" t="s">
        <v>1131</v>
      </c>
      <c r="B73" s="1521" t="s">
        <v>1430</v>
      </c>
      <c r="C73" s="1521"/>
      <c r="D73" s="1521"/>
      <c r="E73" s="1521"/>
      <c r="F73" s="1535">
        <v>3930</v>
      </c>
    </row>
    <row r="74" spans="1:6" s="1515" customFormat="1" ht="14.25" customHeight="1" thickBot="1">
      <c r="A74" s="1527" t="s">
        <v>1131</v>
      </c>
      <c r="B74" s="1521" t="s">
        <v>1437</v>
      </c>
      <c r="C74" s="1521"/>
      <c r="D74" s="1521"/>
      <c r="E74" s="1521"/>
      <c r="F74" s="1535">
        <v>4060</v>
      </c>
    </row>
    <row r="75" spans="1:6" s="1515" customFormat="1" ht="14.25" customHeight="1" thickBot="1">
      <c r="A75" s="1527" t="s">
        <v>1131</v>
      </c>
      <c r="B75" s="1533" t="s">
        <v>1444</v>
      </c>
      <c r="C75" s="1533"/>
      <c r="D75" s="1533"/>
      <c r="E75" s="1533"/>
      <c r="F75" s="1538">
        <v>3750</v>
      </c>
    </row>
    <row r="76" spans="1:6" s="1515" customFormat="1" ht="14.25" customHeight="1" thickBot="1">
      <c r="A76" s="1527" t="s">
        <v>1531</v>
      </c>
      <c r="B76" s="1528" t="s">
        <v>1532</v>
      </c>
      <c r="C76" s="1528">
        <v>14690</v>
      </c>
      <c r="D76" s="1528">
        <v>14640</v>
      </c>
      <c r="E76" s="1528">
        <v>14590</v>
      </c>
      <c r="F76" s="1529">
        <v>3060</v>
      </c>
    </row>
    <row r="77" spans="1:6" s="1515" customFormat="1" ht="14.25" customHeight="1" thickBot="1">
      <c r="A77" s="1527" t="s">
        <v>1531</v>
      </c>
      <c r="B77" s="1521" t="s">
        <v>1199</v>
      </c>
      <c r="C77" s="1521">
        <v>12550</v>
      </c>
      <c r="D77" s="1521">
        <v>12480</v>
      </c>
      <c r="E77" s="1521">
        <v>12450</v>
      </c>
      <c r="F77" s="1535">
        <v>2590</v>
      </c>
    </row>
    <row r="78" spans="1:6" s="1515" customFormat="1" ht="14.25" customHeight="1" thickBot="1">
      <c r="A78" s="1527" t="s">
        <v>1531</v>
      </c>
      <c r="B78" s="1521" t="s">
        <v>1212</v>
      </c>
      <c r="C78" s="1521">
        <v>14360</v>
      </c>
      <c r="D78" s="1521">
        <v>14320</v>
      </c>
      <c r="E78" s="1521">
        <v>12510</v>
      </c>
      <c r="F78" s="1535">
        <v>2700</v>
      </c>
    </row>
    <row r="79" spans="1:6" s="1515" customFormat="1" ht="14.25" customHeight="1" thickBot="1">
      <c r="A79" s="1527" t="s">
        <v>1531</v>
      </c>
      <c r="B79" s="1521" t="s">
        <v>1225</v>
      </c>
      <c r="C79" s="1521">
        <v>12590</v>
      </c>
      <c r="D79" s="1521">
        <v>12540</v>
      </c>
      <c r="E79" s="1521">
        <v>12350</v>
      </c>
      <c r="F79" s="1535">
        <v>2740</v>
      </c>
    </row>
    <row r="80" spans="1:6" s="1515" customFormat="1" ht="14.25" customHeight="1" thickBot="1">
      <c r="A80" s="1527" t="s">
        <v>1531</v>
      </c>
      <c r="B80" s="1521" t="s">
        <v>1237</v>
      </c>
      <c r="C80" s="1521">
        <v>12450</v>
      </c>
      <c r="D80" s="1521">
        <v>12370</v>
      </c>
      <c r="E80" s="1521">
        <v>10790</v>
      </c>
      <c r="F80" s="1535">
        <v>2290</v>
      </c>
    </row>
    <row r="81" spans="1:6" s="1515" customFormat="1" ht="14.25" customHeight="1" thickBot="1">
      <c r="A81" s="1527" t="s">
        <v>1531</v>
      </c>
      <c r="B81" s="1521" t="s">
        <v>1248</v>
      </c>
      <c r="C81" s="1521">
        <v>14210</v>
      </c>
      <c r="D81" s="1521">
        <v>14150</v>
      </c>
      <c r="E81" s="1521">
        <v>12730</v>
      </c>
      <c r="F81" s="1535">
        <v>2240</v>
      </c>
    </row>
    <row r="82" spans="1:6" s="1515" customFormat="1" ht="14.25" customHeight="1" thickBot="1">
      <c r="A82" s="1527" t="s">
        <v>1531</v>
      </c>
      <c r="B82" s="1521" t="s">
        <v>1259</v>
      </c>
      <c r="C82" s="1521">
        <v>10860</v>
      </c>
      <c r="D82" s="1521">
        <v>10820</v>
      </c>
      <c r="E82" s="1521">
        <v>14720</v>
      </c>
      <c r="F82" s="1535">
        <v>2490</v>
      </c>
    </row>
    <row r="83" spans="1:6" s="1515" customFormat="1" ht="14.25" customHeight="1" thickBot="1">
      <c r="A83" s="1527" t="s">
        <v>1531</v>
      </c>
      <c r="B83" s="1521" t="s">
        <v>1270</v>
      </c>
      <c r="C83" s="1521">
        <v>12810</v>
      </c>
      <c r="D83" s="1521">
        <v>12760</v>
      </c>
      <c r="E83" s="1521">
        <v>14830</v>
      </c>
      <c r="F83" s="1535">
        <v>2450</v>
      </c>
    </row>
    <row r="84" spans="1:6" s="1515" customFormat="1" ht="14.25" customHeight="1" thickBot="1">
      <c r="A84" s="1527" t="s">
        <v>1531</v>
      </c>
      <c r="B84" s="1521" t="s">
        <v>1282</v>
      </c>
      <c r="C84" s="1521">
        <v>14950</v>
      </c>
      <c r="D84" s="1521">
        <v>14810</v>
      </c>
      <c r="E84" s="1521">
        <v>12590</v>
      </c>
      <c r="F84" s="1535">
        <v>2540</v>
      </c>
    </row>
    <row r="85" spans="1:6" s="1515" customFormat="1" ht="14.25" customHeight="1" thickBot="1">
      <c r="A85" s="1527" t="s">
        <v>1531</v>
      </c>
      <c r="B85" s="1521" t="s">
        <v>1292</v>
      </c>
      <c r="C85" s="1521">
        <v>14960</v>
      </c>
      <c r="D85" s="1521">
        <v>14890</v>
      </c>
      <c r="E85" s="1521">
        <v>12840</v>
      </c>
      <c r="F85" s="1535">
        <v>2840</v>
      </c>
    </row>
    <row r="86" spans="1:6" s="1515" customFormat="1" ht="14.25" customHeight="1" thickBot="1">
      <c r="A86" s="1527" t="s">
        <v>1531</v>
      </c>
      <c r="B86" s="1521" t="s">
        <v>1302</v>
      </c>
      <c r="C86" s="1521">
        <v>12730</v>
      </c>
      <c r="D86" s="1521">
        <v>12660</v>
      </c>
      <c r="E86" s="1521">
        <v>13310</v>
      </c>
      <c r="F86" s="1535">
        <v>3140</v>
      </c>
    </row>
    <row r="87" spans="1:6" s="1515" customFormat="1" ht="14.25" customHeight="1" thickBot="1">
      <c r="A87" s="1527" t="s">
        <v>1531</v>
      </c>
      <c r="B87" s="1521" t="s">
        <v>1312</v>
      </c>
      <c r="C87" s="1521">
        <v>12940</v>
      </c>
      <c r="D87" s="1521">
        <v>12890</v>
      </c>
      <c r="E87" s="1521">
        <v>11580</v>
      </c>
      <c r="F87" s="1539"/>
    </row>
    <row r="88" spans="1:6" s="1515" customFormat="1" ht="14.25" customHeight="1" thickBot="1">
      <c r="A88" s="1527" t="s">
        <v>1531</v>
      </c>
      <c r="B88" s="1521" t="s">
        <v>1322</v>
      </c>
      <c r="C88" s="1521">
        <v>13430</v>
      </c>
      <c r="D88" s="1521">
        <v>13360</v>
      </c>
      <c r="E88" s="1521">
        <v>12790</v>
      </c>
      <c r="F88" s="1539"/>
    </row>
    <row r="89" spans="1:6" s="1515" customFormat="1" ht="14.25" customHeight="1" thickBot="1">
      <c r="A89" s="1527" t="s">
        <v>1531</v>
      </c>
      <c r="B89" s="1521" t="s">
        <v>1333</v>
      </c>
      <c r="C89" s="1521">
        <v>11680</v>
      </c>
      <c r="D89" s="1521">
        <v>11630</v>
      </c>
      <c r="E89" s="1521">
        <v>11320</v>
      </c>
      <c r="F89" s="1539"/>
    </row>
    <row r="90" spans="1:6" s="1515" customFormat="1" ht="14.25" customHeight="1" thickBot="1">
      <c r="A90" s="1527" t="s">
        <v>1531</v>
      </c>
      <c r="B90" s="1521" t="s">
        <v>1344</v>
      </c>
      <c r="C90" s="1521">
        <v>12890</v>
      </c>
      <c r="D90" s="1521">
        <v>12820</v>
      </c>
      <c r="E90" s="1521">
        <v>12710</v>
      </c>
      <c r="F90" s="1539"/>
    </row>
    <row r="91" spans="1:6" s="1515" customFormat="1" ht="14.25" customHeight="1" thickBot="1">
      <c r="A91" s="1527" t="s">
        <v>1531</v>
      </c>
      <c r="B91" s="1521" t="s">
        <v>1354</v>
      </c>
      <c r="C91" s="1521">
        <v>11410</v>
      </c>
      <c r="D91" s="1521">
        <v>11360</v>
      </c>
      <c r="E91" s="1521">
        <v>12670</v>
      </c>
      <c r="F91" s="1539"/>
    </row>
    <row r="92" spans="1:6" s="1515" customFormat="1" ht="14.25" customHeight="1" thickBot="1">
      <c r="A92" s="1527" t="s">
        <v>1531</v>
      </c>
      <c r="B92" s="1521" t="s">
        <v>1364</v>
      </c>
      <c r="C92" s="1521">
        <v>12770</v>
      </c>
      <c r="D92" s="1521">
        <v>12740</v>
      </c>
      <c r="E92" s="1521">
        <v>11970</v>
      </c>
      <c r="F92" s="1539"/>
    </row>
    <row r="93" spans="1:6" s="1515" customFormat="1" ht="14.25" customHeight="1" thickBot="1">
      <c r="A93" s="1527" t="s">
        <v>1531</v>
      </c>
      <c r="B93" s="1521" t="s">
        <v>1374</v>
      </c>
      <c r="C93" s="1521">
        <v>12740</v>
      </c>
      <c r="D93" s="1521">
        <v>12700</v>
      </c>
      <c r="E93" s="1521">
        <v>12540</v>
      </c>
      <c r="F93" s="1539"/>
    </row>
    <row r="94" spans="1:6" s="1515" customFormat="1" ht="14.25" customHeight="1" thickBot="1">
      <c r="A94" s="1527" t="s">
        <v>1531</v>
      </c>
      <c r="B94" s="1521" t="s">
        <v>1384</v>
      </c>
      <c r="C94" s="1521">
        <v>12020</v>
      </c>
      <c r="D94" s="1521">
        <v>11990</v>
      </c>
      <c r="E94" s="1521">
        <v>13110</v>
      </c>
      <c r="F94" s="1539"/>
    </row>
    <row r="95" spans="1:6" s="1515" customFormat="1" ht="14.25" customHeight="1" thickBot="1">
      <c r="A95" s="1527" t="s">
        <v>1531</v>
      </c>
      <c r="B95" s="1521" t="s">
        <v>1393</v>
      </c>
      <c r="C95" s="1521">
        <v>12620</v>
      </c>
      <c r="D95" s="1521">
        <v>12580</v>
      </c>
      <c r="E95" s="1521">
        <v>13160</v>
      </c>
      <c r="F95" s="1535"/>
    </row>
    <row r="96" spans="1:6" s="1515" customFormat="1" ht="14.25" customHeight="1" thickBot="1">
      <c r="A96" s="1527" t="s">
        <v>1531</v>
      </c>
      <c r="B96" s="1521" t="s">
        <v>1402</v>
      </c>
      <c r="C96" s="1521">
        <v>13200</v>
      </c>
      <c r="D96" s="1521">
        <v>13150</v>
      </c>
      <c r="E96" s="1521">
        <v>12900</v>
      </c>
      <c r="F96" s="1535"/>
    </row>
    <row r="97" spans="1:6" s="1515" customFormat="1" ht="14.25" customHeight="1" thickBot="1">
      <c r="A97" s="1527" t="s">
        <v>1531</v>
      </c>
      <c r="B97" s="1521" t="s">
        <v>1410</v>
      </c>
      <c r="C97" s="1521">
        <v>13270</v>
      </c>
      <c r="D97" s="1521">
        <v>13210</v>
      </c>
      <c r="E97" s="1521">
        <v>11080</v>
      </c>
      <c r="F97" s="1535"/>
    </row>
    <row r="98" spans="1:6" s="1515" customFormat="1" ht="14.25" customHeight="1" thickBot="1">
      <c r="A98" s="1527" t="s">
        <v>1531</v>
      </c>
      <c r="B98" s="1521" t="s">
        <v>1417</v>
      </c>
      <c r="C98" s="1521">
        <v>13010</v>
      </c>
      <c r="D98" s="1521">
        <v>12930</v>
      </c>
      <c r="E98" s="1521">
        <v>12840</v>
      </c>
      <c r="F98" s="1535"/>
    </row>
    <row r="99" spans="1:6" s="1515" customFormat="1" ht="14.25" customHeight="1" thickBot="1">
      <c r="A99" s="1527" t="s">
        <v>1531</v>
      </c>
      <c r="B99" s="1521" t="s">
        <v>1424</v>
      </c>
      <c r="C99" s="1521">
        <v>11190</v>
      </c>
      <c r="D99" s="1521">
        <v>11130</v>
      </c>
      <c r="E99" s="1521"/>
      <c r="F99" s="1535"/>
    </row>
    <row r="100" spans="1:6" s="1515" customFormat="1" ht="14.25" customHeight="1" thickBot="1">
      <c r="A100" s="1527" t="s">
        <v>1531</v>
      </c>
      <c r="B100" s="1521" t="s">
        <v>1431</v>
      </c>
      <c r="C100" s="1521">
        <v>14280</v>
      </c>
      <c r="D100" s="1521">
        <v>14180</v>
      </c>
      <c r="E100" s="1521"/>
      <c r="F100" s="1535"/>
    </row>
    <row r="101" spans="1:6" s="1515" customFormat="1" ht="14.25" customHeight="1" thickBot="1">
      <c r="A101" s="1527" t="s">
        <v>1531</v>
      </c>
      <c r="B101" s="1521" t="s">
        <v>1438</v>
      </c>
      <c r="C101" s="1521">
        <v>12960</v>
      </c>
      <c r="D101" s="1521">
        <v>12890</v>
      </c>
      <c r="E101" s="1521"/>
      <c r="F101" s="1535"/>
    </row>
    <row r="102" spans="1:6" s="1515" customFormat="1" ht="14.25" customHeight="1" thickBot="1">
      <c r="A102" s="1527" t="s">
        <v>1531</v>
      </c>
      <c r="B102" s="1521" t="s">
        <v>1445</v>
      </c>
      <c r="C102" s="1521"/>
      <c r="D102" s="1521"/>
      <c r="E102" s="1521"/>
      <c r="F102" s="1535">
        <v>3100</v>
      </c>
    </row>
    <row r="103" spans="1:6" s="1515" customFormat="1" ht="14.25" customHeight="1" thickBot="1">
      <c r="A103" s="1527" t="s">
        <v>1531</v>
      </c>
      <c r="B103" s="1521" t="s">
        <v>1452</v>
      </c>
      <c r="C103" s="1521"/>
      <c r="D103" s="1521"/>
      <c r="E103" s="1521"/>
      <c r="F103" s="1535">
        <v>2320</v>
      </c>
    </row>
    <row r="104" spans="1:6" s="1515" customFormat="1" ht="14.25" customHeight="1" thickBot="1">
      <c r="A104" s="1527" t="s">
        <v>1531</v>
      </c>
      <c r="B104" s="1521" t="s">
        <v>1457</v>
      </c>
      <c r="C104" s="1521"/>
      <c r="D104" s="1521"/>
      <c r="E104" s="1521"/>
      <c r="F104" s="1535">
        <v>2320</v>
      </c>
    </row>
    <row r="105" spans="1:6" s="1515" customFormat="1" ht="14.25" customHeight="1" thickBot="1">
      <c r="A105" s="1527" t="s">
        <v>1531</v>
      </c>
      <c r="B105" s="1521" t="s">
        <v>1461</v>
      </c>
      <c r="C105" s="1521"/>
      <c r="D105" s="1521"/>
      <c r="E105" s="1521"/>
      <c r="F105" s="1535">
        <v>2320</v>
      </c>
    </row>
    <row r="106" spans="1:6" s="1515" customFormat="1" ht="14.25" customHeight="1" thickBot="1">
      <c r="A106" s="1527" t="s">
        <v>1531</v>
      </c>
      <c r="B106" s="1521" t="s">
        <v>1466</v>
      </c>
      <c r="C106" s="1521"/>
      <c r="D106" s="1521"/>
      <c r="E106" s="1521"/>
      <c r="F106" s="1535">
        <v>2320</v>
      </c>
    </row>
    <row r="107" spans="1:6" s="1515" customFormat="1" ht="14.25" customHeight="1" thickBot="1">
      <c r="A107" s="1527" t="s">
        <v>1531</v>
      </c>
      <c r="B107" s="1521" t="s">
        <v>1471</v>
      </c>
      <c r="C107" s="1521"/>
      <c r="D107" s="1521"/>
      <c r="E107" s="1521"/>
      <c r="F107" s="1535">
        <v>2280</v>
      </c>
    </row>
    <row r="108" spans="1:6" s="1515" customFormat="1" ht="14.25" customHeight="1" thickBot="1">
      <c r="A108" s="1527" t="s">
        <v>1531</v>
      </c>
      <c r="B108" s="1521" t="s">
        <v>1476</v>
      </c>
      <c r="C108" s="1521"/>
      <c r="D108" s="1521"/>
      <c r="E108" s="1521"/>
      <c r="F108" s="1535">
        <v>2280</v>
      </c>
    </row>
    <row r="109" spans="1:6" s="1515" customFormat="1" ht="14.25" customHeight="1" thickBot="1">
      <c r="A109" s="1527" t="s">
        <v>1531</v>
      </c>
      <c r="B109" s="1533" t="s">
        <v>1481</v>
      </c>
      <c r="C109" s="1533"/>
      <c r="D109" s="1533"/>
      <c r="E109" s="1533"/>
      <c r="F109" s="1538">
        <v>2280</v>
      </c>
    </row>
    <row r="110" spans="1:6" s="1515" customFormat="1" ht="14.25" customHeight="1" thickBot="1">
      <c r="A110" s="1527" t="s">
        <v>202</v>
      </c>
      <c r="B110" s="1528" t="s">
        <v>1533</v>
      </c>
      <c r="C110" s="1528">
        <v>10520</v>
      </c>
      <c r="D110" s="1528">
        <v>10490</v>
      </c>
      <c r="E110" s="1528">
        <v>10760</v>
      </c>
      <c r="F110" s="1529">
        <v>2160</v>
      </c>
    </row>
    <row r="111" spans="1:6" s="1515" customFormat="1" ht="14.25" customHeight="1" thickBot="1">
      <c r="A111" s="1527" t="s">
        <v>202</v>
      </c>
      <c r="B111" s="1521" t="s">
        <v>1200</v>
      </c>
      <c r="C111" s="1521">
        <v>10090</v>
      </c>
      <c r="D111" s="1521">
        <v>10060</v>
      </c>
      <c r="E111" s="1521">
        <v>10300</v>
      </c>
      <c r="F111" s="1535">
        <v>2010</v>
      </c>
    </row>
    <row r="112" spans="1:6" s="1515" customFormat="1" ht="14.25" customHeight="1" thickBot="1">
      <c r="A112" s="1527" t="s">
        <v>202</v>
      </c>
      <c r="B112" s="1521" t="s">
        <v>1213</v>
      </c>
      <c r="C112" s="1521">
        <v>9910</v>
      </c>
      <c r="D112" s="1521">
        <v>9850</v>
      </c>
      <c r="E112" s="1521">
        <v>9960</v>
      </c>
      <c r="F112" s="1535">
        <v>2090</v>
      </c>
    </row>
    <row r="113" spans="1:6" s="1515" customFormat="1" ht="14.25" customHeight="1" thickBot="1">
      <c r="A113" s="1527" t="s">
        <v>202</v>
      </c>
      <c r="B113" s="1521" t="s">
        <v>1226</v>
      </c>
      <c r="C113" s="1521">
        <v>11430</v>
      </c>
      <c r="D113" s="1521">
        <v>11400</v>
      </c>
      <c r="E113" s="1521">
        <v>11710</v>
      </c>
      <c r="F113" s="1535">
        <v>2050</v>
      </c>
    </row>
    <row r="114" spans="1:6" s="1515" customFormat="1" ht="14.25" customHeight="1" thickBot="1">
      <c r="A114" s="1527" t="s">
        <v>202</v>
      </c>
      <c r="B114" s="1521" t="s">
        <v>1238</v>
      </c>
      <c r="C114" s="1521">
        <v>11390</v>
      </c>
      <c r="D114" s="1521">
        <v>11350</v>
      </c>
      <c r="E114" s="1521">
        <v>11640</v>
      </c>
      <c r="F114" s="1535">
        <v>1620</v>
      </c>
    </row>
    <row r="115" spans="1:6" s="1515" customFormat="1" ht="14.25" customHeight="1" thickBot="1">
      <c r="A115" s="1527" t="s">
        <v>202</v>
      </c>
      <c r="B115" s="1521" t="s">
        <v>1249</v>
      </c>
      <c r="C115" s="1521">
        <v>9930</v>
      </c>
      <c r="D115" s="1521">
        <v>9900</v>
      </c>
      <c r="E115" s="1521">
        <v>10160</v>
      </c>
      <c r="F115" s="1535">
        <v>1580</v>
      </c>
    </row>
    <row r="116" spans="1:6" s="1515" customFormat="1" ht="14.25" customHeight="1" thickBot="1">
      <c r="A116" s="1527" t="s">
        <v>202</v>
      </c>
      <c r="B116" s="1521" t="s">
        <v>1260</v>
      </c>
      <c r="C116" s="1521">
        <v>9150</v>
      </c>
      <c r="D116" s="1521">
        <v>9120</v>
      </c>
      <c r="E116" s="1521">
        <v>9380</v>
      </c>
      <c r="F116" s="1535">
        <v>1750</v>
      </c>
    </row>
    <row r="117" spans="1:6" s="1515" customFormat="1" ht="14.25" customHeight="1" thickBot="1">
      <c r="A117" s="1527" t="s">
        <v>202</v>
      </c>
      <c r="B117" s="1521" t="s">
        <v>1271</v>
      </c>
      <c r="C117" s="1521">
        <v>10680</v>
      </c>
      <c r="D117" s="1521">
        <v>10650</v>
      </c>
      <c r="E117" s="1521">
        <v>10970</v>
      </c>
      <c r="F117" s="1535">
        <v>1730</v>
      </c>
    </row>
    <row r="118" spans="1:6" s="1515" customFormat="1" ht="14.25" customHeight="1" thickBot="1">
      <c r="A118" s="1527" t="s">
        <v>202</v>
      </c>
      <c r="B118" s="1521" t="s">
        <v>1283</v>
      </c>
      <c r="C118" s="1521">
        <v>10080</v>
      </c>
      <c r="D118" s="1521">
        <v>10050</v>
      </c>
      <c r="E118" s="1521">
        <v>10350</v>
      </c>
      <c r="F118" s="1535">
        <v>1920</v>
      </c>
    </row>
    <row r="119" spans="1:6" s="1515" customFormat="1" ht="14.25" customHeight="1" thickBot="1">
      <c r="A119" s="1527" t="s">
        <v>202</v>
      </c>
      <c r="B119" s="1521" t="s">
        <v>1293</v>
      </c>
      <c r="C119" s="1521">
        <v>9450</v>
      </c>
      <c r="D119" s="1521">
        <v>9410</v>
      </c>
      <c r="E119" s="1521">
        <v>9680</v>
      </c>
      <c r="F119" s="1535">
        <v>1880</v>
      </c>
    </row>
    <row r="120" spans="1:6" s="1515" customFormat="1" ht="14.25" customHeight="1" thickBot="1">
      <c r="A120" s="1527" t="s">
        <v>202</v>
      </c>
      <c r="B120" s="1521" t="s">
        <v>1303</v>
      </c>
      <c r="C120" s="1521">
        <v>8730</v>
      </c>
      <c r="D120" s="1521">
        <v>8700</v>
      </c>
      <c r="E120" s="1521">
        <v>8950</v>
      </c>
      <c r="F120" s="1535">
        <v>1830</v>
      </c>
    </row>
    <row r="121" spans="1:6" s="1515" customFormat="1" ht="14.25" customHeight="1" thickBot="1">
      <c r="A121" s="1527" t="s">
        <v>202</v>
      </c>
      <c r="B121" s="1521" t="s">
        <v>1313</v>
      </c>
      <c r="C121" s="1521">
        <v>10070</v>
      </c>
      <c r="D121" s="1521">
        <v>10040</v>
      </c>
      <c r="E121" s="1521">
        <v>10270</v>
      </c>
      <c r="F121" s="1535">
        <v>1960</v>
      </c>
    </row>
    <row r="122" spans="1:6" s="1515" customFormat="1" ht="14.25" customHeight="1" thickBot="1">
      <c r="A122" s="1527" t="s">
        <v>202</v>
      </c>
      <c r="B122" s="1521" t="s">
        <v>1323</v>
      </c>
      <c r="C122" s="1521">
        <v>10500</v>
      </c>
      <c r="D122" s="1521">
        <v>10470</v>
      </c>
      <c r="E122" s="1521">
        <v>10780</v>
      </c>
      <c r="F122" s="1535">
        <v>2180</v>
      </c>
    </row>
    <row r="123" spans="1:6" s="1515" customFormat="1" ht="14.25" customHeight="1" thickBot="1">
      <c r="A123" s="1527" t="s">
        <v>202</v>
      </c>
      <c r="B123" s="1521" t="s">
        <v>1334</v>
      </c>
      <c r="C123" s="1521">
        <v>10390</v>
      </c>
      <c r="D123" s="1521">
        <v>10360</v>
      </c>
      <c r="E123" s="1521">
        <v>10660</v>
      </c>
      <c r="F123" s="1535">
        <v>2040</v>
      </c>
    </row>
    <row r="124" spans="1:6" s="1515" customFormat="1" ht="14.25" customHeight="1" thickBot="1">
      <c r="A124" s="1527" t="s">
        <v>202</v>
      </c>
      <c r="B124" s="1521" t="s">
        <v>1345</v>
      </c>
      <c r="C124" s="1521">
        <v>10390</v>
      </c>
      <c r="D124" s="1521">
        <v>10360</v>
      </c>
      <c r="E124" s="1521">
        <v>10680</v>
      </c>
      <c r="F124" s="1539"/>
    </row>
    <row r="125" spans="1:6" s="1515" customFormat="1" ht="14.25" customHeight="1" thickBot="1">
      <c r="A125" s="1527" t="s">
        <v>202</v>
      </c>
      <c r="B125" s="1521" t="s">
        <v>1355</v>
      </c>
      <c r="C125" s="1521">
        <v>10440</v>
      </c>
      <c r="D125" s="1521">
        <v>10410</v>
      </c>
      <c r="E125" s="1521">
        <v>10710</v>
      </c>
      <c r="F125" s="1539"/>
    </row>
    <row r="126" spans="1:6" s="1515" customFormat="1" ht="14.25" customHeight="1" thickBot="1">
      <c r="A126" s="1527" t="s">
        <v>202</v>
      </c>
      <c r="B126" s="1521" t="s">
        <v>1365</v>
      </c>
      <c r="C126" s="1521">
        <v>10780</v>
      </c>
      <c r="D126" s="1521">
        <v>10750</v>
      </c>
      <c r="E126" s="1521">
        <v>11080</v>
      </c>
      <c r="F126" s="1539"/>
    </row>
    <row r="127" spans="1:6" s="1515" customFormat="1" ht="14.25" customHeight="1" thickBot="1">
      <c r="A127" s="1527" t="s">
        <v>202</v>
      </c>
      <c r="B127" s="1521" t="s">
        <v>1375</v>
      </c>
      <c r="C127" s="1521">
        <v>10100</v>
      </c>
      <c r="D127" s="1521">
        <v>10070</v>
      </c>
      <c r="E127" s="1521">
        <v>10350</v>
      </c>
      <c r="F127" s="1539"/>
    </row>
    <row r="128" spans="1:6" s="1515" customFormat="1" ht="14.25" customHeight="1" thickBot="1">
      <c r="A128" s="1527" t="s">
        <v>202</v>
      </c>
      <c r="B128" s="1521" t="s">
        <v>1385</v>
      </c>
      <c r="C128" s="1521">
        <v>9200</v>
      </c>
      <c r="D128" s="1521">
        <v>9160</v>
      </c>
      <c r="E128" s="1521">
        <v>9660</v>
      </c>
      <c r="F128" s="1539"/>
    </row>
    <row r="129" spans="1:6" s="1515" customFormat="1" ht="14.25" customHeight="1" thickBot="1">
      <c r="A129" s="1527" t="s">
        <v>202</v>
      </c>
      <c r="B129" s="1521" t="s">
        <v>1394</v>
      </c>
      <c r="C129" s="1521">
        <v>10340</v>
      </c>
      <c r="D129" s="1521">
        <v>10310</v>
      </c>
      <c r="E129" s="1521">
        <v>10580</v>
      </c>
      <c r="F129" s="1539"/>
    </row>
    <row r="130" spans="1:6" s="1515" customFormat="1" ht="14.25" customHeight="1" thickBot="1">
      <c r="A130" s="1527" t="s">
        <v>202</v>
      </c>
      <c r="B130" s="1521" t="s">
        <v>1403</v>
      </c>
      <c r="C130" s="1521">
        <v>9680</v>
      </c>
      <c r="D130" s="1521">
        <v>9660</v>
      </c>
      <c r="E130" s="1521">
        <v>9950</v>
      </c>
      <c r="F130" s="1539"/>
    </row>
    <row r="131" spans="1:6" s="1515" customFormat="1" ht="14.25" customHeight="1" thickBot="1">
      <c r="A131" s="1527" t="s">
        <v>202</v>
      </c>
      <c r="B131" s="1521" t="s">
        <v>1411</v>
      </c>
      <c r="C131" s="1521">
        <v>9540</v>
      </c>
      <c r="D131" s="1521">
        <v>9510</v>
      </c>
      <c r="E131" s="1521">
        <v>9790</v>
      </c>
      <c r="F131" s="1539"/>
    </row>
    <row r="132" spans="1:6" s="1515" customFormat="1" ht="14.25" customHeight="1" thickBot="1">
      <c r="A132" s="1527" t="s">
        <v>202</v>
      </c>
      <c r="B132" s="1521" t="s">
        <v>1418</v>
      </c>
      <c r="C132" s="1521">
        <v>9320</v>
      </c>
      <c r="D132" s="1521">
        <v>9290</v>
      </c>
      <c r="E132" s="1521">
        <v>9570</v>
      </c>
      <c r="F132" s="1539"/>
    </row>
    <row r="133" spans="1:6" s="1515" customFormat="1" ht="14.25" customHeight="1" thickBot="1">
      <c r="A133" s="1527" t="s">
        <v>202</v>
      </c>
      <c r="B133" s="1521" t="s">
        <v>1425</v>
      </c>
      <c r="C133" s="1521">
        <v>10310</v>
      </c>
      <c r="D133" s="1521">
        <v>10280</v>
      </c>
      <c r="E133" s="1521">
        <v>10530</v>
      </c>
      <c r="F133" s="1539"/>
    </row>
    <row r="134" spans="1:6" s="1515" customFormat="1" ht="14.25" customHeight="1" thickBot="1">
      <c r="A134" s="1527" t="s">
        <v>202</v>
      </c>
      <c r="B134" s="1521" t="s">
        <v>1432</v>
      </c>
      <c r="C134" s="1521">
        <v>10370</v>
      </c>
      <c r="D134" s="1521">
        <v>10310</v>
      </c>
      <c r="E134" s="1521">
        <v>10240</v>
      </c>
      <c r="F134" s="1535">
        <v>2060</v>
      </c>
    </row>
    <row r="135" spans="1:6" s="1515" customFormat="1" ht="14.25" customHeight="1" thickBot="1">
      <c r="A135" s="1527" t="s">
        <v>202</v>
      </c>
      <c r="B135" s="1521" t="s">
        <v>1439</v>
      </c>
      <c r="C135" s="1521">
        <v>9300</v>
      </c>
      <c r="D135" s="1521">
        <v>9270</v>
      </c>
      <c r="E135" s="1521">
        <v>9350</v>
      </c>
      <c r="F135" s="1539"/>
    </row>
    <row r="136" spans="1:6" s="1515" customFormat="1" ht="14.25" customHeight="1" thickBot="1">
      <c r="A136" s="1527" t="s">
        <v>202</v>
      </c>
      <c r="B136" s="1521" t="s">
        <v>1446</v>
      </c>
      <c r="C136" s="1521">
        <v>10160</v>
      </c>
      <c r="D136" s="1521">
        <v>10110</v>
      </c>
      <c r="E136" s="1521">
        <v>10080</v>
      </c>
      <c r="F136" s="1539"/>
    </row>
    <row r="137" spans="1:6" s="1515" customFormat="1" ht="14.25" customHeight="1" thickBot="1">
      <c r="A137" s="1527" t="s">
        <v>202</v>
      </c>
      <c r="B137" s="1521" t="s">
        <v>1453</v>
      </c>
      <c r="C137" s="1521">
        <v>9200</v>
      </c>
      <c r="D137" s="1521">
        <v>9170</v>
      </c>
      <c r="E137" s="1521">
        <v>9450</v>
      </c>
      <c r="F137" s="1539"/>
    </row>
    <row r="138" spans="1:6" s="1515" customFormat="1" ht="14.25" customHeight="1" thickBot="1">
      <c r="A138" s="1527" t="s">
        <v>202</v>
      </c>
      <c r="B138" s="1521" t="s">
        <v>1458</v>
      </c>
      <c r="C138" s="1521">
        <v>9690</v>
      </c>
      <c r="D138" s="1521">
        <v>9660</v>
      </c>
      <c r="E138" s="1521">
        <v>9840</v>
      </c>
      <c r="F138" s="1539"/>
    </row>
    <row r="139" spans="1:6" s="1515" customFormat="1" ht="14.25" customHeight="1" thickBot="1">
      <c r="A139" s="1527" t="s">
        <v>202</v>
      </c>
      <c r="B139" s="1521" t="s">
        <v>1462</v>
      </c>
      <c r="C139" s="1521">
        <v>10290</v>
      </c>
      <c r="D139" s="1521">
        <v>10260</v>
      </c>
      <c r="E139" s="1521">
        <v>10550</v>
      </c>
      <c r="F139" s="1535">
        <v>1700</v>
      </c>
    </row>
    <row r="140" spans="1:6" s="1515" customFormat="1" ht="14.25" customHeight="1" thickBot="1">
      <c r="A140" s="1527" t="s">
        <v>202</v>
      </c>
      <c r="B140" s="1521" t="s">
        <v>1467</v>
      </c>
      <c r="C140" s="1521">
        <v>9740</v>
      </c>
      <c r="D140" s="1521">
        <v>9710</v>
      </c>
      <c r="E140" s="1521">
        <v>10000</v>
      </c>
      <c r="F140" s="1535">
        <v>2000</v>
      </c>
    </row>
    <row r="141" spans="1:6" s="1515" customFormat="1" ht="14.25" customHeight="1" thickBot="1">
      <c r="A141" s="1527" t="s">
        <v>202</v>
      </c>
      <c r="B141" s="1521" t="s">
        <v>1472</v>
      </c>
      <c r="C141" s="1521">
        <v>9810</v>
      </c>
      <c r="D141" s="1521">
        <v>9770</v>
      </c>
      <c r="E141" s="1521">
        <v>10060</v>
      </c>
      <c r="F141" s="1539"/>
    </row>
    <row r="142" spans="1:6" s="1515" customFormat="1" ht="14.25" customHeight="1" thickBot="1">
      <c r="A142" s="1527" t="s">
        <v>202</v>
      </c>
      <c r="B142" s="1521" t="s">
        <v>1477</v>
      </c>
      <c r="C142" s="1521">
        <v>9300</v>
      </c>
      <c r="D142" s="1521">
        <v>9270</v>
      </c>
      <c r="E142" s="1521">
        <v>9530</v>
      </c>
      <c r="F142" s="1539"/>
    </row>
    <row r="143" spans="1:6" s="1515" customFormat="1" ht="14.25" customHeight="1" thickBot="1">
      <c r="A143" s="1527" t="s">
        <v>202</v>
      </c>
      <c r="B143" s="1521" t="s">
        <v>1482</v>
      </c>
      <c r="C143" s="1521">
        <v>10080</v>
      </c>
      <c r="D143" s="1521">
        <v>10050</v>
      </c>
      <c r="E143" s="1521">
        <v>10340</v>
      </c>
      <c r="F143" s="1539"/>
    </row>
    <row r="144" spans="1:6" s="1515" customFormat="1" ht="14.25" customHeight="1" thickBot="1">
      <c r="A144" s="1527" t="s">
        <v>202</v>
      </c>
      <c r="B144" s="1521" t="s">
        <v>1486</v>
      </c>
      <c r="C144" s="1521">
        <v>9820</v>
      </c>
      <c r="D144" s="1521">
        <v>9750</v>
      </c>
      <c r="E144" s="1521">
        <v>9900</v>
      </c>
      <c r="F144" s="1539"/>
    </row>
    <row r="145" spans="1:6" s="1515" customFormat="1" ht="14.25" customHeight="1" thickBot="1">
      <c r="A145" s="1527" t="s">
        <v>202</v>
      </c>
      <c r="B145" s="1521" t="s">
        <v>1490</v>
      </c>
      <c r="C145" s="1521"/>
      <c r="D145" s="1521"/>
      <c r="E145" s="1521"/>
      <c r="F145" s="1535">
        <v>1740</v>
      </c>
    </row>
    <row r="146" spans="1:6" s="1515" customFormat="1" ht="14.25" customHeight="1" thickBot="1">
      <c r="A146" s="1527" t="s">
        <v>202</v>
      </c>
      <c r="B146" s="1521" t="s">
        <v>1494</v>
      </c>
      <c r="C146" s="1521"/>
      <c r="D146" s="1521"/>
      <c r="E146" s="1521"/>
      <c r="F146" s="1535">
        <v>1740</v>
      </c>
    </row>
    <row r="147" spans="1:6" s="1515" customFormat="1" ht="14.25" customHeight="1" thickBot="1">
      <c r="A147" s="1527" t="s">
        <v>202</v>
      </c>
      <c r="B147" s="1521" t="s">
        <v>1498</v>
      </c>
      <c r="C147" s="1521"/>
      <c r="D147" s="1521"/>
      <c r="E147" s="1521"/>
      <c r="F147" s="1535">
        <v>1740</v>
      </c>
    </row>
    <row r="148" spans="1:6" s="1515" customFormat="1" ht="14.25" customHeight="1" thickBot="1">
      <c r="A148" s="1527" t="s">
        <v>202</v>
      </c>
      <c r="B148" s="1521" t="s">
        <v>1502</v>
      </c>
      <c r="C148" s="1521"/>
      <c r="D148" s="1521"/>
      <c r="E148" s="1521"/>
      <c r="F148" s="1535">
        <v>1740</v>
      </c>
    </row>
    <row r="149" spans="1:6" s="1515" customFormat="1" ht="14.25" customHeight="1" thickBot="1">
      <c r="A149" s="1527" t="s">
        <v>202</v>
      </c>
      <c r="B149" s="1521" t="s">
        <v>1506</v>
      </c>
      <c r="C149" s="1521"/>
      <c r="D149" s="1521"/>
      <c r="E149" s="1521"/>
      <c r="F149" s="1535">
        <v>1740</v>
      </c>
    </row>
    <row r="150" spans="1:6" s="1515" customFormat="1" ht="14.25" customHeight="1" thickBot="1">
      <c r="A150" s="1527" t="s">
        <v>202</v>
      </c>
      <c r="B150" s="1521" t="s">
        <v>1509</v>
      </c>
      <c r="C150" s="1521"/>
      <c r="D150" s="1521"/>
      <c r="E150" s="1521"/>
      <c r="F150" s="1535">
        <v>1610</v>
      </c>
    </row>
    <row r="151" spans="1:6" s="1515" customFormat="1" ht="14.25" customHeight="1" thickBot="1">
      <c r="A151" s="1527" t="s">
        <v>202</v>
      </c>
      <c r="B151" s="1521" t="s">
        <v>1512</v>
      </c>
      <c r="C151" s="1521"/>
      <c r="D151" s="1521"/>
      <c r="E151" s="1521"/>
      <c r="F151" s="1535">
        <v>1610</v>
      </c>
    </row>
    <row r="152" spans="1:6" s="1515" customFormat="1" ht="14.25" customHeight="1" thickBot="1">
      <c r="A152" s="1527" t="s">
        <v>202</v>
      </c>
      <c r="B152" s="1521" t="s">
        <v>1515</v>
      </c>
      <c r="C152" s="1521"/>
      <c r="D152" s="1521"/>
      <c r="E152" s="1521"/>
      <c r="F152" s="1535">
        <v>1610</v>
      </c>
    </row>
    <row r="153" spans="1:6" s="1515" customFormat="1" ht="14.25" customHeight="1" thickBot="1">
      <c r="A153" s="1527" t="s">
        <v>202</v>
      </c>
      <c r="B153" s="1521" t="s">
        <v>1518</v>
      </c>
      <c r="C153" s="1521"/>
      <c r="D153" s="1521"/>
      <c r="E153" s="1521"/>
      <c r="F153" s="1535">
        <v>1610</v>
      </c>
    </row>
    <row r="154" spans="1:6" s="1515" customFormat="1" ht="14.25" customHeight="1" thickBot="1">
      <c r="A154" s="1527" t="s">
        <v>202</v>
      </c>
      <c r="B154" s="1521" t="s">
        <v>1521</v>
      </c>
      <c r="C154" s="1521"/>
      <c r="D154" s="1521"/>
      <c r="E154" s="1521"/>
      <c r="F154" s="1535">
        <v>1610</v>
      </c>
    </row>
    <row r="155" spans="1:6" s="1515" customFormat="1" ht="14.25" customHeight="1" thickBot="1">
      <c r="A155" s="1527" t="s">
        <v>202</v>
      </c>
      <c r="B155" s="1521" t="s">
        <v>1524</v>
      </c>
      <c r="C155" s="1521"/>
      <c r="D155" s="1521"/>
      <c r="E155" s="1521"/>
      <c r="F155" s="1535">
        <v>1800</v>
      </c>
    </row>
    <row r="156" spans="1:6" s="1515" customFormat="1" ht="14.25" customHeight="1" thickBot="1">
      <c r="A156" s="1527" t="s">
        <v>202</v>
      </c>
      <c r="B156" s="1521" t="s">
        <v>1526</v>
      </c>
      <c r="C156" s="1521"/>
      <c r="D156" s="1521"/>
      <c r="E156" s="1521"/>
      <c r="F156" s="1535">
        <v>1910</v>
      </c>
    </row>
    <row r="157" spans="1:6" s="1515" customFormat="1" ht="14.25" customHeight="1" thickBot="1">
      <c r="A157" s="1527" t="s">
        <v>202</v>
      </c>
      <c r="B157" s="1533" t="s">
        <v>1529</v>
      </c>
      <c r="C157" s="1533"/>
      <c r="D157" s="1533"/>
      <c r="E157" s="1533"/>
      <c r="F157" s="1538">
        <v>1500</v>
      </c>
    </row>
    <row r="158" spans="1:6" s="1515" customFormat="1" ht="14.25" customHeight="1" thickBot="1">
      <c r="A158" s="1527" t="s">
        <v>1534</v>
      </c>
      <c r="B158" s="1528" t="s">
        <v>1535</v>
      </c>
      <c r="C158" s="1528">
        <v>8170</v>
      </c>
      <c r="D158" s="1528">
        <v>8140</v>
      </c>
      <c r="E158" s="1528">
        <v>8590</v>
      </c>
      <c r="F158" s="1529">
        <v>1450</v>
      </c>
    </row>
    <row r="159" spans="1:6" s="1515" customFormat="1" ht="14.25" customHeight="1" thickBot="1">
      <c r="A159" s="1527" t="s">
        <v>1534</v>
      </c>
      <c r="B159" s="1521" t="s">
        <v>1201</v>
      </c>
      <c r="C159" s="1521">
        <v>7410</v>
      </c>
      <c r="D159" s="1521">
        <v>7370</v>
      </c>
      <c r="E159" s="1521">
        <v>8030</v>
      </c>
      <c r="F159" s="1535">
        <v>1510</v>
      </c>
    </row>
    <row r="160" spans="1:6" s="1515" customFormat="1" ht="14.25" customHeight="1" thickBot="1">
      <c r="A160" s="1527" t="s">
        <v>1534</v>
      </c>
      <c r="B160" s="1521" t="s">
        <v>1214</v>
      </c>
      <c r="C160" s="1521">
        <v>7240</v>
      </c>
      <c r="D160" s="1521">
        <v>7210</v>
      </c>
      <c r="E160" s="1521">
        <v>7860</v>
      </c>
      <c r="F160" s="1535">
        <v>1370</v>
      </c>
    </row>
    <row r="161" spans="1:6" s="1515" customFormat="1" ht="14.25" customHeight="1" thickBot="1">
      <c r="A161" s="1527" t="s">
        <v>1534</v>
      </c>
      <c r="B161" s="1521" t="s">
        <v>1227</v>
      </c>
      <c r="C161" s="1521">
        <v>7720</v>
      </c>
      <c r="D161" s="1521">
        <v>7690</v>
      </c>
      <c r="E161" s="1521">
        <v>8200</v>
      </c>
      <c r="F161" s="1535">
        <v>1190</v>
      </c>
    </row>
    <row r="162" spans="1:6" s="1515" customFormat="1" ht="14.25" customHeight="1" thickBot="1">
      <c r="A162" s="1527" t="s">
        <v>1534</v>
      </c>
      <c r="B162" s="1521" t="s">
        <v>1239</v>
      </c>
      <c r="C162" s="1521">
        <v>6900</v>
      </c>
      <c r="D162" s="1521">
        <v>6870</v>
      </c>
      <c r="E162" s="1521">
        <v>7500</v>
      </c>
      <c r="F162" s="1535">
        <v>1390</v>
      </c>
    </row>
    <row r="163" spans="1:6" s="1515" customFormat="1" ht="14.25" customHeight="1" thickBot="1">
      <c r="A163" s="1527" t="s">
        <v>1534</v>
      </c>
      <c r="B163" s="1521" t="s">
        <v>1250</v>
      </c>
      <c r="C163" s="1521">
        <v>7120</v>
      </c>
      <c r="D163" s="1521">
        <v>7090</v>
      </c>
      <c r="E163" s="1521">
        <v>7690</v>
      </c>
      <c r="F163" s="1535">
        <v>1230</v>
      </c>
    </row>
    <row r="164" spans="1:6" s="1515" customFormat="1" ht="14.25" customHeight="1" thickBot="1">
      <c r="A164" s="1527" t="s">
        <v>1534</v>
      </c>
      <c r="B164" s="1521" t="s">
        <v>1261</v>
      </c>
      <c r="C164" s="1521">
        <v>6560</v>
      </c>
      <c r="D164" s="1521">
        <v>6530</v>
      </c>
      <c r="E164" s="1521">
        <v>7110</v>
      </c>
      <c r="F164" s="1535">
        <v>1340</v>
      </c>
    </row>
    <row r="165" spans="1:6" s="1515" customFormat="1" ht="14.25" customHeight="1" thickBot="1">
      <c r="A165" s="1527" t="s">
        <v>1534</v>
      </c>
      <c r="B165" s="1521" t="s">
        <v>1272</v>
      </c>
      <c r="C165" s="1521">
        <v>7450</v>
      </c>
      <c r="D165" s="1521">
        <v>7430</v>
      </c>
      <c r="E165" s="1521">
        <v>8110</v>
      </c>
      <c r="F165" s="1535">
        <v>1290</v>
      </c>
    </row>
    <row r="166" spans="1:6" s="1515" customFormat="1" ht="14.25" customHeight="1" thickBot="1">
      <c r="A166" s="1527" t="s">
        <v>1534</v>
      </c>
      <c r="B166" s="1521" t="s">
        <v>1284</v>
      </c>
      <c r="C166" s="1521">
        <v>7490</v>
      </c>
      <c r="D166" s="1521">
        <v>7460</v>
      </c>
      <c r="E166" s="1521">
        <v>8150</v>
      </c>
      <c r="F166" s="1535">
        <v>1350</v>
      </c>
    </row>
    <row r="167" spans="1:6" s="1515" customFormat="1" ht="14.25" customHeight="1" thickBot="1">
      <c r="A167" s="1527" t="s">
        <v>1534</v>
      </c>
      <c r="B167" s="1521" t="s">
        <v>1294</v>
      </c>
      <c r="C167" s="1521">
        <v>7540</v>
      </c>
      <c r="D167" s="1521">
        <v>7510</v>
      </c>
      <c r="E167" s="1521">
        <v>8030</v>
      </c>
      <c r="F167" s="1539"/>
    </row>
    <row r="168" spans="1:6" s="1515" customFormat="1" ht="14.25" customHeight="1" thickBot="1">
      <c r="A168" s="1527" t="s">
        <v>1534</v>
      </c>
      <c r="B168" s="1521" t="s">
        <v>1304</v>
      </c>
      <c r="C168" s="1521">
        <v>7210</v>
      </c>
      <c r="D168" s="1521">
        <v>7180</v>
      </c>
      <c r="E168" s="1521">
        <v>7830</v>
      </c>
      <c r="F168" s="1539"/>
    </row>
    <row r="169" spans="1:6" s="1515" customFormat="1" ht="14.25" customHeight="1" thickBot="1">
      <c r="A169" s="1527" t="s">
        <v>1534</v>
      </c>
      <c r="B169" s="1521" t="s">
        <v>1314</v>
      </c>
      <c r="C169" s="1521">
        <v>7040</v>
      </c>
      <c r="D169" s="1521">
        <v>7020</v>
      </c>
      <c r="E169" s="1521">
        <v>7670</v>
      </c>
      <c r="F169" s="1539"/>
    </row>
    <row r="170" spans="1:6" s="1515" customFormat="1" ht="14.25" customHeight="1" thickBot="1">
      <c r="A170" s="1527" t="s">
        <v>1534</v>
      </c>
      <c r="B170" s="1521" t="s">
        <v>1324</v>
      </c>
      <c r="C170" s="1521">
        <v>8040</v>
      </c>
      <c r="D170" s="1521">
        <v>7190</v>
      </c>
      <c r="E170" s="1521">
        <v>7850</v>
      </c>
      <c r="F170" s="1539"/>
    </row>
    <row r="171" spans="1:6" s="1515" customFormat="1" ht="14.25" customHeight="1" thickBot="1">
      <c r="A171" s="1527" t="s">
        <v>1534</v>
      </c>
      <c r="B171" s="1521" t="s">
        <v>1335</v>
      </c>
      <c r="C171" s="1521">
        <v>7860</v>
      </c>
      <c r="D171" s="1521">
        <v>7720</v>
      </c>
      <c r="E171" s="1521">
        <v>8150</v>
      </c>
      <c r="F171" s="1535">
        <v>1110</v>
      </c>
    </row>
    <row r="172" spans="1:6" s="1515" customFormat="1" ht="14.25" customHeight="1" thickBot="1">
      <c r="A172" s="1527" t="s">
        <v>1534</v>
      </c>
      <c r="B172" s="1521" t="s">
        <v>1346</v>
      </c>
      <c r="C172" s="1521">
        <v>7210</v>
      </c>
      <c r="D172" s="1521">
        <v>7170</v>
      </c>
      <c r="E172" s="1521">
        <v>7320</v>
      </c>
      <c r="F172" s="1539"/>
    </row>
    <row r="173" spans="1:6" s="1515" customFormat="1" ht="14.25" customHeight="1" thickBot="1">
      <c r="A173" s="1527" t="s">
        <v>1534</v>
      </c>
      <c r="B173" s="1521" t="s">
        <v>1356</v>
      </c>
      <c r="C173" s="1521">
        <v>6860</v>
      </c>
      <c r="D173" s="1521">
        <v>6810</v>
      </c>
      <c r="E173" s="1521">
        <v>7440</v>
      </c>
      <c r="F173" s="1539"/>
    </row>
    <row r="174" spans="1:6" s="1515" customFormat="1" ht="14.25" customHeight="1" thickBot="1">
      <c r="A174" s="1527" t="s">
        <v>1534</v>
      </c>
      <c r="B174" s="1521" t="s">
        <v>1366</v>
      </c>
      <c r="C174" s="1521">
        <v>7120</v>
      </c>
      <c r="D174" s="1521">
        <v>7090</v>
      </c>
      <c r="E174" s="1521">
        <v>7500</v>
      </c>
      <c r="F174" s="1535">
        <v>1490</v>
      </c>
    </row>
    <row r="175" spans="1:6" s="1515" customFormat="1" ht="14.25" customHeight="1" thickBot="1">
      <c r="A175" s="1527" t="s">
        <v>1534</v>
      </c>
      <c r="B175" s="1521" t="s">
        <v>1376</v>
      </c>
      <c r="C175" s="1521">
        <v>7850</v>
      </c>
      <c r="D175" s="1521">
        <v>7820</v>
      </c>
      <c r="E175" s="1521">
        <v>8120</v>
      </c>
      <c r="F175" s="1535">
        <v>1530</v>
      </c>
    </row>
    <row r="176" spans="1:6" s="1515" customFormat="1" ht="14.25" customHeight="1" thickBot="1">
      <c r="A176" s="1527" t="s">
        <v>1534</v>
      </c>
      <c r="B176" s="1521" t="s">
        <v>1386</v>
      </c>
      <c r="C176" s="1521">
        <v>7620</v>
      </c>
      <c r="D176" s="1521">
        <v>7570</v>
      </c>
      <c r="E176" s="1521">
        <v>7990</v>
      </c>
      <c r="F176" s="1535">
        <v>1480</v>
      </c>
    </row>
    <row r="177" spans="1:6" s="1515" customFormat="1" ht="14.25" customHeight="1" thickBot="1">
      <c r="A177" s="1527" t="s">
        <v>1534</v>
      </c>
      <c r="B177" s="1521" t="s">
        <v>1395</v>
      </c>
      <c r="C177" s="1521">
        <v>8590</v>
      </c>
      <c r="D177" s="1521">
        <v>8570</v>
      </c>
      <c r="E177" s="1521">
        <v>8740</v>
      </c>
      <c r="F177" s="1535">
        <v>1540</v>
      </c>
    </row>
    <row r="178" spans="1:6" s="1515" customFormat="1" ht="14.25" customHeight="1" thickBot="1">
      <c r="A178" s="1527" t="s">
        <v>1534</v>
      </c>
      <c r="B178" s="1521" t="s">
        <v>1404</v>
      </c>
      <c r="C178" s="1521">
        <v>7510</v>
      </c>
      <c r="D178" s="1521">
        <v>7470</v>
      </c>
      <c r="E178" s="1521">
        <v>8090</v>
      </c>
      <c r="F178" s="1535">
        <v>1320</v>
      </c>
    </row>
    <row r="179" spans="1:6" s="1515" customFormat="1" ht="14.25" customHeight="1" thickBot="1">
      <c r="A179" s="1527" t="s">
        <v>1534</v>
      </c>
      <c r="B179" s="1521" t="s">
        <v>1412</v>
      </c>
      <c r="C179" s="1521">
        <v>6380</v>
      </c>
      <c r="D179" s="1521">
        <v>6340</v>
      </c>
      <c r="E179" s="1521">
        <v>6810</v>
      </c>
      <c r="F179" s="1539"/>
    </row>
    <row r="180" spans="1:6" s="1515" customFormat="1" ht="14.25" customHeight="1" thickBot="1">
      <c r="A180" s="1527" t="s">
        <v>1534</v>
      </c>
      <c r="B180" s="1521" t="s">
        <v>1419</v>
      </c>
      <c r="C180" s="1521">
        <v>7830</v>
      </c>
      <c r="D180" s="1521">
        <v>7800</v>
      </c>
      <c r="E180" s="1521">
        <v>7780</v>
      </c>
      <c r="F180" s="1535">
        <v>1440</v>
      </c>
    </row>
    <row r="181" spans="1:6" s="1515" customFormat="1" ht="14.25" customHeight="1" thickBot="1">
      <c r="A181" s="1527" t="s">
        <v>1534</v>
      </c>
      <c r="B181" s="1521" t="s">
        <v>1426</v>
      </c>
      <c r="C181" s="1521">
        <v>7110</v>
      </c>
      <c r="D181" s="1521">
        <v>7080</v>
      </c>
      <c r="E181" s="1521">
        <v>7730</v>
      </c>
      <c r="F181" s="1535">
        <v>1350</v>
      </c>
    </row>
    <row r="182" spans="1:6" s="1515" customFormat="1" ht="14.25" customHeight="1" thickBot="1">
      <c r="A182" s="1527" t="s">
        <v>1534</v>
      </c>
      <c r="B182" s="1521" t="s">
        <v>1433</v>
      </c>
      <c r="C182" s="1521">
        <v>7310</v>
      </c>
      <c r="D182" s="1521">
        <v>7280</v>
      </c>
      <c r="E182" s="1521">
        <v>7950</v>
      </c>
      <c r="F182" s="1535">
        <v>1220</v>
      </c>
    </row>
    <row r="183" spans="1:6" s="1515" customFormat="1" ht="14.25" customHeight="1" thickBot="1">
      <c r="A183" s="1527" t="s">
        <v>1534</v>
      </c>
      <c r="B183" s="1521" t="s">
        <v>1440</v>
      </c>
      <c r="C183" s="1521">
        <v>7470</v>
      </c>
      <c r="D183" s="1521">
        <v>7440</v>
      </c>
      <c r="E183" s="1521">
        <v>7880</v>
      </c>
      <c r="F183" s="1539"/>
    </row>
    <row r="184" spans="1:6" s="1515" customFormat="1" ht="14.25" customHeight="1" thickBot="1">
      <c r="A184" s="1527" t="s">
        <v>1534</v>
      </c>
      <c r="B184" s="1521" t="s">
        <v>1447</v>
      </c>
      <c r="C184" s="1521">
        <v>6960</v>
      </c>
      <c r="D184" s="1521">
        <v>6930</v>
      </c>
      <c r="E184" s="1521">
        <v>7570</v>
      </c>
      <c r="F184" s="1539"/>
    </row>
    <row r="185" spans="1:6" s="1515" customFormat="1" ht="14.25" customHeight="1" thickBot="1">
      <c r="A185" s="1527" t="s">
        <v>1534</v>
      </c>
      <c r="B185" s="1521" t="s">
        <v>1454</v>
      </c>
      <c r="C185" s="1521">
        <v>7260</v>
      </c>
      <c r="D185" s="1521">
        <v>7230</v>
      </c>
      <c r="E185" s="1521">
        <v>7710</v>
      </c>
      <c r="F185" s="1535">
        <v>1360</v>
      </c>
    </row>
    <row r="186" spans="1:6" s="1515" customFormat="1" ht="14.25" customHeight="1" thickBot="1">
      <c r="A186" s="1527" t="s">
        <v>1534</v>
      </c>
      <c r="B186" s="1521" t="s">
        <v>1459</v>
      </c>
      <c r="C186" s="1521"/>
      <c r="D186" s="1521"/>
      <c r="E186" s="1521"/>
      <c r="F186" s="1535">
        <v>1560</v>
      </c>
    </row>
    <row r="187" spans="1:6" s="1515" customFormat="1" ht="14.25" customHeight="1" thickBot="1">
      <c r="A187" s="1527" t="s">
        <v>1534</v>
      </c>
      <c r="B187" s="1521" t="s">
        <v>1463</v>
      </c>
      <c r="C187" s="1521"/>
      <c r="D187" s="1521"/>
      <c r="E187" s="1521"/>
      <c r="F187" s="1535">
        <v>1560</v>
      </c>
    </row>
    <row r="188" spans="1:6" s="1515" customFormat="1" ht="14.25" customHeight="1" thickBot="1">
      <c r="A188" s="1527" t="s">
        <v>1534</v>
      </c>
      <c r="B188" s="1521" t="s">
        <v>1468</v>
      </c>
      <c r="C188" s="1521"/>
      <c r="D188" s="1521"/>
      <c r="E188" s="1521"/>
      <c r="F188" s="1535">
        <v>1560</v>
      </c>
    </row>
    <row r="189" spans="1:6" s="1515" customFormat="1" ht="14.25" customHeight="1" thickBot="1">
      <c r="A189" s="1527" t="s">
        <v>1534</v>
      </c>
      <c r="B189" s="1521" t="s">
        <v>1473</v>
      </c>
      <c r="C189" s="1521"/>
      <c r="D189" s="1521"/>
      <c r="E189" s="1521"/>
      <c r="F189" s="1535">
        <v>1320</v>
      </c>
    </row>
    <row r="190" spans="1:6" s="1515" customFormat="1" ht="14.25" customHeight="1" thickBot="1">
      <c r="A190" s="1527" t="s">
        <v>1534</v>
      </c>
      <c r="B190" s="1521" t="s">
        <v>1478</v>
      </c>
      <c r="C190" s="1521"/>
      <c r="D190" s="1521"/>
      <c r="E190" s="1521"/>
      <c r="F190" s="1535">
        <v>1320</v>
      </c>
    </row>
    <row r="191" spans="1:6" s="1515" customFormat="1" ht="14.25" customHeight="1" thickBot="1">
      <c r="A191" s="1527" t="s">
        <v>1534</v>
      </c>
      <c r="B191" s="1521" t="s">
        <v>1483</v>
      </c>
      <c r="C191" s="1521"/>
      <c r="D191" s="1521"/>
      <c r="E191" s="1521"/>
      <c r="F191" s="1535">
        <v>1320</v>
      </c>
    </row>
    <row r="192" spans="1:6" s="1515" customFormat="1" ht="14.25" customHeight="1" thickBot="1">
      <c r="A192" s="1527" t="s">
        <v>1534</v>
      </c>
      <c r="B192" s="1521" t="s">
        <v>1487</v>
      </c>
      <c r="C192" s="1521"/>
      <c r="D192" s="1521"/>
      <c r="E192" s="1521"/>
      <c r="F192" s="1535">
        <v>1100</v>
      </c>
    </row>
    <row r="193" spans="1:6" s="1515" customFormat="1" ht="14.25" customHeight="1" thickBot="1">
      <c r="A193" s="1527" t="s">
        <v>1534</v>
      </c>
      <c r="B193" s="1521" t="s">
        <v>1491</v>
      </c>
      <c r="C193" s="1521"/>
      <c r="D193" s="1521"/>
      <c r="E193" s="1521"/>
      <c r="F193" s="1535">
        <v>1100</v>
      </c>
    </row>
    <row r="194" spans="1:6" s="1515" customFormat="1" ht="14.25" customHeight="1" thickBot="1">
      <c r="A194" s="1527" t="s">
        <v>1534</v>
      </c>
      <c r="B194" s="1521" t="s">
        <v>1495</v>
      </c>
      <c r="C194" s="1521"/>
      <c r="D194" s="1521"/>
      <c r="E194" s="1521"/>
      <c r="F194" s="1535">
        <v>1080</v>
      </c>
    </row>
    <row r="195" spans="1:6" s="1515" customFormat="1" ht="14.25" customHeight="1" thickBot="1">
      <c r="A195" s="1527" t="s">
        <v>1534</v>
      </c>
      <c r="B195" s="1521" t="s">
        <v>1499</v>
      </c>
      <c r="C195" s="1521"/>
      <c r="D195" s="1521"/>
      <c r="E195" s="1521"/>
      <c r="F195" s="1535">
        <v>1270</v>
      </c>
    </row>
    <row r="196" spans="1:6" s="1515" customFormat="1" ht="14.25" customHeight="1" thickBot="1">
      <c r="A196" s="1527" t="s">
        <v>1534</v>
      </c>
      <c r="B196" s="1521" t="s">
        <v>1503</v>
      </c>
      <c r="C196" s="1521"/>
      <c r="D196" s="1521"/>
      <c r="E196" s="1521"/>
      <c r="F196" s="1535">
        <v>1150</v>
      </c>
    </row>
    <row r="197" spans="1:6" s="1515" customFormat="1" ht="14.25" customHeight="1" thickBot="1">
      <c r="A197" s="1527" t="s">
        <v>1534</v>
      </c>
      <c r="B197" s="1521" t="s">
        <v>1507</v>
      </c>
      <c r="C197" s="1521"/>
      <c r="D197" s="1521"/>
      <c r="E197" s="1521"/>
      <c r="F197" s="1535">
        <v>1330</v>
      </c>
    </row>
    <row r="198" spans="1:6" s="1515" customFormat="1" ht="14.25" customHeight="1" thickBot="1">
      <c r="A198" s="1527" t="s">
        <v>1534</v>
      </c>
      <c r="B198" s="1521" t="s">
        <v>1510</v>
      </c>
      <c r="C198" s="1521"/>
      <c r="D198" s="1521"/>
      <c r="E198" s="1521"/>
      <c r="F198" s="1535">
        <v>1170</v>
      </c>
    </row>
    <row r="199" spans="1:6" s="1515" customFormat="1" ht="14.25" customHeight="1" thickBot="1">
      <c r="A199" s="1527" t="s">
        <v>1534</v>
      </c>
      <c r="B199" s="1521" t="s">
        <v>1513</v>
      </c>
      <c r="C199" s="1521"/>
      <c r="D199" s="1521"/>
      <c r="E199" s="1521"/>
      <c r="F199" s="1535">
        <v>1120</v>
      </c>
    </row>
    <row r="200" spans="1:6" s="1515" customFormat="1" ht="14.25" customHeight="1" thickBot="1">
      <c r="A200" s="1527" t="s">
        <v>1534</v>
      </c>
      <c r="B200" s="1521" t="s">
        <v>1516</v>
      </c>
      <c r="C200" s="1521"/>
      <c r="D200" s="1521"/>
      <c r="E200" s="1521"/>
      <c r="F200" s="1535">
        <v>1120</v>
      </c>
    </row>
    <row r="201" spans="1:6" s="1515" customFormat="1" ht="14.25" customHeight="1" thickBot="1">
      <c r="A201" s="1527" t="s">
        <v>1534</v>
      </c>
      <c r="B201" s="1521" t="s">
        <v>1519</v>
      </c>
      <c r="C201" s="1521"/>
      <c r="D201" s="1521"/>
      <c r="E201" s="1521"/>
      <c r="F201" s="1535">
        <v>1540</v>
      </c>
    </row>
    <row r="202" spans="1:6" s="1515" customFormat="1" ht="14.25" customHeight="1" thickBot="1">
      <c r="A202" s="1527" t="s">
        <v>1534</v>
      </c>
      <c r="B202" s="1521" t="s">
        <v>1522</v>
      </c>
      <c r="C202" s="1521"/>
      <c r="D202" s="1521"/>
      <c r="E202" s="1521"/>
      <c r="F202" s="1535">
        <v>1310</v>
      </c>
    </row>
    <row r="203" spans="1:6" s="1515" customFormat="1" ht="14.25" customHeight="1" thickBot="1">
      <c r="A203" s="1527" t="s">
        <v>1534</v>
      </c>
      <c r="B203" s="1521" t="s">
        <v>1525</v>
      </c>
      <c r="C203" s="1521"/>
      <c r="D203" s="1521"/>
      <c r="E203" s="1521"/>
      <c r="F203" s="1535">
        <v>1310</v>
      </c>
    </row>
    <row r="204" spans="1:6" s="1515" customFormat="1" ht="14.25" customHeight="1" thickBot="1">
      <c r="A204" s="1527" t="s">
        <v>1534</v>
      </c>
      <c r="B204" s="1521" t="s">
        <v>1527</v>
      </c>
      <c r="C204" s="1521"/>
      <c r="D204" s="1521"/>
      <c r="E204" s="1521"/>
      <c r="F204" s="1535">
        <v>1080</v>
      </c>
    </row>
    <row r="205" spans="1:6" s="1515" customFormat="1" ht="14.25" customHeight="1" thickBot="1">
      <c r="A205" s="1527" t="s">
        <v>1534</v>
      </c>
      <c r="B205" s="1521" t="s">
        <v>1530</v>
      </c>
      <c r="C205" s="1521"/>
      <c r="D205" s="1521"/>
      <c r="E205" s="1521"/>
      <c r="F205" s="1535">
        <v>1080</v>
      </c>
    </row>
    <row r="206" spans="1:6" s="1515" customFormat="1" ht="14.25" customHeight="1" thickBot="1">
      <c r="A206" s="1527" t="s">
        <v>1536</v>
      </c>
      <c r="B206" s="1528" t="s">
        <v>1537</v>
      </c>
      <c r="C206" s="1528">
        <v>5450</v>
      </c>
      <c r="D206" s="1528">
        <v>5430</v>
      </c>
      <c r="E206" s="1528">
        <v>5700</v>
      </c>
      <c r="F206" s="1529">
        <v>1020</v>
      </c>
    </row>
    <row r="207" spans="1:6" s="1515" customFormat="1" ht="14.25" customHeight="1" thickBot="1">
      <c r="A207" s="1527" t="s">
        <v>1536</v>
      </c>
      <c r="B207" s="1521" t="s">
        <v>1202</v>
      </c>
      <c r="C207" s="1521">
        <v>5860</v>
      </c>
      <c r="D207" s="1521">
        <v>5820</v>
      </c>
      <c r="E207" s="1521">
        <v>6050</v>
      </c>
      <c r="F207" s="1535">
        <v>1080</v>
      </c>
    </row>
    <row r="208" spans="1:6" s="1515" customFormat="1" ht="14.25" customHeight="1" thickBot="1">
      <c r="A208" s="1527" t="s">
        <v>1536</v>
      </c>
      <c r="B208" s="1521" t="s">
        <v>1215</v>
      </c>
      <c r="C208" s="1521">
        <v>4630</v>
      </c>
      <c r="D208" s="1521">
        <v>4600</v>
      </c>
      <c r="E208" s="1521">
        <v>4840</v>
      </c>
      <c r="F208" s="1535">
        <v>900</v>
      </c>
    </row>
    <row r="209" spans="1:6" s="1515" customFormat="1" ht="14.25" customHeight="1" thickBot="1">
      <c r="A209" s="1527" t="s">
        <v>1536</v>
      </c>
      <c r="B209" s="1521" t="s">
        <v>1228</v>
      </c>
      <c r="C209" s="1521">
        <v>5320</v>
      </c>
      <c r="D209" s="1521">
        <v>5270</v>
      </c>
      <c r="E209" s="1521">
        <v>5540</v>
      </c>
      <c r="F209" s="1535">
        <v>980</v>
      </c>
    </row>
    <row r="210" spans="1:6" s="1515" customFormat="1" ht="14.25" customHeight="1" thickBot="1">
      <c r="A210" s="1527" t="s">
        <v>1536</v>
      </c>
      <c r="B210" s="1521" t="s">
        <v>1240</v>
      </c>
      <c r="C210" s="1521">
        <v>5760</v>
      </c>
      <c r="D210" s="1521">
        <v>5710</v>
      </c>
      <c r="E210" s="1521">
        <v>6010</v>
      </c>
      <c r="F210" s="1535">
        <v>870</v>
      </c>
    </row>
    <row r="211" spans="1:6" s="1515" customFormat="1" ht="14.25" customHeight="1" thickBot="1">
      <c r="A211" s="1527" t="s">
        <v>1536</v>
      </c>
      <c r="B211" s="1521" t="s">
        <v>1251</v>
      </c>
      <c r="C211" s="1521">
        <v>4160</v>
      </c>
      <c r="D211" s="1521">
        <v>4100</v>
      </c>
      <c r="E211" s="1521">
        <v>4270</v>
      </c>
      <c r="F211" s="1535">
        <v>790</v>
      </c>
    </row>
    <row r="212" spans="1:6" s="1515" customFormat="1" ht="14.25" customHeight="1" thickBot="1">
      <c r="A212" s="1527" t="s">
        <v>1536</v>
      </c>
      <c r="B212" s="1521" t="s">
        <v>1262</v>
      </c>
      <c r="C212" s="1521">
        <v>4880</v>
      </c>
      <c r="D212" s="1521">
        <v>4850</v>
      </c>
      <c r="E212" s="1521">
        <v>5110</v>
      </c>
      <c r="F212" s="1535">
        <v>940</v>
      </c>
    </row>
    <row r="213" spans="1:6" s="1515" customFormat="1" ht="14.25" customHeight="1" thickBot="1">
      <c r="A213" s="1527" t="s">
        <v>1536</v>
      </c>
      <c r="B213" s="1521" t="s">
        <v>1273</v>
      </c>
      <c r="C213" s="1521">
        <v>4640</v>
      </c>
      <c r="D213" s="1521">
        <v>4590</v>
      </c>
      <c r="E213" s="1521">
        <v>4700</v>
      </c>
      <c r="F213" s="1535">
        <v>1030</v>
      </c>
    </row>
    <row r="214" spans="1:6" s="1515" customFormat="1" ht="14.25" customHeight="1" thickBot="1">
      <c r="A214" s="1527" t="s">
        <v>1536</v>
      </c>
      <c r="B214" s="1521" t="s">
        <v>1285</v>
      </c>
      <c r="C214" s="1521">
        <v>4540</v>
      </c>
      <c r="D214" s="1521">
        <v>4490</v>
      </c>
      <c r="E214" s="1521">
        <v>4610</v>
      </c>
      <c r="F214" s="1539"/>
    </row>
    <row r="215" spans="1:6" s="1515" customFormat="1" ht="14.25" customHeight="1" thickBot="1">
      <c r="A215" s="1527" t="s">
        <v>1536</v>
      </c>
      <c r="B215" s="1521" t="s">
        <v>1295</v>
      </c>
      <c r="C215" s="1521">
        <v>5280</v>
      </c>
      <c r="D215" s="1521">
        <v>5250</v>
      </c>
      <c r="E215" s="1521">
        <v>5520</v>
      </c>
      <c r="F215" s="1535">
        <v>1000</v>
      </c>
    </row>
    <row r="216" spans="1:6" s="1515" customFormat="1" ht="14.25" customHeight="1" thickBot="1">
      <c r="A216" s="1527" t="s">
        <v>1536</v>
      </c>
      <c r="B216" s="1521" t="s">
        <v>1305</v>
      </c>
      <c r="C216" s="1521">
        <v>5100</v>
      </c>
      <c r="D216" s="1521">
        <v>5050</v>
      </c>
      <c r="E216" s="1521">
        <v>5300</v>
      </c>
      <c r="F216" s="1535">
        <v>950</v>
      </c>
    </row>
    <row r="217" spans="1:6" s="1515" customFormat="1" ht="14.25" customHeight="1" thickBot="1">
      <c r="A217" s="1527" t="s">
        <v>1536</v>
      </c>
      <c r="B217" s="1521" t="s">
        <v>1315</v>
      </c>
      <c r="C217" s="1521">
        <v>5370</v>
      </c>
      <c r="D217" s="1521">
        <v>5320</v>
      </c>
      <c r="E217" s="1521">
        <v>5410</v>
      </c>
      <c r="F217" s="1535">
        <v>950</v>
      </c>
    </row>
    <row r="218" spans="1:6" s="1515" customFormat="1" ht="14.25" customHeight="1" thickBot="1">
      <c r="A218" s="1527" t="s">
        <v>1536</v>
      </c>
      <c r="B218" s="1521" t="s">
        <v>1325</v>
      </c>
      <c r="C218" s="1521">
        <v>5540</v>
      </c>
      <c r="D218" s="1521">
        <v>5480</v>
      </c>
      <c r="E218" s="1521">
        <v>5740</v>
      </c>
      <c r="F218" s="1535">
        <v>1020</v>
      </c>
    </row>
    <row r="219" spans="1:6" s="1515" customFormat="1" ht="14.25" customHeight="1" thickBot="1">
      <c r="A219" s="1527" t="s">
        <v>1536</v>
      </c>
      <c r="B219" s="1521" t="s">
        <v>1336</v>
      </c>
      <c r="C219" s="1521">
        <v>5140</v>
      </c>
      <c r="D219" s="1521">
        <v>5100</v>
      </c>
      <c r="E219" s="1521">
        <v>5350</v>
      </c>
      <c r="F219" s="1535">
        <v>1120</v>
      </c>
    </row>
    <row r="220" spans="1:6" s="1515" customFormat="1" ht="14.25" customHeight="1" thickBot="1">
      <c r="A220" s="1527" t="s">
        <v>1536</v>
      </c>
      <c r="B220" s="1521" t="s">
        <v>1347</v>
      </c>
      <c r="C220" s="1521">
        <v>5040</v>
      </c>
      <c r="D220" s="1521">
        <v>5000</v>
      </c>
      <c r="E220" s="1521">
        <v>5240</v>
      </c>
      <c r="F220" s="1535">
        <v>980</v>
      </c>
    </row>
    <row r="221" spans="1:6" s="1515" customFormat="1" ht="14.25" customHeight="1" thickBot="1">
      <c r="A221" s="1527" t="s">
        <v>1536</v>
      </c>
      <c r="B221" s="1521" t="s">
        <v>1357</v>
      </c>
      <c r="C221" s="1540"/>
      <c r="D221" s="1540"/>
      <c r="E221" s="1540"/>
      <c r="F221" s="1535">
        <v>1070</v>
      </c>
    </row>
    <row r="222" spans="1:6" s="1515" customFormat="1" ht="14.25" customHeight="1" thickBot="1">
      <c r="A222" s="1527" t="s">
        <v>1536</v>
      </c>
      <c r="B222" s="1521" t="s">
        <v>1367</v>
      </c>
      <c r="C222" s="1540"/>
      <c r="D222" s="1540"/>
      <c r="E222" s="1540"/>
      <c r="F222" s="1535">
        <v>870</v>
      </c>
    </row>
    <row r="223" spans="1:6" s="1515" customFormat="1" ht="14.25" customHeight="1" thickBot="1">
      <c r="A223" s="1527" t="s">
        <v>1536</v>
      </c>
      <c r="B223" s="1521" t="s">
        <v>1377</v>
      </c>
      <c r="C223" s="1540"/>
      <c r="D223" s="1540"/>
      <c r="E223" s="1540"/>
      <c r="F223" s="1535">
        <v>940</v>
      </c>
    </row>
    <row r="224" spans="1:6" s="1515" customFormat="1" ht="14.25" customHeight="1" thickBot="1">
      <c r="A224" s="1527" t="s">
        <v>1536</v>
      </c>
      <c r="B224" s="1521" t="s">
        <v>1387</v>
      </c>
      <c r="C224" s="1540"/>
      <c r="D224" s="1540"/>
      <c r="E224" s="1540"/>
      <c r="F224" s="1535">
        <v>990</v>
      </c>
    </row>
    <row r="225" spans="1:6" s="1515" customFormat="1" ht="14.25" customHeight="1" thickBot="1">
      <c r="A225" s="1527" t="s">
        <v>1536</v>
      </c>
      <c r="B225" s="1521" t="s">
        <v>1396</v>
      </c>
      <c r="C225" s="1521">
        <v>5730</v>
      </c>
      <c r="D225" s="1521">
        <v>5680</v>
      </c>
      <c r="E225" s="1521">
        <v>6020</v>
      </c>
      <c r="F225" s="1535">
        <v>1000</v>
      </c>
    </row>
    <row r="226" spans="1:6" s="1515" customFormat="1" ht="14.25" customHeight="1" thickBot="1">
      <c r="A226" s="1527" t="s">
        <v>1536</v>
      </c>
      <c r="B226" s="1521" t="s">
        <v>1405</v>
      </c>
      <c r="C226" s="1521">
        <v>4970</v>
      </c>
      <c r="D226" s="1521">
        <v>4940</v>
      </c>
      <c r="E226" s="1521">
        <v>5180</v>
      </c>
      <c r="F226" s="1535">
        <v>960</v>
      </c>
    </row>
    <row r="227" spans="1:6" s="1515" customFormat="1" ht="14.25" customHeight="1" thickBot="1">
      <c r="A227" s="1527" t="s">
        <v>1536</v>
      </c>
      <c r="B227" s="1521" t="s">
        <v>1413</v>
      </c>
      <c r="C227" s="1521">
        <v>5550</v>
      </c>
      <c r="D227" s="1521">
        <v>5500</v>
      </c>
      <c r="E227" s="1521">
        <v>5780</v>
      </c>
      <c r="F227" s="1535">
        <v>940</v>
      </c>
    </row>
    <row r="228" spans="1:6" s="1515" customFormat="1" ht="14.25" customHeight="1" thickBot="1">
      <c r="A228" s="1527" t="s">
        <v>1536</v>
      </c>
      <c r="B228" s="1521" t="s">
        <v>1420</v>
      </c>
      <c r="C228" s="1521">
        <v>5460</v>
      </c>
      <c r="D228" s="1521">
        <v>5420</v>
      </c>
      <c r="E228" s="1521">
        <v>5690</v>
      </c>
      <c r="F228" s="1535">
        <v>910</v>
      </c>
    </row>
    <row r="229" spans="1:6" s="1515" customFormat="1" ht="14.25" customHeight="1" thickBot="1">
      <c r="A229" s="1527" t="s">
        <v>1536</v>
      </c>
      <c r="B229" s="1521" t="s">
        <v>1427</v>
      </c>
      <c r="C229" s="1521">
        <v>5310</v>
      </c>
      <c r="D229" s="1521">
        <v>5270</v>
      </c>
      <c r="E229" s="1521">
        <v>5510</v>
      </c>
      <c r="F229" s="1539"/>
    </row>
    <row r="230" spans="1:6" s="1515" customFormat="1" ht="14.25" customHeight="1" thickBot="1">
      <c r="A230" s="1527" t="s">
        <v>1536</v>
      </c>
      <c r="B230" s="1521" t="s">
        <v>1434</v>
      </c>
      <c r="C230" s="1521">
        <v>4540</v>
      </c>
      <c r="D230" s="1521">
        <v>4500</v>
      </c>
      <c r="E230" s="1521">
        <v>4730</v>
      </c>
      <c r="F230" s="1539"/>
    </row>
    <row r="231" spans="1:6" s="1515" customFormat="1" ht="14.25" customHeight="1" thickBot="1">
      <c r="A231" s="1527" t="s">
        <v>1536</v>
      </c>
      <c r="B231" s="1521" t="s">
        <v>1441</v>
      </c>
      <c r="C231" s="1521">
        <v>4480</v>
      </c>
      <c r="D231" s="1521">
        <v>4410</v>
      </c>
      <c r="E231" s="1521">
        <v>4640</v>
      </c>
      <c r="F231" s="1539"/>
    </row>
    <row r="232" spans="1:6" s="1515" customFormat="1" ht="14.25" customHeight="1" thickBot="1">
      <c r="A232" s="1527" t="s">
        <v>1536</v>
      </c>
      <c r="B232" s="1521" t="s">
        <v>1448</v>
      </c>
      <c r="C232" s="1521">
        <v>5670</v>
      </c>
      <c r="D232" s="1521">
        <v>5600</v>
      </c>
      <c r="E232" s="1521">
        <v>5890</v>
      </c>
      <c r="F232" s="1535">
        <v>1150</v>
      </c>
    </row>
    <row r="233" spans="1:6" s="1515" customFormat="1" ht="14.25" customHeight="1" thickBot="1">
      <c r="A233" s="1527" t="s">
        <v>1536</v>
      </c>
      <c r="B233" s="1521" t="s">
        <v>1455</v>
      </c>
      <c r="C233" s="1521">
        <v>4590</v>
      </c>
      <c r="D233" s="1521">
        <v>4500</v>
      </c>
      <c r="E233" s="1521">
        <v>4600</v>
      </c>
      <c r="F233" s="1539"/>
    </row>
    <row r="234" spans="1:6" s="1515" customFormat="1" ht="14.25" customHeight="1" thickBot="1">
      <c r="A234" s="1527" t="s">
        <v>1536</v>
      </c>
      <c r="B234" s="1521" t="s">
        <v>2494</v>
      </c>
      <c r="C234" s="1521">
        <v>3990</v>
      </c>
      <c r="D234" s="1521">
        <v>3950</v>
      </c>
      <c r="E234" s="1521">
        <v>4180</v>
      </c>
      <c r="F234" s="1539"/>
    </row>
    <row r="235" spans="1:6" s="1515" customFormat="1" ht="14.25" customHeight="1" thickBot="1">
      <c r="A235" s="1527" t="s">
        <v>1536</v>
      </c>
      <c r="B235" s="1521" t="s">
        <v>1464</v>
      </c>
      <c r="C235" s="1521">
        <v>5590</v>
      </c>
      <c r="D235" s="1521">
        <v>5540</v>
      </c>
      <c r="E235" s="1521">
        <v>5810</v>
      </c>
      <c r="F235" s="1535">
        <v>970</v>
      </c>
    </row>
    <row r="236" spans="1:6" s="1515" customFormat="1" ht="14.25" customHeight="1" thickBot="1">
      <c r="A236" s="1527" t="s">
        <v>1536</v>
      </c>
      <c r="B236" s="1521" t="s">
        <v>1469</v>
      </c>
      <c r="C236" s="1521"/>
      <c r="D236" s="1521"/>
      <c r="E236" s="1521"/>
      <c r="F236" s="1535">
        <v>1020</v>
      </c>
    </row>
    <row r="237" spans="1:6" s="1515" customFormat="1" ht="14.25" customHeight="1" thickBot="1">
      <c r="A237" s="1527" t="s">
        <v>1536</v>
      </c>
      <c r="B237" s="1521" t="s">
        <v>1474</v>
      </c>
      <c r="C237" s="1521"/>
      <c r="D237" s="1521"/>
      <c r="E237" s="1521"/>
      <c r="F237" s="1535">
        <v>960</v>
      </c>
    </row>
    <row r="238" spans="1:6" s="1515" customFormat="1" ht="14.25" customHeight="1" thickBot="1">
      <c r="A238" s="1527" t="s">
        <v>1536</v>
      </c>
      <c r="B238" s="1521" t="s">
        <v>1479</v>
      </c>
      <c r="C238" s="1521"/>
      <c r="D238" s="1521"/>
      <c r="E238" s="1521"/>
      <c r="F238" s="1535">
        <v>960</v>
      </c>
    </row>
    <row r="239" spans="1:6" s="1515" customFormat="1" ht="14.25" customHeight="1" thickBot="1">
      <c r="A239" s="1527" t="s">
        <v>1536</v>
      </c>
      <c r="B239" s="1521" t="s">
        <v>1484</v>
      </c>
      <c r="C239" s="1521"/>
      <c r="D239" s="1521"/>
      <c r="E239" s="1521"/>
      <c r="F239" s="1535">
        <v>960</v>
      </c>
    </row>
    <row r="240" spans="1:6" s="1515" customFormat="1" ht="14.25" customHeight="1" thickBot="1">
      <c r="A240" s="1527" t="s">
        <v>1536</v>
      </c>
      <c r="B240" s="1521" t="s">
        <v>1488</v>
      </c>
      <c r="C240" s="1521"/>
      <c r="D240" s="1521"/>
      <c r="E240" s="1521"/>
      <c r="F240" s="1535">
        <v>990</v>
      </c>
    </row>
    <row r="241" spans="1:6" s="1515" customFormat="1" ht="14.25" customHeight="1" thickBot="1">
      <c r="A241" s="1527" t="s">
        <v>1536</v>
      </c>
      <c r="B241" s="1521" t="s">
        <v>1492</v>
      </c>
      <c r="C241" s="1521"/>
      <c r="D241" s="1521"/>
      <c r="E241" s="1521"/>
      <c r="F241" s="1535">
        <v>1000</v>
      </c>
    </row>
    <row r="242" spans="1:6" s="1515" customFormat="1" ht="14.25" customHeight="1" thickBot="1">
      <c r="A242" s="1527" t="s">
        <v>1536</v>
      </c>
      <c r="B242" s="1521" t="s">
        <v>1496</v>
      </c>
      <c r="C242" s="1521"/>
      <c r="D242" s="1521"/>
      <c r="E242" s="1521"/>
      <c r="F242" s="1535">
        <v>980</v>
      </c>
    </row>
    <row r="243" spans="1:6" s="1515" customFormat="1" ht="14.25" customHeight="1" thickBot="1">
      <c r="A243" s="1527" t="s">
        <v>1536</v>
      </c>
      <c r="B243" s="1521" t="s">
        <v>1500</v>
      </c>
      <c r="C243" s="1521"/>
      <c r="D243" s="1521"/>
      <c r="E243" s="1521"/>
      <c r="F243" s="1535">
        <v>970</v>
      </c>
    </row>
    <row r="244" spans="1:6" s="1515" customFormat="1" ht="14.25" customHeight="1" thickBot="1">
      <c r="A244" s="1527" t="s">
        <v>1536</v>
      </c>
      <c r="B244" s="1533" t="s">
        <v>1504</v>
      </c>
      <c r="C244" s="1533"/>
      <c r="D244" s="1533"/>
      <c r="E244" s="1533"/>
      <c r="F244" s="1538">
        <v>970</v>
      </c>
    </row>
    <row r="245" spans="1:6" s="1515" customFormat="1" ht="14.25" customHeight="1" thickBot="1">
      <c r="A245" s="1527" t="s">
        <v>1538</v>
      </c>
      <c r="B245" s="1528" t="s">
        <v>1539</v>
      </c>
      <c r="C245" s="1528">
        <v>4050</v>
      </c>
      <c r="D245" s="1528">
        <v>4020</v>
      </c>
      <c r="E245" s="1528">
        <v>4160</v>
      </c>
      <c r="F245" s="1529">
        <v>840</v>
      </c>
    </row>
    <row r="246" spans="1:6" s="1515" customFormat="1" ht="14.25" customHeight="1" thickBot="1">
      <c r="A246" s="1527" t="s">
        <v>1538</v>
      </c>
      <c r="B246" s="1521" t="s">
        <v>1203</v>
      </c>
      <c r="C246" s="1521">
        <v>4010</v>
      </c>
      <c r="D246" s="1521">
        <v>3960</v>
      </c>
      <c r="E246" s="1521">
        <v>4130</v>
      </c>
      <c r="F246" s="1535">
        <v>840</v>
      </c>
    </row>
    <row r="247" spans="1:6" s="1515" customFormat="1" ht="14.25" customHeight="1" thickBot="1">
      <c r="A247" s="1527" t="s">
        <v>1538</v>
      </c>
      <c r="B247" s="1521" t="s">
        <v>1540</v>
      </c>
      <c r="C247" s="1521">
        <v>3170</v>
      </c>
      <c r="D247" s="1521">
        <v>3140</v>
      </c>
      <c r="E247" s="1521">
        <v>3270</v>
      </c>
      <c r="F247" s="1535">
        <v>640</v>
      </c>
    </row>
    <row r="248" spans="1:6" s="1515" customFormat="1" ht="14.25" customHeight="1" thickBot="1">
      <c r="A248" s="1527" t="s">
        <v>1538</v>
      </c>
      <c r="B248" s="1521" t="s">
        <v>1541</v>
      </c>
      <c r="C248" s="1521">
        <v>3140</v>
      </c>
      <c r="D248" s="1521">
        <v>3120</v>
      </c>
      <c r="E248" s="1521">
        <v>3240</v>
      </c>
      <c r="F248" s="1535">
        <v>620</v>
      </c>
    </row>
    <row r="249" spans="1:6" s="1515" customFormat="1" ht="14.25" customHeight="1" thickBot="1">
      <c r="A249" s="1527" t="s">
        <v>1538</v>
      </c>
      <c r="B249" s="1521" t="s">
        <v>1241</v>
      </c>
      <c r="C249" s="1521">
        <v>3200</v>
      </c>
      <c r="D249" s="1521">
        <v>3100</v>
      </c>
      <c r="E249" s="1521">
        <v>3230</v>
      </c>
      <c r="F249" s="1535">
        <v>750</v>
      </c>
    </row>
    <row r="250" spans="1:6" s="1515" customFormat="1" ht="14.25" customHeight="1" thickBot="1">
      <c r="A250" s="1527" t="s">
        <v>1538</v>
      </c>
      <c r="B250" s="1521" t="s">
        <v>1252</v>
      </c>
      <c r="C250" s="1521">
        <v>4060</v>
      </c>
      <c r="D250" s="1521">
        <v>4000</v>
      </c>
      <c r="E250" s="1521">
        <v>4140</v>
      </c>
      <c r="F250" s="1535">
        <v>790</v>
      </c>
    </row>
    <row r="251" spans="1:6" s="1515" customFormat="1" ht="14.25" customHeight="1" thickBot="1">
      <c r="A251" s="1527" t="s">
        <v>1538</v>
      </c>
      <c r="B251" s="1521" t="s">
        <v>1263</v>
      </c>
      <c r="C251" s="1521">
        <v>3990</v>
      </c>
      <c r="D251" s="1521">
        <v>3970</v>
      </c>
      <c r="E251" s="1521">
        <v>4110</v>
      </c>
      <c r="F251" s="1535">
        <v>730</v>
      </c>
    </row>
    <row r="252" spans="1:6" s="1515" customFormat="1" ht="14.25" customHeight="1" thickBot="1">
      <c r="A252" s="1527" t="s">
        <v>1538</v>
      </c>
      <c r="B252" s="1521" t="s">
        <v>1274</v>
      </c>
      <c r="C252" s="1521">
        <v>3560</v>
      </c>
      <c r="D252" s="1521">
        <v>3530</v>
      </c>
      <c r="E252" s="1521">
        <v>3650</v>
      </c>
      <c r="F252" s="1535">
        <v>750</v>
      </c>
    </row>
    <row r="253" spans="1:6" s="1515" customFormat="1" ht="14.25" customHeight="1" thickBot="1">
      <c r="A253" s="1527" t="s">
        <v>1538</v>
      </c>
      <c r="B253" s="1521" t="s">
        <v>1286</v>
      </c>
      <c r="C253" s="1521">
        <v>3780</v>
      </c>
      <c r="D253" s="1521">
        <v>3750</v>
      </c>
      <c r="E253" s="1521">
        <v>3870</v>
      </c>
      <c r="F253" s="1535">
        <v>770</v>
      </c>
    </row>
    <row r="254" spans="1:6" s="1515" customFormat="1" ht="14.25" customHeight="1" thickBot="1">
      <c r="A254" s="1527" t="s">
        <v>1538</v>
      </c>
      <c r="B254" s="1521" t="s">
        <v>1296</v>
      </c>
      <c r="C254" s="1540"/>
      <c r="D254" s="1540"/>
      <c r="E254" s="1540"/>
      <c r="F254" s="1535">
        <v>740</v>
      </c>
    </row>
    <row r="255" spans="1:6" s="1515" customFormat="1" ht="14.25" customHeight="1" thickBot="1">
      <c r="A255" s="1527" t="s">
        <v>1538</v>
      </c>
      <c r="B255" s="1521" t="s">
        <v>1306</v>
      </c>
      <c r="C255" s="1540"/>
      <c r="D255" s="1540"/>
      <c r="E255" s="1540"/>
      <c r="F255" s="1535">
        <v>760</v>
      </c>
    </row>
    <row r="256" spans="1:6" s="1515" customFormat="1" ht="14.25" customHeight="1" thickBot="1">
      <c r="A256" s="1527" t="s">
        <v>1538</v>
      </c>
      <c r="B256" s="1521" t="s">
        <v>1316</v>
      </c>
      <c r="C256" s="1521">
        <v>3760</v>
      </c>
      <c r="D256" s="1521">
        <v>3730</v>
      </c>
      <c r="E256" s="1521">
        <v>3870</v>
      </c>
      <c r="F256" s="1535">
        <v>830</v>
      </c>
    </row>
    <row r="257" spans="1:6" s="1515" customFormat="1" ht="14.25" customHeight="1" thickBot="1">
      <c r="A257" s="1527" t="s">
        <v>1538</v>
      </c>
      <c r="B257" s="1521" t="s">
        <v>1326</v>
      </c>
      <c r="C257" s="1521">
        <v>3570</v>
      </c>
      <c r="D257" s="1521">
        <v>3540</v>
      </c>
      <c r="E257" s="1521">
        <v>3650</v>
      </c>
      <c r="F257" s="1535">
        <v>790</v>
      </c>
    </row>
    <row r="258" spans="1:6" s="1515" customFormat="1" ht="14.25" customHeight="1" thickBot="1">
      <c r="A258" s="1527" t="s">
        <v>1538</v>
      </c>
      <c r="B258" s="1521" t="s">
        <v>1337</v>
      </c>
      <c r="C258" s="1521">
        <v>3410</v>
      </c>
      <c r="D258" s="1521">
        <v>3380</v>
      </c>
      <c r="E258" s="1521">
        <v>3500</v>
      </c>
      <c r="F258" s="1535">
        <v>830</v>
      </c>
    </row>
    <row r="259" spans="1:6" s="1515" customFormat="1" ht="14.25" customHeight="1" thickBot="1">
      <c r="A259" s="1527" t="s">
        <v>1538</v>
      </c>
      <c r="B259" s="1521" t="s">
        <v>1348</v>
      </c>
      <c r="C259" s="1521">
        <v>3870</v>
      </c>
      <c r="D259" s="1521">
        <v>3840</v>
      </c>
      <c r="E259" s="1521">
        <v>3970</v>
      </c>
      <c r="F259" s="1535">
        <v>830</v>
      </c>
    </row>
    <row r="260" spans="1:6" s="1515" customFormat="1" ht="14.25" customHeight="1" thickBot="1">
      <c r="A260" s="1527" t="s">
        <v>1538</v>
      </c>
      <c r="B260" s="1521" t="s">
        <v>1358</v>
      </c>
      <c r="C260" s="1521">
        <v>3700</v>
      </c>
      <c r="D260" s="1521">
        <v>3660</v>
      </c>
      <c r="E260" s="1521">
        <v>3810</v>
      </c>
      <c r="F260" s="1535">
        <v>790</v>
      </c>
    </row>
    <row r="261" spans="1:6" s="1515" customFormat="1" ht="14.25" customHeight="1" thickBot="1">
      <c r="A261" s="1527" t="s">
        <v>1538</v>
      </c>
      <c r="B261" s="1521" t="s">
        <v>1368</v>
      </c>
      <c r="C261" s="1521">
        <v>3470</v>
      </c>
      <c r="D261" s="1521">
        <v>3430</v>
      </c>
      <c r="E261" s="1521">
        <v>3640</v>
      </c>
      <c r="F261" s="1535">
        <v>760</v>
      </c>
    </row>
    <row r="262" spans="1:6" s="1515" customFormat="1" ht="14.25" customHeight="1" thickBot="1">
      <c r="A262" s="1527" t="s">
        <v>1538</v>
      </c>
      <c r="B262" s="1521" t="s">
        <v>1378</v>
      </c>
      <c r="C262" s="1521">
        <v>3510</v>
      </c>
      <c r="D262" s="1521">
        <v>3470</v>
      </c>
      <c r="E262" s="1521">
        <v>3680</v>
      </c>
      <c r="F262" s="1539"/>
    </row>
    <row r="263" spans="1:6" s="1515" customFormat="1" ht="14.25" customHeight="1" thickBot="1">
      <c r="A263" s="1527" t="s">
        <v>1538</v>
      </c>
      <c r="B263" s="1521" t="s">
        <v>1388</v>
      </c>
      <c r="C263" s="1521">
        <v>3960</v>
      </c>
      <c r="D263" s="1521">
        <v>3930</v>
      </c>
      <c r="E263" s="1521">
        <v>4070</v>
      </c>
      <c r="F263" s="1535">
        <v>830</v>
      </c>
    </row>
    <row r="264" spans="1:6" s="1515" customFormat="1" ht="14.25" customHeight="1" thickBot="1">
      <c r="A264" s="1527" t="s">
        <v>1538</v>
      </c>
      <c r="B264" s="1521" t="s">
        <v>1397</v>
      </c>
      <c r="C264" s="1521">
        <v>4010</v>
      </c>
      <c r="D264" s="1521">
        <v>3980</v>
      </c>
      <c r="E264" s="1521">
        <v>4150</v>
      </c>
      <c r="F264" s="1535">
        <v>760</v>
      </c>
    </row>
    <row r="265" spans="1:6" s="1515" customFormat="1" ht="14.25" customHeight="1" thickBot="1">
      <c r="A265" s="1527" t="s">
        <v>1538</v>
      </c>
      <c r="B265" s="1521" t="s">
        <v>1406</v>
      </c>
      <c r="C265" s="1521">
        <v>3910</v>
      </c>
      <c r="D265" s="1521">
        <v>3890</v>
      </c>
      <c r="E265" s="1521">
        <v>4040</v>
      </c>
      <c r="F265" s="1535">
        <v>780</v>
      </c>
    </row>
    <row r="266" spans="1:6" s="1515" customFormat="1" ht="14.25" customHeight="1" thickBot="1">
      <c r="A266" s="1527" t="s">
        <v>1538</v>
      </c>
      <c r="B266" s="1521" t="s">
        <v>1414</v>
      </c>
      <c r="C266" s="1521">
        <v>3930</v>
      </c>
      <c r="D266" s="1521">
        <v>3900</v>
      </c>
      <c r="E266" s="1521">
        <v>4080</v>
      </c>
      <c r="F266" s="1535">
        <v>770</v>
      </c>
    </row>
    <row r="267" spans="1:6" s="1515" customFormat="1" ht="14.25" customHeight="1" thickBot="1">
      <c r="A267" s="1527" t="s">
        <v>1538</v>
      </c>
      <c r="B267" s="1521" t="s">
        <v>1421</v>
      </c>
      <c r="C267" s="1521">
        <v>3800</v>
      </c>
      <c r="D267" s="1521">
        <v>3780</v>
      </c>
      <c r="E267" s="1521">
        <v>3930</v>
      </c>
      <c r="F267" s="1539"/>
    </row>
    <row r="268" spans="1:6" s="1515" customFormat="1" ht="14.25" customHeight="1" thickBot="1">
      <c r="A268" s="1527" t="s">
        <v>1538</v>
      </c>
      <c r="B268" s="1521" t="s">
        <v>1428</v>
      </c>
      <c r="C268" s="1521">
        <v>3460</v>
      </c>
      <c r="D268" s="1521">
        <v>3430</v>
      </c>
      <c r="E268" s="1521">
        <v>3560</v>
      </c>
      <c r="F268" s="1535">
        <v>840</v>
      </c>
    </row>
    <row r="269" spans="1:6" s="1515" customFormat="1" ht="14.25" customHeight="1" thickBot="1">
      <c r="A269" s="1527" t="s">
        <v>1538</v>
      </c>
      <c r="B269" s="1521" t="s">
        <v>1435</v>
      </c>
      <c r="C269" s="1521">
        <v>3210</v>
      </c>
      <c r="D269" s="1521">
        <v>3190</v>
      </c>
      <c r="E269" s="1521">
        <v>3310</v>
      </c>
      <c r="F269" s="1535">
        <v>730</v>
      </c>
    </row>
    <row r="270" spans="1:6" s="1515" customFormat="1" ht="14.25" customHeight="1" thickBot="1">
      <c r="A270" s="1527" t="s">
        <v>1538</v>
      </c>
      <c r="B270" s="1521" t="s">
        <v>1442</v>
      </c>
      <c r="C270" s="1521">
        <v>3240</v>
      </c>
      <c r="D270" s="1521">
        <v>3210</v>
      </c>
      <c r="E270" s="1521">
        <v>3390</v>
      </c>
      <c r="F270" s="1535">
        <v>820</v>
      </c>
    </row>
    <row r="271" spans="1:6" s="1515" customFormat="1" ht="14.25" customHeight="1" thickBot="1">
      <c r="A271" s="1527" t="s">
        <v>1538</v>
      </c>
      <c r="B271" s="1521" t="s">
        <v>1449</v>
      </c>
      <c r="C271" s="1521">
        <v>3300</v>
      </c>
      <c r="D271" s="1521">
        <v>3270</v>
      </c>
      <c r="E271" s="1521">
        <v>3380</v>
      </c>
      <c r="F271" s="1535">
        <v>750</v>
      </c>
    </row>
    <row r="272" spans="1:6" s="1515" customFormat="1" ht="14.25" customHeight="1" thickBot="1">
      <c r="A272" s="1527" t="s">
        <v>1538</v>
      </c>
      <c r="B272" s="1521" t="s">
        <v>1456</v>
      </c>
      <c r="C272" s="1540"/>
      <c r="D272" s="1540"/>
      <c r="E272" s="1540"/>
      <c r="F272" s="1535">
        <v>740</v>
      </c>
    </row>
    <row r="273" spans="1:6" s="1515" customFormat="1" ht="14.25" customHeight="1" thickBot="1">
      <c r="A273" s="1527" t="s">
        <v>1538</v>
      </c>
      <c r="B273" s="1521" t="s">
        <v>1460</v>
      </c>
      <c r="C273" s="1521">
        <v>3130</v>
      </c>
      <c r="D273" s="1521">
        <v>3100</v>
      </c>
      <c r="E273" s="1521">
        <v>3230</v>
      </c>
      <c r="F273" s="1535">
        <v>700</v>
      </c>
    </row>
    <row r="274" spans="1:6" s="1515" customFormat="1" ht="14.25" customHeight="1" thickBot="1">
      <c r="A274" s="1527" t="s">
        <v>1538</v>
      </c>
      <c r="B274" s="1521" t="s">
        <v>1465</v>
      </c>
      <c r="C274" s="1521">
        <v>3460</v>
      </c>
      <c r="D274" s="1521">
        <v>3430</v>
      </c>
      <c r="E274" s="1521">
        <v>3560</v>
      </c>
      <c r="F274" s="1535">
        <v>690</v>
      </c>
    </row>
    <row r="275" spans="1:6" s="1515" customFormat="1" ht="14.25" customHeight="1" thickBot="1">
      <c r="A275" s="1527" t="s">
        <v>1538</v>
      </c>
      <c r="B275" s="1521" t="s">
        <v>1470</v>
      </c>
      <c r="C275" s="1521">
        <v>4040</v>
      </c>
      <c r="D275" s="1521">
        <v>4020</v>
      </c>
      <c r="E275" s="1521">
        <v>4160</v>
      </c>
      <c r="F275" s="1535">
        <v>820</v>
      </c>
    </row>
    <row r="276" spans="1:6" s="1515" customFormat="1" ht="14.25" customHeight="1" thickBot="1">
      <c r="A276" s="1527" t="s">
        <v>1538</v>
      </c>
      <c r="B276" s="1521" t="s">
        <v>1475</v>
      </c>
      <c r="C276" s="1521">
        <v>3270</v>
      </c>
      <c r="D276" s="1521">
        <v>3240</v>
      </c>
      <c r="E276" s="1521">
        <v>3350</v>
      </c>
      <c r="F276" s="1535">
        <v>680</v>
      </c>
    </row>
    <row r="277" spans="1:6" s="1515" customFormat="1" ht="14.25" customHeight="1" thickBot="1">
      <c r="A277" s="1527" t="s">
        <v>1538</v>
      </c>
      <c r="B277" s="1521" t="s">
        <v>1480</v>
      </c>
      <c r="C277" s="1521">
        <v>2930</v>
      </c>
      <c r="D277" s="1521">
        <v>2900</v>
      </c>
      <c r="E277" s="1521">
        <v>3000</v>
      </c>
      <c r="F277" s="1535">
        <v>640</v>
      </c>
    </row>
    <row r="278" spans="1:6" s="1515" customFormat="1" ht="14.25" customHeight="1" thickBot="1">
      <c r="A278" s="1527" t="s">
        <v>1538</v>
      </c>
      <c r="B278" s="1521" t="s">
        <v>1485</v>
      </c>
      <c r="C278" s="1521">
        <v>4080</v>
      </c>
      <c r="D278" s="1521">
        <v>4030</v>
      </c>
      <c r="E278" s="1521">
        <v>4140</v>
      </c>
      <c r="F278" s="1535">
        <v>850</v>
      </c>
    </row>
    <row r="279" spans="1:6" s="1515" customFormat="1" ht="14.25" customHeight="1" thickBot="1">
      <c r="A279" s="1527" t="s">
        <v>1538</v>
      </c>
      <c r="B279" s="1521" t="s">
        <v>1489</v>
      </c>
      <c r="C279" s="1521"/>
      <c r="D279" s="1521"/>
      <c r="E279" s="1521"/>
      <c r="F279" s="1535">
        <v>760</v>
      </c>
    </row>
    <row r="280" spans="1:6" s="1515" customFormat="1" ht="14.25" customHeight="1" thickBot="1">
      <c r="A280" s="1527" t="s">
        <v>1538</v>
      </c>
      <c r="B280" s="1521" t="s">
        <v>1493</v>
      </c>
      <c r="C280" s="1521"/>
      <c r="D280" s="1521"/>
      <c r="E280" s="1521"/>
      <c r="F280" s="1535">
        <v>760</v>
      </c>
    </row>
    <row r="281" spans="1:6" s="1515" customFormat="1" ht="14.25" customHeight="1" thickBot="1">
      <c r="A281" s="1527" t="s">
        <v>1538</v>
      </c>
      <c r="B281" s="1521" t="s">
        <v>1497</v>
      </c>
      <c r="C281" s="1521"/>
      <c r="D281" s="1521"/>
      <c r="E281" s="1521"/>
      <c r="F281" s="1535">
        <v>780</v>
      </c>
    </row>
    <row r="282" spans="1:6" s="1515" customFormat="1" ht="14.25" customHeight="1" thickBot="1">
      <c r="A282" s="1527" t="s">
        <v>1538</v>
      </c>
      <c r="B282" s="1521" t="s">
        <v>1501</v>
      </c>
      <c r="C282" s="1521"/>
      <c r="D282" s="1521"/>
      <c r="E282" s="1521"/>
      <c r="F282" s="1535">
        <v>730</v>
      </c>
    </row>
    <row r="283" spans="1:6" s="1515" customFormat="1" ht="14.25" customHeight="1" thickBot="1">
      <c r="A283" s="1527" t="s">
        <v>1538</v>
      </c>
      <c r="B283" s="1521" t="s">
        <v>1505</v>
      </c>
      <c r="C283" s="1521"/>
      <c r="D283" s="1521"/>
      <c r="E283" s="1521"/>
      <c r="F283" s="1535">
        <v>770</v>
      </c>
    </row>
    <row r="284" spans="1:6" s="1515" customFormat="1" ht="14.25" customHeight="1" thickBot="1">
      <c r="A284" s="1527" t="s">
        <v>1538</v>
      </c>
      <c r="B284" s="1521" t="s">
        <v>1508</v>
      </c>
      <c r="C284" s="1521"/>
      <c r="D284" s="1521"/>
      <c r="E284" s="1521"/>
      <c r="F284" s="1535">
        <v>640</v>
      </c>
    </row>
    <row r="285" spans="1:6" s="1515" customFormat="1" ht="14.25" customHeight="1" thickBot="1">
      <c r="A285" s="1527" t="s">
        <v>1538</v>
      </c>
      <c r="B285" s="1521" t="s">
        <v>1511</v>
      </c>
      <c r="C285" s="1521"/>
      <c r="D285" s="1521"/>
      <c r="E285" s="1521"/>
      <c r="F285" s="1535">
        <v>640</v>
      </c>
    </row>
    <row r="286" spans="1:6" s="1515" customFormat="1" ht="14.25" customHeight="1" thickBot="1">
      <c r="A286" s="1527" t="s">
        <v>1538</v>
      </c>
      <c r="B286" s="1521" t="s">
        <v>1514</v>
      </c>
      <c r="C286" s="1521"/>
      <c r="D286" s="1521"/>
      <c r="E286" s="1521"/>
      <c r="F286" s="1535">
        <v>850</v>
      </c>
    </row>
    <row r="287" spans="1:6" s="1515" customFormat="1" ht="14.25" customHeight="1" thickBot="1">
      <c r="A287" s="1527" t="s">
        <v>1538</v>
      </c>
      <c r="B287" s="1521" t="s">
        <v>1517</v>
      </c>
      <c r="C287" s="1521"/>
      <c r="D287" s="1521"/>
      <c r="E287" s="1521"/>
      <c r="F287" s="1535">
        <v>760</v>
      </c>
    </row>
    <row r="288" spans="1:6" s="1515" customFormat="1" ht="14.25" customHeight="1" thickBot="1">
      <c r="A288" s="1527" t="s">
        <v>1538</v>
      </c>
      <c r="B288" s="1521" t="s">
        <v>1520</v>
      </c>
      <c r="C288" s="1521"/>
      <c r="D288" s="1521"/>
      <c r="E288" s="1521"/>
      <c r="F288" s="1535">
        <v>830</v>
      </c>
    </row>
    <row r="289" spans="1:6" s="1515" customFormat="1" ht="14.25" customHeight="1" thickBot="1">
      <c r="A289" s="1527" t="s">
        <v>1538</v>
      </c>
      <c r="B289" s="1533" t="s">
        <v>1523</v>
      </c>
      <c r="C289" s="1533"/>
      <c r="D289" s="1533"/>
      <c r="E289" s="1533"/>
      <c r="F289" s="1538">
        <v>680</v>
      </c>
    </row>
    <row r="290" spans="1:6" s="1515" customFormat="1" ht="14.25" customHeight="1" thickBot="1">
      <c r="A290" s="1527" t="s">
        <v>1542</v>
      </c>
      <c r="B290" s="1528" t="s">
        <v>1543</v>
      </c>
      <c r="C290" s="1528">
        <v>2770</v>
      </c>
      <c r="D290" s="1528">
        <v>2740</v>
      </c>
      <c r="E290" s="1528">
        <v>2720</v>
      </c>
      <c r="F290" s="1541"/>
    </row>
    <row r="291" spans="1:6" s="1515" customFormat="1" ht="14.25" customHeight="1" thickBot="1">
      <c r="A291" s="1527" t="s">
        <v>1542</v>
      </c>
      <c r="B291" s="1521" t="s">
        <v>1204</v>
      </c>
      <c r="C291" s="1521">
        <v>2670</v>
      </c>
      <c r="D291" s="1521">
        <v>2640</v>
      </c>
      <c r="E291" s="1521">
        <v>2620</v>
      </c>
      <c r="F291" s="1539"/>
    </row>
    <row r="292" spans="1:6" s="1515" customFormat="1" ht="14.25" customHeight="1" thickBot="1">
      <c r="A292" s="1527" t="s">
        <v>1542</v>
      </c>
      <c r="B292" s="1521" t="s">
        <v>1544</v>
      </c>
      <c r="C292" s="1521">
        <v>2180</v>
      </c>
      <c r="D292" s="1521">
        <v>2140</v>
      </c>
      <c r="E292" s="1521">
        <v>2120</v>
      </c>
      <c r="F292" s="1535">
        <v>490</v>
      </c>
    </row>
    <row r="293" spans="1:6" s="1515" customFormat="1" ht="14.25" customHeight="1" thickBot="1">
      <c r="A293" s="1527" t="s">
        <v>1542</v>
      </c>
      <c r="B293" s="1521" t="s">
        <v>1545</v>
      </c>
      <c r="C293" s="1521"/>
      <c r="D293" s="1521"/>
      <c r="E293" s="1521"/>
      <c r="F293" s="1535">
        <v>470</v>
      </c>
    </row>
    <row r="294" spans="1:6" s="1515" customFormat="1" ht="14.25" customHeight="1" thickBot="1">
      <c r="A294" s="1527" t="s">
        <v>1542</v>
      </c>
      <c r="B294" s="1521" t="s">
        <v>1546</v>
      </c>
      <c r="C294" s="1521">
        <v>2730</v>
      </c>
      <c r="D294" s="1521">
        <v>2700</v>
      </c>
      <c r="E294" s="1521">
        <v>2680</v>
      </c>
      <c r="F294" s="1535">
        <v>490</v>
      </c>
    </row>
    <row r="295" spans="1:6" s="1515" customFormat="1" ht="14.25" customHeight="1" thickBot="1">
      <c r="A295" s="1527" t="s">
        <v>1542</v>
      </c>
      <c r="B295" s="1521" t="s">
        <v>1242</v>
      </c>
      <c r="C295" s="1521">
        <v>2380</v>
      </c>
      <c r="D295" s="1521">
        <v>2350</v>
      </c>
      <c r="E295" s="1521">
        <v>2330</v>
      </c>
      <c r="F295" s="1535">
        <v>530</v>
      </c>
    </row>
    <row r="296" spans="1:6" s="1515" customFormat="1" ht="14.25" customHeight="1" thickBot="1">
      <c r="A296" s="1527" t="s">
        <v>1542</v>
      </c>
      <c r="B296" s="1521" t="s">
        <v>1253</v>
      </c>
      <c r="C296" s="1521">
        <v>2650</v>
      </c>
      <c r="D296" s="1521">
        <v>2620</v>
      </c>
      <c r="E296" s="1521">
        <v>2590</v>
      </c>
      <c r="F296" s="1535">
        <v>590</v>
      </c>
    </row>
    <row r="297" spans="1:6" s="1515" customFormat="1" ht="14.25" customHeight="1" thickBot="1">
      <c r="A297" s="1527" t="s">
        <v>1542</v>
      </c>
      <c r="B297" s="1521" t="s">
        <v>1264</v>
      </c>
      <c r="C297" s="1521">
        <v>2700</v>
      </c>
      <c r="D297" s="1521">
        <v>2670</v>
      </c>
      <c r="E297" s="1521">
        <v>2650</v>
      </c>
      <c r="F297" s="1535">
        <v>630</v>
      </c>
    </row>
    <row r="298" spans="1:6" s="1515" customFormat="1" ht="14.25" customHeight="1" thickBot="1">
      <c r="A298" s="1527" t="s">
        <v>1542</v>
      </c>
      <c r="B298" s="1521" t="s">
        <v>1275</v>
      </c>
      <c r="C298" s="1521">
        <v>2650</v>
      </c>
      <c r="D298" s="1521">
        <v>2620</v>
      </c>
      <c r="E298" s="1521">
        <v>2590</v>
      </c>
      <c r="F298" s="1535">
        <v>640</v>
      </c>
    </row>
    <row r="299" spans="1:6" s="1515" customFormat="1" ht="14.25" customHeight="1" thickBot="1">
      <c r="A299" s="1527" t="s">
        <v>1542</v>
      </c>
      <c r="B299" s="1521" t="s">
        <v>1287</v>
      </c>
      <c r="C299" s="1521">
        <v>2500</v>
      </c>
      <c r="D299" s="1521">
        <v>2480</v>
      </c>
      <c r="E299" s="1521">
        <v>2460</v>
      </c>
      <c r="F299" s="1539"/>
    </row>
    <row r="300" spans="1:6" s="1515" customFormat="1" ht="14.25" customHeight="1" thickBot="1">
      <c r="A300" s="1527" t="s">
        <v>1542</v>
      </c>
      <c r="B300" s="1521" t="s">
        <v>1297</v>
      </c>
      <c r="C300" s="1521">
        <v>2760</v>
      </c>
      <c r="D300" s="1521">
        <v>2730</v>
      </c>
      <c r="E300" s="1521">
        <v>2700</v>
      </c>
      <c r="F300" s="1535">
        <v>630</v>
      </c>
    </row>
    <row r="301" spans="1:6" s="1515" customFormat="1" ht="14.25" customHeight="1" thickBot="1">
      <c r="A301" s="1527" t="s">
        <v>1542</v>
      </c>
      <c r="B301" s="1521" t="s">
        <v>1307</v>
      </c>
      <c r="C301" s="1521">
        <v>2510</v>
      </c>
      <c r="D301" s="1521">
        <v>2480</v>
      </c>
      <c r="E301" s="1521">
        <v>2460</v>
      </c>
      <c r="F301" s="1539"/>
    </row>
    <row r="302" spans="1:6" s="1515" customFormat="1" ht="14.25" customHeight="1" thickBot="1">
      <c r="A302" s="1527" t="s">
        <v>1542</v>
      </c>
      <c r="B302" s="1521" t="s">
        <v>1317</v>
      </c>
      <c r="C302" s="1521">
        <v>2480</v>
      </c>
      <c r="D302" s="1521">
        <v>2450</v>
      </c>
      <c r="E302" s="1521">
        <v>2420</v>
      </c>
      <c r="F302" s="1535">
        <v>600</v>
      </c>
    </row>
    <row r="303" spans="1:6" s="1515" customFormat="1" ht="14.25" customHeight="1" thickBot="1">
      <c r="A303" s="1527" t="s">
        <v>1542</v>
      </c>
      <c r="B303" s="1521" t="s">
        <v>1327</v>
      </c>
      <c r="C303" s="1521">
        <v>2270</v>
      </c>
      <c r="D303" s="1521">
        <v>2240</v>
      </c>
      <c r="E303" s="1521">
        <v>2210</v>
      </c>
      <c r="F303" s="1535">
        <v>540</v>
      </c>
    </row>
    <row r="304" spans="1:6" s="1515" customFormat="1" ht="14.25" customHeight="1" thickBot="1">
      <c r="A304" s="1527" t="s">
        <v>1542</v>
      </c>
      <c r="B304" s="1521" t="s">
        <v>1338</v>
      </c>
      <c r="C304" s="1521">
        <v>2310</v>
      </c>
      <c r="D304" s="1521">
        <v>2290</v>
      </c>
      <c r="E304" s="1521">
        <v>2270</v>
      </c>
      <c r="F304" s="1539"/>
    </row>
    <row r="305" spans="1:6" s="1515" customFormat="1" ht="14.25" customHeight="1" thickBot="1">
      <c r="A305" s="1527" t="s">
        <v>1542</v>
      </c>
      <c r="B305" s="1521" t="s">
        <v>1349</v>
      </c>
      <c r="C305" s="1521">
        <v>2490</v>
      </c>
      <c r="D305" s="1521">
        <v>2470</v>
      </c>
      <c r="E305" s="1521">
        <v>2440</v>
      </c>
      <c r="F305" s="1535">
        <v>560</v>
      </c>
    </row>
    <row r="306" spans="1:6" s="1515" customFormat="1" ht="14.25" customHeight="1" thickBot="1">
      <c r="A306" s="1527" t="s">
        <v>1542</v>
      </c>
      <c r="B306" s="1521" t="s">
        <v>1359</v>
      </c>
      <c r="C306" s="1521">
        <v>2420</v>
      </c>
      <c r="D306" s="1521">
        <v>2400</v>
      </c>
      <c r="E306" s="1521">
        <v>2380</v>
      </c>
      <c r="F306" s="1539"/>
    </row>
    <row r="307" spans="1:6" s="1515" customFormat="1" ht="14.25" customHeight="1" thickBot="1">
      <c r="A307" s="1527" t="s">
        <v>1542</v>
      </c>
      <c r="B307" s="1521" t="s">
        <v>1369</v>
      </c>
      <c r="C307" s="1521">
        <v>2770</v>
      </c>
      <c r="D307" s="1521">
        <v>2740</v>
      </c>
      <c r="E307" s="1521">
        <v>2710</v>
      </c>
      <c r="F307" s="1535">
        <v>650</v>
      </c>
    </row>
    <row r="308" spans="1:6" s="1515" customFormat="1" ht="14.25" customHeight="1" thickBot="1">
      <c r="A308" s="1527" t="s">
        <v>1542</v>
      </c>
      <c r="B308" s="1521" t="s">
        <v>1379</v>
      </c>
      <c r="C308" s="1521">
        <v>2610</v>
      </c>
      <c r="D308" s="1521">
        <v>2580</v>
      </c>
      <c r="E308" s="1521">
        <v>2550</v>
      </c>
      <c r="F308" s="1535">
        <v>580</v>
      </c>
    </row>
    <row r="309" spans="1:6" s="1515" customFormat="1" ht="14.25" customHeight="1" thickBot="1">
      <c r="A309" s="1527" t="s">
        <v>1542</v>
      </c>
      <c r="B309" s="1521" t="s">
        <v>1389</v>
      </c>
      <c r="C309" s="1521">
        <v>2690</v>
      </c>
      <c r="D309" s="1521">
        <v>2670</v>
      </c>
      <c r="E309" s="1521">
        <v>2650</v>
      </c>
      <c r="F309" s="1539"/>
    </row>
    <row r="310" spans="1:6" s="1515" customFormat="1" ht="14.25" customHeight="1" thickBot="1">
      <c r="A310" s="1527" t="s">
        <v>1542</v>
      </c>
      <c r="B310" s="1521" t="s">
        <v>1398</v>
      </c>
      <c r="C310" s="1521">
        <v>2360</v>
      </c>
      <c r="D310" s="1521">
        <v>2330</v>
      </c>
      <c r="E310" s="1521">
        <v>2310</v>
      </c>
      <c r="F310" s="1535">
        <v>560</v>
      </c>
    </row>
    <row r="311" spans="1:6" s="1515" customFormat="1" ht="14.25" customHeight="1" thickBot="1">
      <c r="A311" s="1527" t="s">
        <v>1542</v>
      </c>
      <c r="B311" s="1521" t="s">
        <v>1407</v>
      </c>
      <c r="C311" s="1521">
        <v>1970</v>
      </c>
      <c r="D311" s="1521">
        <v>1950</v>
      </c>
      <c r="E311" s="1521">
        <v>1920</v>
      </c>
      <c r="F311" s="1535">
        <v>470</v>
      </c>
    </row>
    <row r="312" spans="1:6" s="1515" customFormat="1" ht="14.25" customHeight="1" thickBot="1">
      <c r="A312" s="1527" t="s">
        <v>1542</v>
      </c>
      <c r="B312" s="1521" t="s">
        <v>1415</v>
      </c>
      <c r="C312" s="1521">
        <v>2230</v>
      </c>
      <c r="D312" s="1521">
        <v>2200</v>
      </c>
      <c r="E312" s="1521">
        <v>2170</v>
      </c>
      <c r="F312" s="1535">
        <v>460</v>
      </c>
    </row>
    <row r="313" spans="1:6" s="1515" customFormat="1" ht="14.25" customHeight="1" thickBot="1">
      <c r="A313" s="1527" t="s">
        <v>1542</v>
      </c>
      <c r="B313" s="1521" t="s">
        <v>1422</v>
      </c>
      <c r="C313" s="1521">
        <v>2770</v>
      </c>
      <c r="D313" s="1521">
        <v>2740</v>
      </c>
      <c r="E313" s="1521">
        <v>2710</v>
      </c>
      <c r="F313" s="1535">
        <v>610</v>
      </c>
    </row>
    <row r="314" spans="1:6" s="1515" customFormat="1" ht="14.25" customHeight="1" thickBot="1">
      <c r="A314" s="1527" t="s">
        <v>1542</v>
      </c>
      <c r="B314" s="1521" t="s">
        <v>1429</v>
      </c>
      <c r="C314" s="1521"/>
      <c r="D314" s="1521"/>
      <c r="E314" s="1521"/>
      <c r="F314" s="1535">
        <v>490</v>
      </c>
    </row>
    <row r="315" spans="1:6" s="1515" customFormat="1" ht="14.25" customHeight="1" thickBot="1">
      <c r="A315" s="1527" t="s">
        <v>1542</v>
      </c>
      <c r="B315" s="1521" t="s">
        <v>1436</v>
      </c>
      <c r="C315" s="1521"/>
      <c r="D315" s="1521"/>
      <c r="E315" s="1521"/>
      <c r="F315" s="1535">
        <v>520</v>
      </c>
    </row>
    <row r="316" spans="1:6" s="1515" customFormat="1" ht="14.25" customHeight="1" thickBot="1">
      <c r="A316" s="1527" t="s">
        <v>1542</v>
      </c>
      <c r="B316" s="1533" t="s">
        <v>1443</v>
      </c>
      <c r="C316" s="1533"/>
      <c r="D316" s="1533"/>
      <c r="E316" s="1533"/>
      <c r="F316" s="1538">
        <v>460</v>
      </c>
    </row>
    <row r="317" spans="1:6" s="1515" customFormat="1" ht="14.25" customHeight="1" thickBot="1">
      <c r="A317" s="1527" t="s">
        <v>1329</v>
      </c>
      <c r="B317" s="1528" t="s">
        <v>1547</v>
      </c>
      <c r="C317" s="1528">
        <v>1200</v>
      </c>
      <c r="D317" s="1528">
        <v>1180</v>
      </c>
      <c r="E317" s="1528">
        <v>1160</v>
      </c>
      <c r="F317" s="1529">
        <v>370</v>
      </c>
    </row>
    <row r="318" spans="1:6" s="1515" customFormat="1" ht="14.25" customHeight="1" thickBot="1">
      <c r="A318" s="1527" t="s">
        <v>1329</v>
      </c>
      <c r="B318" s="1521" t="s">
        <v>1548</v>
      </c>
      <c r="C318" s="1521">
        <v>1090</v>
      </c>
      <c r="D318" s="1521">
        <v>1060</v>
      </c>
      <c r="E318" s="1521">
        <v>1040</v>
      </c>
      <c r="F318" s="1539"/>
    </row>
    <row r="319" spans="1:6" s="1515" customFormat="1" ht="14.25" customHeight="1" thickBot="1">
      <c r="A319" s="1527" t="s">
        <v>1329</v>
      </c>
      <c r="B319" s="1521" t="s">
        <v>1549</v>
      </c>
      <c r="C319" s="1521">
        <v>1520</v>
      </c>
      <c r="D319" s="1521">
        <v>1470</v>
      </c>
      <c r="E319" s="1521">
        <v>1440</v>
      </c>
      <c r="F319" s="1535">
        <v>370</v>
      </c>
    </row>
    <row r="320" spans="1:6" s="1515" customFormat="1" ht="14.25" customHeight="1" thickBot="1">
      <c r="A320" s="1527" t="s">
        <v>1329</v>
      </c>
      <c r="B320" s="1521" t="s">
        <v>1231</v>
      </c>
      <c r="C320" s="1521">
        <v>1360</v>
      </c>
      <c r="D320" s="1521">
        <v>1300</v>
      </c>
      <c r="E320" s="1521">
        <v>1270</v>
      </c>
      <c r="F320" s="1539"/>
    </row>
    <row r="321" spans="1:6" s="1515" customFormat="1" ht="14.25" customHeight="1" thickBot="1">
      <c r="A321" s="1527" t="s">
        <v>1329</v>
      </c>
      <c r="B321" s="1521" t="s">
        <v>1243</v>
      </c>
      <c r="C321" s="1521">
        <v>1750</v>
      </c>
      <c r="D321" s="1521">
        <v>1690</v>
      </c>
      <c r="E321" s="1521">
        <v>1660</v>
      </c>
      <c r="F321" s="1539"/>
    </row>
    <row r="322" spans="1:6" s="1515" customFormat="1" ht="14.25" customHeight="1" thickBot="1">
      <c r="A322" s="1527" t="s">
        <v>1329</v>
      </c>
      <c r="B322" s="1521" t="s">
        <v>1254</v>
      </c>
      <c r="C322" s="1521">
        <v>1650</v>
      </c>
      <c r="D322" s="1521">
        <v>1610</v>
      </c>
      <c r="E322" s="1521">
        <v>1580</v>
      </c>
      <c r="F322" s="1535">
        <v>500</v>
      </c>
    </row>
    <row r="323" spans="1:6" s="1515" customFormat="1" ht="14.25" customHeight="1" thickBot="1">
      <c r="A323" s="1527" t="s">
        <v>1329</v>
      </c>
      <c r="B323" s="1521" t="s">
        <v>1265</v>
      </c>
      <c r="C323" s="1521">
        <v>1780</v>
      </c>
      <c r="D323" s="1521">
        <v>1740</v>
      </c>
      <c r="E323" s="1521">
        <v>1720</v>
      </c>
      <c r="F323" s="1539"/>
    </row>
    <row r="324" spans="1:6" s="1515" customFormat="1" ht="14.25" customHeight="1" thickBot="1">
      <c r="A324" s="1527" t="s">
        <v>1329</v>
      </c>
      <c r="B324" s="1521" t="s">
        <v>1276</v>
      </c>
      <c r="C324" s="1521">
        <v>1650</v>
      </c>
      <c r="D324" s="1521">
        <v>1610</v>
      </c>
      <c r="E324" s="1521">
        <v>1580</v>
      </c>
      <c r="F324" s="1539"/>
    </row>
    <row r="325" spans="1:6" s="1515" customFormat="1" ht="14.25" customHeight="1" thickBot="1">
      <c r="A325" s="1527" t="s">
        <v>1329</v>
      </c>
      <c r="B325" s="1521" t="s">
        <v>1288</v>
      </c>
      <c r="C325" s="1521">
        <v>1330</v>
      </c>
      <c r="D325" s="1521">
        <v>1270</v>
      </c>
      <c r="E325" s="1521">
        <v>1240</v>
      </c>
      <c r="F325" s="1535">
        <v>430</v>
      </c>
    </row>
    <row r="326" spans="1:6" s="1515" customFormat="1" ht="14.25" customHeight="1" thickBot="1">
      <c r="A326" s="1527" t="s">
        <v>1329</v>
      </c>
      <c r="B326" s="1521" t="s">
        <v>1298</v>
      </c>
      <c r="C326" s="1521">
        <v>1470</v>
      </c>
      <c r="D326" s="1521">
        <v>1430</v>
      </c>
      <c r="E326" s="1521">
        <v>1400</v>
      </c>
      <c r="F326" s="1539"/>
    </row>
    <row r="327" spans="1:6" s="1515" customFormat="1" ht="14.25" customHeight="1" thickBot="1">
      <c r="A327" s="1527" t="s">
        <v>1329</v>
      </c>
      <c r="B327" s="1521" t="s">
        <v>1308</v>
      </c>
      <c r="C327" s="1521">
        <v>1420</v>
      </c>
      <c r="D327" s="1521">
        <v>1380</v>
      </c>
      <c r="E327" s="1521">
        <v>1360</v>
      </c>
      <c r="F327" s="1535">
        <v>420</v>
      </c>
    </row>
    <row r="328" spans="1:6" s="1515" customFormat="1" ht="14.25" customHeight="1" thickBot="1">
      <c r="A328" s="1527" t="s">
        <v>1329</v>
      </c>
      <c r="B328" s="1521" t="s">
        <v>1318</v>
      </c>
      <c r="C328" s="1521">
        <v>1400</v>
      </c>
      <c r="D328" s="1521">
        <v>1360</v>
      </c>
      <c r="E328" s="1521">
        <v>1330</v>
      </c>
      <c r="F328" s="1535">
        <v>460</v>
      </c>
    </row>
    <row r="329" spans="1:6" s="1515" customFormat="1" ht="14.25" customHeight="1" thickBot="1">
      <c r="A329" s="1527" t="s">
        <v>1329</v>
      </c>
      <c r="B329" s="1521" t="s">
        <v>1328</v>
      </c>
      <c r="C329" s="1521">
        <v>1640</v>
      </c>
      <c r="D329" s="1521">
        <v>1610</v>
      </c>
      <c r="E329" s="1521">
        <v>1580</v>
      </c>
      <c r="F329" s="1535">
        <v>410</v>
      </c>
    </row>
    <row r="330" spans="1:6" s="1515" customFormat="1" ht="14.25" customHeight="1" thickBot="1">
      <c r="A330" s="1527" t="s">
        <v>1329</v>
      </c>
      <c r="B330" s="1521" t="s">
        <v>1339</v>
      </c>
      <c r="C330" s="1521">
        <v>1260</v>
      </c>
      <c r="D330" s="1521">
        <v>1220</v>
      </c>
      <c r="E330" s="1521">
        <v>1200</v>
      </c>
      <c r="F330" s="1539"/>
    </row>
    <row r="331" spans="1:6" s="1515" customFormat="1" ht="14.25" customHeight="1" thickBot="1">
      <c r="A331" s="1527" t="s">
        <v>1329</v>
      </c>
      <c r="B331" s="1521" t="s">
        <v>1350</v>
      </c>
      <c r="C331" s="1521">
        <v>1620</v>
      </c>
      <c r="D331" s="1521">
        <v>1560</v>
      </c>
      <c r="E331" s="1521">
        <v>1530</v>
      </c>
      <c r="F331" s="1535">
        <v>490</v>
      </c>
    </row>
    <row r="332" spans="1:6" s="1515" customFormat="1" ht="14.25" customHeight="1" thickBot="1">
      <c r="A332" s="1527" t="s">
        <v>1329</v>
      </c>
      <c r="B332" s="1521" t="s">
        <v>1360</v>
      </c>
      <c r="C332" s="1521">
        <v>1520</v>
      </c>
      <c r="D332" s="1521">
        <v>1470</v>
      </c>
      <c r="E332" s="1521">
        <v>1440</v>
      </c>
      <c r="F332" s="1535">
        <v>440</v>
      </c>
    </row>
    <row r="333" spans="1:6" s="1515" customFormat="1" ht="14.25" customHeight="1" thickBot="1">
      <c r="A333" s="1527" t="s">
        <v>1329</v>
      </c>
      <c r="B333" s="1521" t="s">
        <v>1370</v>
      </c>
      <c r="C333" s="1521">
        <v>1370</v>
      </c>
      <c r="D333" s="1521">
        <v>1320</v>
      </c>
      <c r="E333" s="1521">
        <v>1300</v>
      </c>
      <c r="F333" s="1535">
        <v>460</v>
      </c>
    </row>
    <row r="334" spans="1:6" s="1515" customFormat="1" ht="14.25" customHeight="1" thickBot="1">
      <c r="A334" s="1527" t="s">
        <v>1329</v>
      </c>
      <c r="B334" s="1521" t="s">
        <v>1380</v>
      </c>
      <c r="C334" s="1521">
        <v>1410</v>
      </c>
      <c r="D334" s="1521">
        <v>1340</v>
      </c>
      <c r="E334" s="1521">
        <v>1310</v>
      </c>
      <c r="F334" s="1535">
        <v>410</v>
      </c>
    </row>
    <row r="335" spans="1:6" s="1515" customFormat="1" ht="14.25" customHeight="1" thickBot="1">
      <c r="A335" s="1527" t="s">
        <v>1329</v>
      </c>
      <c r="B335" s="1521" t="s">
        <v>1390</v>
      </c>
      <c r="C335" s="1521">
        <v>1260</v>
      </c>
      <c r="D335" s="1521">
        <v>1220</v>
      </c>
      <c r="E335" s="1521">
        <v>1200</v>
      </c>
      <c r="F335" s="1539"/>
    </row>
    <row r="336" spans="1:6" s="1515" customFormat="1" ht="14.25" customHeight="1" thickBot="1">
      <c r="A336" s="1527" t="s">
        <v>1329</v>
      </c>
      <c r="B336" s="1521" t="s">
        <v>1399</v>
      </c>
      <c r="C336" s="1521">
        <v>1160</v>
      </c>
      <c r="D336" s="1521">
        <v>1140</v>
      </c>
      <c r="E336" s="1521">
        <v>1120</v>
      </c>
      <c r="F336" s="1535">
        <v>430</v>
      </c>
    </row>
    <row r="337" spans="1:6" s="1515" customFormat="1" ht="14.25" customHeight="1" thickBot="1">
      <c r="A337" s="1527" t="s">
        <v>1329</v>
      </c>
      <c r="B337" s="1533" t="s">
        <v>1408</v>
      </c>
      <c r="C337" s="1533"/>
      <c r="D337" s="1533"/>
      <c r="E337" s="1533"/>
      <c r="F337" s="1538">
        <v>380</v>
      </c>
    </row>
    <row r="338" spans="1:6" s="1515" customFormat="1" ht="14.25" customHeight="1" thickBot="1">
      <c r="A338" s="1527" t="s">
        <v>1340</v>
      </c>
      <c r="B338" s="1528" t="s">
        <v>1550</v>
      </c>
      <c r="C338" s="1528">
        <v>880</v>
      </c>
      <c r="D338" s="1528">
        <v>850</v>
      </c>
      <c r="E338" s="1528">
        <v>830</v>
      </c>
      <c r="F338" s="1541"/>
    </row>
    <row r="339" spans="1:6" s="1515" customFormat="1" ht="14.25" customHeight="1" thickBot="1">
      <c r="A339" s="1527" t="s">
        <v>1340</v>
      </c>
      <c r="B339" s="1521" t="s">
        <v>1551</v>
      </c>
      <c r="C339" s="1521">
        <v>830</v>
      </c>
      <c r="D339" s="1521">
        <v>800</v>
      </c>
      <c r="E339" s="1521">
        <v>780</v>
      </c>
      <c r="F339" s="1539"/>
    </row>
    <row r="340" spans="1:6" s="1515" customFormat="1" ht="14.25" customHeight="1" thickBot="1">
      <c r="A340" s="1527" t="s">
        <v>1340</v>
      </c>
      <c r="B340" s="1521" t="s">
        <v>1552</v>
      </c>
      <c r="C340" s="1521">
        <v>980</v>
      </c>
      <c r="D340" s="1521">
        <v>950</v>
      </c>
      <c r="E340" s="1521">
        <v>920</v>
      </c>
      <c r="F340" s="1539"/>
    </row>
    <row r="341" spans="1:6" s="1515" customFormat="1" ht="14.25" customHeight="1" thickBot="1">
      <c r="A341" s="1527" t="s">
        <v>1340</v>
      </c>
      <c r="B341" s="1521" t="s">
        <v>1553</v>
      </c>
      <c r="C341" s="1521">
        <v>760</v>
      </c>
      <c r="D341" s="1521">
        <v>720</v>
      </c>
      <c r="E341" s="1521">
        <v>690</v>
      </c>
      <c r="F341" s="1535">
        <v>350</v>
      </c>
    </row>
    <row r="342" spans="1:6" s="1515" customFormat="1" ht="14.25" customHeight="1" thickBot="1">
      <c r="A342" s="1527" t="s">
        <v>1340</v>
      </c>
      <c r="B342" s="1521" t="s">
        <v>1244</v>
      </c>
      <c r="C342" s="1521">
        <v>910</v>
      </c>
      <c r="D342" s="1521">
        <v>870</v>
      </c>
      <c r="E342" s="1521">
        <v>850</v>
      </c>
      <c r="F342" s="1535">
        <v>370</v>
      </c>
    </row>
    <row r="343" spans="1:6" s="1515" customFormat="1" ht="14.25" customHeight="1" thickBot="1">
      <c r="A343" s="1527" t="s">
        <v>1340</v>
      </c>
      <c r="B343" s="1521" t="s">
        <v>1255</v>
      </c>
      <c r="C343" s="1521">
        <v>800</v>
      </c>
      <c r="D343" s="1521">
        <v>760</v>
      </c>
      <c r="E343" s="1521">
        <v>730</v>
      </c>
      <c r="F343" s="1535">
        <v>340</v>
      </c>
    </row>
    <row r="344" spans="1:6" s="1515" customFormat="1" ht="14.25" customHeight="1" thickBot="1">
      <c r="A344" s="1527" t="s">
        <v>1340</v>
      </c>
      <c r="B344" s="1533" t="s">
        <v>1266</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838" t="s">
        <v>2130</v>
      </c>
      <c r="B1" s="3838"/>
    </row>
    <row r="2" spans="1:6" ht="14.25" thickBot="1">
      <c r="A2" s="2108"/>
      <c r="B2" s="2108"/>
    </row>
    <row r="3" spans="1:6" ht="14.25" thickBot="1">
      <c r="A3" s="2108"/>
      <c r="B3" s="2108"/>
      <c r="C3" s="2112" t="s">
        <v>2133</v>
      </c>
      <c r="D3" s="2112" t="s">
        <v>2134</v>
      </c>
      <c r="E3" s="2112" t="s">
        <v>2135</v>
      </c>
      <c r="F3" s="2112" t="s">
        <v>2136</v>
      </c>
    </row>
    <row r="4" spans="1:6" ht="14.25" thickBot="1">
      <c r="A4" s="2110" t="s">
        <v>2131</v>
      </c>
      <c r="B4" s="2111" t="s">
        <v>2132</v>
      </c>
      <c r="C4" s="2112"/>
      <c r="D4" s="2112"/>
      <c r="E4" s="2112"/>
      <c r="F4" s="2112"/>
    </row>
    <row r="5" spans="1:6" ht="14.25" thickBot="1">
      <c r="A5" s="1527" t="s">
        <v>2137</v>
      </c>
      <c r="B5" s="1528" t="s">
        <v>2138</v>
      </c>
      <c r="C5" s="2113">
        <v>8.8999999999999996E-2</v>
      </c>
      <c r="D5" s="2113">
        <v>7.3999999999999996E-2</v>
      </c>
      <c r="E5" s="2113">
        <v>7.4999999999999997E-2</v>
      </c>
      <c r="F5" s="2114">
        <v>0.1</v>
      </c>
    </row>
    <row r="6" spans="1:6" ht="14.25" thickBot="1">
      <c r="A6" s="1527" t="s">
        <v>1220</v>
      </c>
      <c r="B6" s="1521" t="s">
        <v>2139</v>
      </c>
      <c r="C6" s="2115">
        <v>0.1</v>
      </c>
      <c r="D6" s="2115">
        <v>9.0999999999999998E-2</v>
      </c>
      <c r="E6" s="2115">
        <v>9.0999999999999998E-2</v>
      </c>
      <c r="F6" s="2116">
        <v>0.1</v>
      </c>
    </row>
    <row r="7" spans="1:6" ht="14.25" thickBot="1">
      <c r="A7" s="1527" t="s">
        <v>1220</v>
      </c>
      <c r="B7" s="1531" t="s">
        <v>1209</v>
      </c>
      <c r="C7" s="2115">
        <v>8.5999999999999993E-2</v>
      </c>
      <c r="D7" s="2115">
        <v>9.6000000000000002E-2</v>
      </c>
      <c r="E7" s="2115">
        <v>7.5999999999999998E-2</v>
      </c>
      <c r="F7" s="2116">
        <v>0.1</v>
      </c>
    </row>
    <row r="8" spans="1:6" ht="14.25" thickBot="1">
      <c r="A8" s="1527" t="s">
        <v>1220</v>
      </c>
      <c r="B8" s="1521" t="s">
        <v>1221</v>
      </c>
      <c r="C8" s="2115">
        <v>9.9000000000000005E-2</v>
      </c>
      <c r="D8" s="2115">
        <v>9.8000000000000004E-2</v>
      </c>
      <c r="E8" s="2115">
        <v>9.8000000000000004E-2</v>
      </c>
      <c r="F8" s="2116">
        <v>0.1</v>
      </c>
    </row>
    <row r="9" spans="1:6" ht="14.25" thickBot="1">
      <c r="A9" s="1537" t="s">
        <v>1220</v>
      </c>
      <c r="B9" s="1532" t="s">
        <v>1233</v>
      </c>
      <c r="C9" s="2117">
        <v>0.05</v>
      </c>
      <c r="D9" s="2125"/>
      <c r="E9" s="2125"/>
      <c r="F9" s="2126"/>
    </row>
    <row r="10" spans="1:6" ht="14.25" thickBot="1">
      <c r="A10" s="1527" t="s">
        <v>1277</v>
      </c>
      <c r="B10" s="1528" t="s">
        <v>2140</v>
      </c>
      <c r="C10" s="2113">
        <v>8.8999999999999996E-2</v>
      </c>
      <c r="D10" s="2113">
        <v>7.2999999999999995E-2</v>
      </c>
      <c r="E10" s="2113">
        <v>8.2000000000000003E-2</v>
      </c>
      <c r="F10" s="2114">
        <v>0.1</v>
      </c>
    </row>
    <row r="11" spans="1:6" ht="14.25" thickBot="1">
      <c r="A11" s="1527" t="s">
        <v>1277</v>
      </c>
      <c r="B11" s="1531" t="s">
        <v>1196</v>
      </c>
      <c r="C11" s="2115">
        <v>8.8999999999999996E-2</v>
      </c>
      <c r="D11" s="2115">
        <v>7.2999999999999995E-2</v>
      </c>
      <c r="E11" s="2115">
        <v>8.2000000000000003E-2</v>
      </c>
      <c r="F11" s="2116">
        <v>0.1</v>
      </c>
    </row>
    <row r="12" spans="1:6" ht="14.25" thickBot="1">
      <c r="A12" s="1527" t="s">
        <v>1277</v>
      </c>
      <c r="B12" s="1531" t="s">
        <v>1132</v>
      </c>
      <c r="C12" s="2115">
        <v>6.0999999999999999E-2</v>
      </c>
      <c r="D12" s="2115">
        <v>7.0999999999999994E-2</v>
      </c>
      <c r="E12" s="2115">
        <v>9.6000000000000002E-2</v>
      </c>
      <c r="F12" s="2116">
        <v>0.1</v>
      </c>
    </row>
    <row r="13" spans="1:6" ht="14.25" thickBot="1">
      <c r="A13" s="1527" t="s">
        <v>1277</v>
      </c>
      <c r="B13" s="1531" t="s">
        <v>1222</v>
      </c>
      <c r="C13" s="2115">
        <v>6.9000000000000006E-2</v>
      </c>
      <c r="D13" s="2115">
        <v>6.5000000000000002E-2</v>
      </c>
      <c r="E13" s="2115">
        <v>6.6000000000000003E-2</v>
      </c>
      <c r="F13" s="2116">
        <v>0.1</v>
      </c>
    </row>
    <row r="14" spans="1:6" ht="14.25" thickBot="1">
      <c r="A14" s="1527" t="s">
        <v>1277</v>
      </c>
      <c r="B14" s="1531" t="s">
        <v>1234</v>
      </c>
      <c r="C14" s="2115">
        <v>0.1</v>
      </c>
      <c r="D14" s="2115">
        <v>6.5000000000000002E-2</v>
      </c>
      <c r="E14" s="2115">
        <v>7.0000000000000007E-2</v>
      </c>
      <c r="F14" s="2116">
        <v>0.1</v>
      </c>
    </row>
    <row r="15" spans="1:6" ht="14.25" thickBot="1">
      <c r="A15" s="1527" t="s">
        <v>1277</v>
      </c>
      <c r="B15" s="1531" t="s">
        <v>1245</v>
      </c>
      <c r="C15" s="2115">
        <v>9.8000000000000004E-2</v>
      </c>
      <c r="D15" s="2115">
        <v>8.8999999999999996E-2</v>
      </c>
      <c r="E15" s="2115">
        <v>8.8999999999999996E-2</v>
      </c>
      <c r="F15" s="2116">
        <v>0.1</v>
      </c>
    </row>
    <row r="16" spans="1:6" ht="14.25" thickBot="1">
      <c r="A16" s="1527" t="s">
        <v>1277</v>
      </c>
      <c r="B16" s="1531" t="s">
        <v>1256</v>
      </c>
      <c r="C16" s="2115">
        <v>7.0000000000000007E-2</v>
      </c>
      <c r="D16" s="2115">
        <v>9.2999999999999999E-2</v>
      </c>
      <c r="E16" s="2115">
        <v>9.6000000000000002E-2</v>
      </c>
      <c r="F16" s="2116">
        <v>0.1</v>
      </c>
    </row>
    <row r="17" spans="1:6" ht="14.25" thickBot="1">
      <c r="A17" s="1527" t="s">
        <v>1277</v>
      </c>
      <c r="B17" s="1531" t="s">
        <v>1267</v>
      </c>
      <c r="C17" s="2115">
        <v>9.5000000000000001E-2</v>
      </c>
      <c r="D17" s="2115">
        <v>0.1</v>
      </c>
      <c r="E17" s="2115">
        <v>0.1</v>
      </c>
      <c r="F17" s="2127"/>
    </row>
    <row r="18" spans="1:6" ht="14.25" thickBot="1">
      <c r="A18" s="1527" t="s">
        <v>1277</v>
      </c>
      <c r="B18" s="1531" t="s">
        <v>1279</v>
      </c>
      <c r="C18" s="2115">
        <v>7.3999999999999996E-2</v>
      </c>
      <c r="D18" s="2115">
        <v>9.9000000000000005E-2</v>
      </c>
      <c r="E18" s="2115">
        <v>0.1</v>
      </c>
      <c r="F18" s="2127"/>
    </row>
    <row r="19" spans="1:6" ht="14.25" thickBot="1">
      <c r="A19" s="1527" t="s">
        <v>1277</v>
      </c>
      <c r="B19" s="1531" t="s">
        <v>1289</v>
      </c>
      <c r="C19" s="2115">
        <v>9.9000000000000005E-2</v>
      </c>
      <c r="D19" s="2115">
        <v>7.5999999999999998E-2</v>
      </c>
      <c r="E19" s="2115">
        <v>8.6999999999999994E-2</v>
      </c>
      <c r="F19" s="2127"/>
    </row>
    <row r="20" spans="1:6" ht="14.25" thickBot="1">
      <c r="A20" s="1527" t="s">
        <v>1277</v>
      </c>
      <c r="B20" s="1531" t="s">
        <v>1299</v>
      </c>
      <c r="C20" s="2115">
        <v>9.8000000000000004E-2</v>
      </c>
      <c r="D20" s="2115">
        <v>8.5000000000000006E-2</v>
      </c>
      <c r="E20" s="2115">
        <v>8.2000000000000003E-2</v>
      </c>
      <c r="F20" s="2127"/>
    </row>
    <row r="21" spans="1:6" ht="14.25" thickBot="1">
      <c r="A21" s="1527" t="s">
        <v>1277</v>
      </c>
      <c r="B21" s="1531" t="s">
        <v>1309</v>
      </c>
      <c r="C21" s="2115">
        <v>6.6000000000000003E-2</v>
      </c>
      <c r="D21" s="2115">
        <v>6.4000000000000001E-2</v>
      </c>
      <c r="E21" s="2115">
        <v>6.5000000000000002E-2</v>
      </c>
      <c r="F21" s="2127"/>
    </row>
    <row r="22" spans="1:6" ht="14.25" thickBot="1">
      <c r="A22" s="1527" t="s">
        <v>1277</v>
      </c>
      <c r="B22" s="1531" t="s">
        <v>2141</v>
      </c>
      <c r="C22" s="2115">
        <v>0.08</v>
      </c>
      <c r="D22" s="2115">
        <v>9.8000000000000004E-2</v>
      </c>
      <c r="E22" s="2115">
        <v>9.8000000000000004E-2</v>
      </c>
      <c r="F22" s="2127"/>
    </row>
    <row r="23" spans="1:6" ht="14.25" thickBot="1">
      <c r="A23" s="1527" t="s">
        <v>1277</v>
      </c>
      <c r="B23" s="1531" t="s">
        <v>1330</v>
      </c>
      <c r="C23" s="2115">
        <v>9.9000000000000005E-2</v>
      </c>
      <c r="D23" s="2115">
        <v>9.8000000000000004E-2</v>
      </c>
      <c r="E23" s="2115">
        <v>9.0999999999999998E-2</v>
      </c>
      <c r="F23" s="2127"/>
    </row>
    <row r="24" spans="1:6" ht="14.25" thickBot="1">
      <c r="A24" s="1527" t="s">
        <v>1277</v>
      </c>
      <c r="B24" s="1531" t="s">
        <v>1341</v>
      </c>
      <c r="C24" s="2115">
        <v>8.8999999999999996E-2</v>
      </c>
      <c r="D24" s="2115">
        <v>9.7000000000000003E-2</v>
      </c>
      <c r="E24" s="2115">
        <v>7.0000000000000007E-2</v>
      </c>
      <c r="F24" s="2127"/>
    </row>
    <row r="25" spans="1:6" ht="14.25" thickBot="1">
      <c r="A25" s="1527" t="s">
        <v>1277</v>
      </c>
      <c r="B25" s="1531" t="s">
        <v>1351</v>
      </c>
      <c r="C25" s="2115">
        <v>8.8999999999999996E-2</v>
      </c>
      <c r="D25" s="2115">
        <v>0.1</v>
      </c>
      <c r="E25" s="2115">
        <v>8.1000000000000003E-2</v>
      </c>
      <c r="F25" s="2127"/>
    </row>
    <row r="26" spans="1:6" ht="14.25" thickBot="1">
      <c r="A26" s="1527" t="s">
        <v>1277</v>
      </c>
      <c r="B26" s="1531" t="s">
        <v>1361</v>
      </c>
      <c r="C26" s="2128"/>
      <c r="D26" s="2115">
        <v>9.6000000000000002E-2</v>
      </c>
      <c r="E26" s="2115">
        <v>9.2999999999999999E-2</v>
      </c>
      <c r="F26" s="2127"/>
    </row>
    <row r="27" spans="1:6" ht="14.25" thickBot="1">
      <c r="A27" s="1527" t="s">
        <v>1277</v>
      </c>
      <c r="B27" s="1531" t="s">
        <v>1371</v>
      </c>
      <c r="C27" s="2128"/>
      <c r="D27" s="2115">
        <v>7.5999999999999998E-2</v>
      </c>
      <c r="E27" s="2115">
        <v>9.1999999999999998E-2</v>
      </c>
      <c r="F27" s="2127"/>
    </row>
    <row r="28" spans="1:6" ht="14.25" thickBot="1">
      <c r="A28" s="1537" t="s">
        <v>1277</v>
      </c>
      <c r="B28" s="1532" t="s">
        <v>1381</v>
      </c>
      <c r="C28" s="2125"/>
      <c r="D28" s="2117">
        <v>7.5999999999999998E-2</v>
      </c>
      <c r="E28" s="2117">
        <v>9.1999999999999998E-2</v>
      </c>
      <c r="F28" s="2126"/>
    </row>
    <row r="29" spans="1:6" ht="14.25" thickBot="1">
      <c r="A29" s="1527" t="s">
        <v>1450</v>
      </c>
      <c r="B29" s="1528" t="s">
        <v>2142</v>
      </c>
      <c r="C29" s="2113">
        <v>6.4000000000000001E-2</v>
      </c>
      <c r="D29" s="2113">
        <v>6.5000000000000002E-2</v>
      </c>
      <c r="E29" s="2113">
        <v>6.9000000000000006E-2</v>
      </c>
      <c r="F29" s="2114">
        <v>0.1</v>
      </c>
    </row>
    <row r="30" spans="1:6" ht="14.25" thickBot="1">
      <c r="A30" s="1527" t="s">
        <v>1450</v>
      </c>
      <c r="B30" s="1531" t="s">
        <v>1197</v>
      </c>
      <c r="C30" s="2115">
        <v>6.4000000000000001E-2</v>
      </c>
      <c r="D30" s="2115">
        <v>9.9000000000000005E-2</v>
      </c>
      <c r="E30" s="2115">
        <v>0.1</v>
      </c>
      <c r="F30" s="2116">
        <v>0.1</v>
      </c>
    </row>
    <row r="31" spans="1:6" ht="14.25" thickBot="1">
      <c r="A31" s="1527" t="s">
        <v>1450</v>
      </c>
      <c r="B31" s="1531" t="s">
        <v>1210</v>
      </c>
      <c r="C31" s="2115">
        <v>0.1</v>
      </c>
      <c r="D31" s="2115">
        <v>9.5000000000000001E-2</v>
      </c>
      <c r="E31" s="2115">
        <v>8.8999999999999996E-2</v>
      </c>
      <c r="F31" s="2116">
        <v>0.1</v>
      </c>
    </row>
    <row r="32" spans="1:6" ht="14.25" thickBot="1">
      <c r="A32" s="1527" t="s">
        <v>1450</v>
      </c>
      <c r="B32" s="1531" t="s">
        <v>1223</v>
      </c>
      <c r="C32" s="2115">
        <v>0.05</v>
      </c>
      <c r="D32" s="2115">
        <v>0.05</v>
      </c>
      <c r="E32" s="2115">
        <v>8.7999999999999995E-2</v>
      </c>
      <c r="F32" s="2116">
        <v>0.1</v>
      </c>
    </row>
    <row r="33" spans="1:6" ht="14.25" thickBot="1">
      <c r="A33" s="1527" t="s">
        <v>1450</v>
      </c>
      <c r="B33" s="1531" t="s">
        <v>1235</v>
      </c>
      <c r="C33" s="2115">
        <v>7.4999999999999997E-2</v>
      </c>
      <c r="D33" s="2115">
        <v>9.4E-2</v>
      </c>
      <c r="E33" s="2115">
        <v>9.7000000000000003E-2</v>
      </c>
      <c r="F33" s="2116">
        <v>0.1</v>
      </c>
    </row>
    <row r="34" spans="1:6" ht="14.25" thickBot="1">
      <c r="A34" s="1527" t="s">
        <v>1450</v>
      </c>
      <c r="B34" s="1531" t="s">
        <v>1246</v>
      </c>
      <c r="C34" s="2115">
        <v>9.8000000000000004E-2</v>
      </c>
      <c r="D34" s="2115">
        <v>8.5999999999999993E-2</v>
      </c>
      <c r="E34" s="2115">
        <v>9.7000000000000003E-2</v>
      </c>
      <c r="F34" s="2116">
        <v>0.1</v>
      </c>
    </row>
    <row r="35" spans="1:6" ht="14.25" thickBot="1">
      <c r="A35" s="1527" t="s">
        <v>1450</v>
      </c>
      <c r="B35" s="1531" t="s">
        <v>1257</v>
      </c>
      <c r="C35" s="2115">
        <v>5.8999999999999997E-2</v>
      </c>
      <c r="D35" s="2115">
        <v>6.5000000000000002E-2</v>
      </c>
      <c r="E35" s="2115">
        <v>7.0000000000000007E-2</v>
      </c>
      <c r="F35" s="2116">
        <v>0.1</v>
      </c>
    </row>
    <row r="36" spans="1:6" ht="14.25" thickBot="1">
      <c r="A36" s="1527" t="s">
        <v>1450</v>
      </c>
      <c r="B36" s="1531" t="s">
        <v>1268</v>
      </c>
      <c r="C36" s="2115">
        <v>6.3E-2</v>
      </c>
      <c r="D36" s="2115">
        <v>0.1</v>
      </c>
      <c r="E36" s="2115">
        <v>0.1</v>
      </c>
      <c r="F36" s="2116">
        <v>0.1</v>
      </c>
    </row>
    <row r="37" spans="1:6" ht="14.25" thickBot="1">
      <c r="A37" s="1527" t="s">
        <v>1450</v>
      </c>
      <c r="B37" s="1531" t="s">
        <v>1280</v>
      </c>
      <c r="C37" s="2115">
        <v>7.3999999999999996E-2</v>
      </c>
      <c r="D37" s="2115">
        <v>0.1</v>
      </c>
      <c r="E37" s="2115">
        <v>0.1</v>
      </c>
      <c r="F37" s="2116">
        <v>0.1</v>
      </c>
    </row>
    <row r="38" spans="1:6" ht="14.25" thickBot="1">
      <c r="A38" s="1527" t="s">
        <v>1450</v>
      </c>
      <c r="B38" s="1531" t="s">
        <v>1290</v>
      </c>
      <c r="C38" s="2115">
        <v>0.1</v>
      </c>
      <c r="D38" s="2115">
        <v>9.6000000000000002E-2</v>
      </c>
      <c r="E38" s="2115">
        <v>9.6000000000000002E-2</v>
      </c>
      <c r="F38" s="2127"/>
    </row>
    <row r="39" spans="1:6" ht="14.25" thickBot="1">
      <c r="A39" s="1527" t="s">
        <v>1450</v>
      </c>
      <c r="B39" s="1531" t="s">
        <v>1300</v>
      </c>
      <c r="C39" s="2115">
        <v>0.1</v>
      </c>
      <c r="D39" s="2115">
        <v>9.6000000000000002E-2</v>
      </c>
      <c r="E39" s="2115">
        <v>9.6000000000000002E-2</v>
      </c>
      <c r="F39" s="2127"/>
    </row>
    <row r="40" spans="1:6" ht="14.25" thickBot="1">
      <c r="A40" s="1527" t="s">
        <v>1450</v>
      </c>
      <c r="B40" s="1531" t="s">
        <v>1310</v>
      </c>
      <c r="C40" s="2115">
        <v>9.6000000000000002E-2</v>
      </c>
      <c r="D40" s="2115">
        <v>0.1</v>
      </c>
      <c r="E40" s="2115">
        <v>9.9000000000000005E-2</v>
      </c>
      <c r="F40" s="2127"/>
    </row>
    <row r="41" spans="1:6" ht="14.25" thickBot="1">
      <c r="A41" s="1527" t="s">
        <v>1450</v>
      </c>
      <c r="B41" s="1531" t="s">
        <v>1320</v>
      </c>
      <c r="C41" s="2115">
        <v>9.6000000000000002E-2</v>
      </c>
      <c r="D41" s="2115">
        <v>9.8000000000000004E-2</v>
      </c>
      <c r="E41" s="2115">
        <v>9.8000000000000004E-2</v>
      </c>
      <c r="F41" s="2127"/>
    </row>
    <row r="42" spans="1:6" ht="14.25" thickBot="1">
      <c r="A42" s="1527" t="s">
        <v>1450</v>
      </c>
      <c r="B42" s="1531" t="s">
        <v>1331</v>
      </c>
      <c r="C42" s="2115">
        <v>0.1</v>
      </c>
      <c r="D42" s="2115">
        <v>8.7999999999999995E-2</v>
      </c>
      <c r="E42" s="2115">
        <v>0.1</v>
      </c>
      <c r="F42" s="2127"/>
    </row>
    <row r="43" spans="1:6" ht="14.25" thickBot="1">
      <c r="A43" s="1527" t="s">
        <v>1450</v>
      </c>
      <c r="B43" s="1531" t="s">
        <v>1342</v>
      </c>
      <c r="C43" s="2115">
        <v>9.8000000000000004E-2</v>
      </c>
      <c r="D43" s="2115">
        <v>9.7000000000000003E-2</v>
      </c>
      <c r="E43" s="2115">
        <v>9.6000000000000002E-2</v>
      </c>
      <c r="F43" s="2127"/>
    </row>
    <row r="44" spans="1:6" ht="14.25" thickBot="1">
      <c r="A44" s="1527" t="s">
        <v>1450</v>
      </c>
      <c r="B44" s="1531" t="s">
        <v>1352</v>
      </c>
      <c r="C44" s="2115">
        <v>8.5999999999999993E-2</v>
      </c>
      <c r="D44" s="2115">
        <v>7.9000000000000001E-2</v>
      </c>
      <c r="E44" s="2115">
        <v>7.0999999999999994E-2</v>
      </c>
      <c r="F44" s="2127"/>
    </row>
    <row r="45" spans="1:6" ht="14.25" thickBot="1">
      <c r="A45" s="1527" t="s">
        <v>1450</v>
      </c>
      <c r="B45" s="1531" t="s">
        <v>1362</v>
      </c>
      <c r="C45" s="2115">
        <v>9.8000000000000004E-2</v>
      </c>
      <c r="D45" s="2115">
        <v>9.6000000000000002E-2</v>
      </c>
      <c r="E45" s="2115">
        <v>9.6000000000000002E-2</v>
      </c>
      <c r="F45" s="2127"/>
    </row>
    <row r="46" spans="1:6" ht="14.25" thickBot="1">
      <c r="A46" s="1527" t="s">
        <v>1450</v>
      </c>
      <c r="B46" s="1531" t="s">
        <v>1372</v>
      </c>
      <c r="C46" s="2115">
        <v>8.5999999999999993E-2</v>
      </c>
      <c r="D46" s="2115">
        <v>9.8000000000000004E-2</v>
      </c>
      <c r="E46" s="2115">
        <v>8.7999999999999995E-2</v>
      </c>
      <c r="F46" s="2127"/>
    </row>
    <row r="47" spans="1:6" ht="14.25" thickBot="1">
      <c r="A47" s="1527" t="s">
        <v>1450</v>
      </c>
      <c r="B47" s="1531" t="s">
        <v>1382</v>
      </c>
      <c r="C47" s="2115">
        <v>9.6000000000000002E-2</v>
      </c>
      <c r="D47" s="2128"/>
      <c r="E47" s="2115">
        <v>6.9000000000000006E-2</v>
      </c>
      <c r="F47" s="2127"/>
    </row>
    <row r="48" spans="1:6" ht="14.25" thickBot="1">
      <c r="A48" s="1537" t="s">
        <v>1450</v>
      </c>
      <c r="B48" s="1532" t="s">
        <v>1391</v>
      </c>
      <c r="C48" s="2117">
        <v>9.8000000000000004E-2</v>
      </c>
      <c r="D48" s="2125"/>
      <c r="E48" s="2117">
        <v>9.5000000000000001E-2</v>
      </c>
      <c r="F48" s="2126"/>
    </row>
    <row r="49" spans="1:6" ht="14.25" thickBot="1">
      <c r="A49" s="1527" t="s">
        <v>1131</v>
      </c>
      <c r="B49" s="1528" t="s">
        <v>2143</v>
      </c>
      <c r="C49" s="2113">
        <v>9.7000000000000003E-2</v>
      </c>
      <c r="D49" s="2113">
        <v>9.5000000000000001E-2</v>
      </c>
      <c r="E49" s="2113">
        <v>9.7000000000000003E-2</v>
      </c>
      <c r="F49" s="2114">
        <v>0.1</v>
      </c>
    </row>
    <row r="50" spans="1:6" ht="14.25" thickBot="1">
      <c r="A50" s="1527" t="s">
        <v>1131</v>
      </c>
      <c r="B50" s="1521" t="s">
        <v>1198</v>
      </c>
      <c r="C50" s="2115">
        <v>7.4999999999999997E-2</v>
      </c>
      <c r="D50" s="2115">
        <v>9.5000000000000001E-2</v>
      </c>
      <c r="E50" s="2115">
        <v>0.1</v>
      </c>
      <c r="F50" s="2116">
        <v>0.1</v>
      </c>
    </row>
    <row r="51" spans="1:6" ht="14.25" thickBot="1">
      <c r="A51" s="1527" t="s">
        <v>1131</v>
      </c>
      <c r="B51" s="1521" t="s">
        <v>1211</v>
      </c>
      <c r="C51" s="2115">
        <v>9.8000000000000004E-2</v>
      </c>
      <c r="D51" s="2115">
        <v>8.8999999999999996E-2</v>
      </c>
      <c r="E51" s="2115">
        <v>0.1</v>
      </c>
      <c r="F51" s="2116">
        <v>0.1</v>
      </c>
    </row>
    <row r="52" spans="1:6" ht="14.25" thickBot="1">
      <c r="A52" s="1527" t="s">
        <v>1131</v>
      </c>
      <c r="B52" s="1521" t="s">
        <v>1224</v>
      </c>
      <c r="C52" s="2115">
        <v>9.8000000000000004E-2</v>
      </c>
      <c r="D52" s="2115">
        <v>9.7000000000000003E-2</v>
      </c>
      <c r="E52" s="2115">
        <v>8.1000000000000003E-2</v>
      </c>
      <c r="F52" s="2116">
        <v>0.1</v>
      </c>
    </row>
    <row r="53" spans="1:6" ht="14.25" thickBot="1">
      <c r="A53" s="1527" t="s">
        <v>1131</v>
      </c>
      <c r="B53" s="1521" t="s">
        <v>1236</v>
      </c>
      <c r="C53" s="2115">
        <v>9.7000000000000003E-2</v>
      </c>
      <c r="D53" s="2115">
        <v>7.5999999999999998E-2</v>
      </c>
      <c r="E53" s="2115">
        <v>7.0999999999999994E-2</v>
      </c>
      <c r="F53" s="2116">
        <v>0.1</v>
      </c>
    </row>
    <row r="54" spans="1:6" ht="14.25" thickBot="1">
      <c r="A54" s="1527" t="s">
        <v>1131</v>
      </c>
      <c r="B54" s="1521" t="s">
        <v>1247</v>
      </c>
      <c r="C54" s="2115">
        <v>7.5999999999999998E-2</v>
      </c>
      <c r="D54" s="2115">
        <v>0.1</v>
      </c>
      <c r="E54" s="2115">
        <v>9.9000000000000005E-2</v>
      </c>
      <c r="F54" s="2116">
        <v>0.1</v>
      </c>
    </row>
    <row r="55" spans="1:6" ht="14.25" thickBot="1">
      <c r="A55" s="1527" t="s">
        <v>1131</v>
      </c>
      <c r="B55" s="1521" t="s">
        <v>1258</v>
      </c>
      <c r="C55" s="2115">
        <v>0.1</v>
      </c>
      <c r="D55" s="2115">
        <v>0.1</v>
      </c>
      <c r="E55" s="2115">
        <v>9.6000000000000002E-2</v>
      </c>
      <c r="F55" s="2116">
        <v>0.1</v>
      </c>
    </row>
    <row r="56" spans="1:6" ht="14.25" thickBot="1">
      <c r="A56" s="1527" t="s">
        <v>1131</v>
      </c>
      <c r="B56" s="1521" t="s">
        <v>1269</v>
      </c>
      <c r="C56" s="2115">
        <v>0.1</v>
      </c>
      <c r="D56" s="2115">
        <v>9.6000000000000002E-2</v>
      </c>
      <c r="E56" s="2115">
        <v>5.1999999999999998E-2</v>
      </c>
      <c r="F56" s="2116">
        <v>0.1</v>
      </c>
    </row>
    <row r="57" spans="1:6" ht="14.25" thickBot="1">
      <c r="A57" s="1527" t="s">
        <v>1131</v>
      </c>
      <c r="B57" s="1521" t="s">
        <v>1281</v>
      </c>
      <c r="C57" s="2115">
        <v>9.7000000000000003E-2</v>
      </c>
      <c r="D57" s="2115">
        <v>9.6000000000000002E-2</v>
      </c>
      <c r="E57" s="2115">
        <v>9.6000000000000002E-2</v>
      </c>
      <c r="F57" s="2116">
        <v>0.1</v>
      </c>
    </row>
    <row r="58" spans="1:6" ht="14.25" thickBot="1">
      <c r="A58" s="1527" t="s">
        <v>1131</v>
      </c>
      <c r="B58" s="1521" t="s">
        <v>1291</v>
      </c>
      <c r="C58" s="2115">
        <v>9.6000000000000002E-2</v>
      </c>
      <c r="D58" s="2115">
        <v>9.9000000000000005E-2</v>
      </c>
      <c r="E58" s="2115">
        <v>9.6000000000000002E-2</v>
      </c>
      <c r="F58" s="2116">
        <v>0.1</v>
      </c>
    </row>
    <row r="59" spans="1:6" ht="14.25" thickBot="1">
      <c r="A59" s="1527" t="s">
        <v>1131</v>
      </c>
      <c r="B59" s="1521" t="s">
        <v>1301</v>
      </c>
      <c r="C59" s="2115">
        <v>7.1999999999999995E-2</v>
      </c>
      <c r="D59" s="2115">
        <v>9.6000000000000002E-2</v>
      </c>
      <c r="E59" s="2115">
        <v>7.0999999999999994E-2</v>
      </c>
      <c r="F59" s="2116">
        <v>0.1</v>
      </c>
    </row>
    <row r="60" spans="1:6" ht="14.25" thickBot="1">
      <c r="A60" s="1527" t="s">
        <v>1131</v>
      </c>
      <c r="B60" s="1521" t="s">
        <v>1311</v>
      </c>
      <c r="C60" s="2115">
        <v>9.6000000000000002E-2</v>
      </c>
      <c r="D60" s="2115">
        <v>8.8999999999999996E-2</v>
      </c>
      <c r="E60" s="2115">
        <v>9.6000000000000002E-2</v>
      </c>
      <c r="F60" s="2116">
        <v>0.1</v>
      </c>
    </row>
    <row r="61" spans="1:6" ht="14.25" thickBot="1">
      <c r="A61" s="1527" t="s">
        <v>1131</v>
      </c>
      <c r="B61" s="1521" t="s">
        <v>1321</v>
      </c>
      <c r="C61" s="2115">
        <v>8.8999999999999996E-2</v>
      </c>
      <c r="D61" s="2115">
        <v>9.8000000000000004E-2</v>
      </c>
      <c r="E61" s="2115">
        <v>8.7999999999999995E-2</v>
      </c>
      <c r="F61" s="2127"/>
    </row>
    <row r="62" spans="1:6" ht="14.25" thickBot="1">
      <c r="A62" s="1527" t="s">
        <v>1131</v>
      </c>
      <c r="B62" s="1521" t="s">
        <v>1332</v>
      </c>
      <c r="C62" s="2115">
        <v>9.8000000000000004E-2</v>
      </c>
      <c r="D62" s="2115">
        <v>9.2999999999999999E-2</v>
      </c>
      <c r="E62" s="2115">
        <v>9.7000000000000003E-2</v>
      </c>
      <c r="F62" s="2127"/>
    </row>
    <row r="63" spans="1:6" ht="14.25" thickBot="1">
      <c r="A63" s="1527" t="s">
        <v>1131</v>
      </c>
      <c r="B63" s="1521" t="s">
        <v>1343</v>
      </c>
      <c r="C63" s="2115">
        <v>9.6000000000000002E-2</v>
      </c>
      <c r="D63" s="2115">
        <v>9.8000000000000004E-2</v>
      </c>
      <c r="E63" s="2115">
        <v>0.09</v>
      </c>
      <c r="F63" s="2127"/>
    </row>
    <row r="64" spans="1:6" ht="14.25" thickBot="1">
      <c r="A64" s="1527" t="s">
        <v>1131</v>
      </c>
      <c r="B64" s="1521" t="s">
        <v>1353</v>
      </c>
      <c r="C64" s="2115">
        <v>9.9000000000000005E-2</v>
      </c>
      <c r="D64" s="2115">
        <v>9.7000000000000003E-2</v>
      </c>
      <c r="E64" s="2115">
        <v>9.9000000000000005E-2</v>
      </c>
      <c r="F64" s="2127"/>
    </row>
    <row r="65" spans="1:6" ht="14.25" thickBot="1">
      <c r="A65" s="1527" t="s">
        <v>1131</v>
      </c>
      <c r="B65" s="1521" t="s">
        <v>1363</v>
      </c>
      <c r="C65" s="2115">
        <v>9.8000000000000004E-2</v>
      </c>
      <c r="D65" s="2115">
        <v>9.6000000000000002E-2</v>
      </c>
      <c r="E65" s="2115">
        <v>9.6000000000000002E-2</v>
      </c>
      <c r="F65" s="2127"/>
    </row>
    <row r="66" spans="1:6" ht="14.25" thickBot="1">
      <c r="A66" s="1527" t="s">
        <v>1131</v>
      </c>
      <c r="B66" s="1521" t="s">
        <v>1373</v>
      </c>
      <c r="C66" s="2115">
        <v>9.6000000000000002E-2</v>
      </c>
      <c r="D66" s="2115">
        <v>9.1999999999999998E-2</v>
      </c>
      <c r="E66" s="2115">
        <v>9.6000000000000002E-2</v>
      </c>
      <c r="F66" s="2127"/>
    </row>
    <row r="67" spans="1:6" ht="14.25" thickBot="1">
      <c r="A67" s="1527" t="s">
        <v>1131</v>
      </c>
      <c r="B67" s="1521" t="s">
        <v>1383</v>
      </c>
      <c r="C67" s="2115">
        <v>9.4E-2</v>
      </c>
      <c r="D67" s="2115">
        <v>0.1</v>
      </c>
      <c r="E67" s="2115">
        <v>8.7999999999999995E-2</v>
      </c>
      <c r="F67" s="2127"/>
    </row>
    <row r="68" spans="1:6" ht="14.25" thickBot="1">
      <c r="A68" s="1527" t="s">
        <v>1131</v>
      </c>
      <c r="B68" s="1521" t="s">
        <v>1392</v>
      </c>
      <c r="C68" s="2115">
        <v>0.1</v>
      </c>
      <c r="D68" s="2115">
        <v>8.7999999999999995E-2</v>
      </c>
      <c r="E68" s="2115">
        <v>9.7000000000000003E-2</v>
      </c>
      <c r="F68" s="2127"/>
    </row>
    <row r="69" spans="1:6" ht="14.25" thickBot="1">
      <c r="A69" s="1527" t="s">
        <v>1131</v>
      </c>
      <c r="B69" s="1521" t="s">
        <v>1401</v>
      </c>
      <c r="C69" s="2115">
        <v>6.4000000000000001E-2</v>
      </c>
      <c r="D69" s="2115">
        <v>0.1</v>
      </c>
      <c r="E69" s="2115">
        <v>0.1</v>
      </c>
      <c r="F69" s="2127"/>
    </row>
    <row r="70" spans="1:6" ht="14.25" thickBot="1">
      <c r="A70" s="1527" t="s">
        <v>1131</v>
      </c>
      <c r="B70" s="1521" t="s">
        <v>1409</v>
      </c>
      <c r="C70" s="2115">
        <v>9.0999999999999998E-2</v>
      </c>
      <c r="D70" s="2128"/>
      <c r="E70" s="2128"/>
      <c r="F70" s="2127"/>
    </row>
    <row r="71" spans="1:6" ht="14.25" thickBot="1">
      <c r="A71" s="1527" t="s">
        <v>1131</v>
      </c>
      <c r="B71" s="1521" t="s">
        <v>1416</v>
      </c>
      <c r="C71" s="2115">
        <v>0.1</v>
      </c>
      <c r="D71" s="2128"/>
      <c r="E71" s="2128"/>
      <c r="F71" s="2127"/>
    </row>
    <row r="72" spans="1:6" ht="14.25" thickBot="1">
      <c r="A72" s="1527" t="s">
        <v>1131</v>
      </c>
      <c r="B72" s="1521" t="s">
        <v>2144</v>
      </c>
      <c r="C72" s="2128"/>
      <c r="D72" s="2128"/>
      <c r="E72" s="2128"/>
      <c r="F72" s="2116">
        <v>0.05</v>
      </c>
    </row>
    <row r="73" spans="1:6" ht="14.25" thickBot="1">
      <c r="A73" s="1527" t="s">
        <v>1131</v>
      </c>
      <c r="B73" s="1521" t="s">
        <v>2145</v>
      </c>
      <c r="C73" s="2128"/>
      <c r="D73" s="2128"/>
      <c r="E73" s="2128"/>
      <c r="F73" s="2116">
        <v>0.05</v>
      </c>
    </row>
    <row r="74" spans="1:6" ht="14.25" thickBot="1">
      <c r="A74" s="1527" t="s">
        <v>1131</v>
      </c>
      <c r="B74" s="1521" t="s">
        <v>2146</v>
      </c>
      <c r="C74" s="2128"/>
      <c r="D74" s="2128"/>
      <c r="E74" s="2128"/>
      <c r="F74" s="2116">
        <v>0.05</v>
      </c>
    </row>
    <row r="75" spans="1:6" ht="14.25" thickBot="1">
      <c r="A75" s="1537" t="s">
        <v>1131</v>
      </c>
      <c r="B75" s="1533" t="s">
        <v>2147</v>
      </c>
      <c r="C75" s="2125"/>
      <c r="D75" s="2125"/>
      <c r="E75" s="2125"/>
      <c r="F75" s="2118">
        <v>0.05</v>
      </c>
    </row>
    <row r="76" spans="1:6" ht="14.25" thickBot="1">
      <c r="A76" s="1527" t="s">
        <v>1531</v>
      </c>
      <c r="B76" s="1528" t="s">
        <v>2148</v>
      </c>
      <c r="C76" s="2113">
        <v>0.1</v>
      </c>
      <c r="D76" s="2113">
        <v>0.1</v>
      </c>
      <c r="E76" s="2113">
        <v>0.1</v>
      </c>
      <c r="F76" s="2114">
        <v>0.1</v>
      </c>
    </row>
    <row r="77" spans="1:6" ht="14.25" thickBot="1">
      <c r="A77" s="1527" t="s">
        <v>1531</v>
      </c>
      <c r="B77" s="1521" t="s">
        <v>1199</v>
      </c>
      <c r="C77" s="2115">
        <v>8.7999999999999995E-2</v>
      </c>
      <c r="D77" s="2115">
        <v>8.6999999999999994E-2</v>
      </c>
      <c r="E77" s="2115">
        <v>7.9000000000000001E-2</v>
      </c>
      <c r="F77" s="2116">
        <v>0.1</v>
      </c>
    </row>
    <row r="78" spans="1:6" ht="14.25" thickBot="1">
      <c r="A78" s="1527" t="s">
        <v>1531</v>
      </c>
      <c r="B78" s="1521" t="s">
        <v>1212</v>
      </c>
      <c r="C78" s="2115">
        <v>8.6999999999999994E-2</v>
      </c>
      <c r="D78" s="2115">
        <v>8.4000000000000005E-2</v>
      </c>
      <c r="E78" s="2115">
        <v>9.6000000000000002E-2</v>
      </c>
      <c r="F78" s="2116">
        <v>0.1</v>
      </c>
    </row>
    <row r="79" spans="1:6" ht="14.25" thickBot="1">
      <c r="A79" s="1527" t="s">
        <v>1531</v>
      </c>
      <c r="B79" s="1521" t="s">
        <v>1225</v>
      </c>
      <c r="C79" s="2115">
        <v>9.8000000000000004E-2</v>
      </c>
      <c r="D79" s="2115">
        <v>9.8000000000000004E-2</v>
      </c>
      <c r="E79" s="2115">
        <v>9.0999999999999998E-2</v>
      </c>
      <c r="F79" s="2116">
        <v>0.1</v>
      </c>
    </row>
    <row r="80" spans="1:6" ht="14.25" thickBot="1">
      <c r="A80" s="1527" t="s">
        <v>1531</v>
      </c>
      <c r="B80" s="1521" t="s">
        <v>1237</v>
      </c>
      <c r="C80" s="2115">
        <v>9.6000000000000002E-2</v>
      </c>
      <c r="D80" s="2115">
        <v>9.6000000000000002E-2</v>
      </c>
      <c r="E80" s="2115">
        <v>0.1</v>
      </c>
      <c r="F80" s="2116">
        <v>0.1</v>
      </c>
    </row>
    <row r="81" spans="1:6" ht="14.25" thickBot="1">
      <c r="A81" s="1527" t="s">
        <v>1531</v>
      </c>
      <c r="B81" s="1521" t="s">
        <v>1248</v>
      </c>
      <c r="C81" s="2115">
        <v>9.9000000000000005E-2</v>
      </c>
      <c r="D81" s="2115">
        <v>9.9000000000000005E-2</v>
      </c>
      <c r="E81" s="2115">
        <v>9.8000000000000004E-2</v>
      </c>
      <c r="F81" s="2116">
        <v>0.1</v>
      </c>
    </row>
    <row r="82" spans="1:6" ht="14.25" thickBot="1">
      <c r="A82" s="1527" t="s">
        <v>1531</v>
      </c>
      <c r="B82" s="1521" t="s">
        <v>1259</v>
      </c>
      <c r="C82" s="2115">
        <v>9.9000000000000005E-2</v>
      </c>
      <c r="D82" s="2115">
        <v>9.9000000000000005E-2</v>
      </c>
      <c r="E82" s="2115">
        <v>9.7000000000000003E-2</v>
      </c>
      <c r="F82" s="2116">
        <v>0.1</v>
      </c>
    </row>
    <row r="83" spans="1:6" ht="14.25" thickBot="1">
      <c r="A83" s="1527" t="s">
        <v>1531</v>
      </c>
      <c r="B83" s="1521" t="s">
        <v>1270</v>
      </c>
      <c r="C83" s="2115">
        <v>9.8000000000000004E-2</v>
      </c>
      <c r="D83" s="2115">
        <v>9.8000000000000004E-2</v>
      </c>
      <c r="E83" s="2115">
        <v>9.8000000000000004E-2</v>
      </c>
      <c r="F83" s="2116">
        <v>0.1</v>
      </c>
    </row>
    <row r="84" spans="1:6" ht="14.25" thickBot="1">
      <c r="A84" s="1527" t="s">
        <v>1531</v>
      </c>
      <c r="B84" s="1521" t="s">
        <v>1282</v>
      </c>
      <c r="C84" s="2115">
        <v>9.9000000000000005E-2</v>
      </c>
      <c r="D84" s="2115">
        <v>9.9000000000000005E-2</v>
      </c>
      <c r="E84" s="2115">
        <v>9.9000000000000005E-2</v>
      </c>
      <c r="F84" s="2116">
        <v>0.1</v>
      </c>
    </row>
    <row r="85" spans="1:6" ht="14.25" thickBot="1">
      <c r="A85" s="1527" t="s">
        <v>1531</v>
      </c>
      <c r="B85" s="1521" t="s">
        <v>1292</v>
      </c>
      <c r="C85" s="2115">
        <v>9.9000000000000005E-2</v>
      </c>
      <c r="D85" s="2115">
        <v>9.9000000000000005E-2</v>
      </c>
      <c r="E85" s="2115">
        <v>9.9000000000000005E-2</v>
      </c>
      <c r="F85" s="2116">
        <v>0.1</v>
      </c>
    </row>
    <row r="86" spans="1:6" ht="14.25" thickBot="1">
      <c r="A86" s="1527" t="s">
        <v>1531</v>
      </c>
      <c r="B86" s="1521" t="s">
        <v>1302</v>
      </c>
      <c r="C86" s="2115">
        <v>0.1</v>
      </c>
      <c r="D86" s="2115">
        <v>0.1</v>
      </c>
      <c r="E86" s="2115">
        <v>7.6999999999999999E-2</v>
      </c>
      <c r="F86" s="2116">
        <v>0.1</v>
      </c>
    </row>
    <row r="87" spans="1:6" ht="14.25" thickBot="1">
      <c r="A87" s="1527" t="s">
        <v>1531</v>
      </c>
      <c r="B87" s="1521" t="s">
        <v>1312</v>
      </c>
      <c r="C87" s="2115">
        <v>0.1</v>
      </c>
      <c r="D87" s="2115">
        <v>0.1</v>
      </c>
      <c r="E87" s="2115">
        <v>9.8000000000000004E-2</v>
      </c>
      <c r="F87" s="2127"/>
    </row>
    <row r="88" spans="1:6" ht="14.25" thickBot="1">
      <c r="A88" s="1527" t="s">
        <v>1531</v>
      </c>
      <c r="B88" s="1521" t="s">
        <v>1322</v>
      </c>
      <c r="C88" s="2115">
        <v>9.1999999999999998E-2</v>
      </c>
      <c r="D88" s="2115">
        <v>8.5000000000000006E-2</v>
      </c>
      <c r="E88" s="2115">
        <v>9.6000000000000002E-2</v>
      </c>
      <c r="F88" s="2127"/>
    </row>
    <row r="89" spans="1:6" ht="14.25" thickBot="1">
      <c r="A89" s="1527" t="s">
        <v>1531</v>
      </c>
      <c r="B89" s="1521" t="s">
        <v>1333</v>
      </c>
      <c r="C89" s="2115">
        <v>0.1</v>
      </c>
      <c r="D89" s="2115">
        <v>0.1</v>
      </c>
      <c r="E89" s="2115">
        <v>9.7000000000000003E-2</v>
      </c>
      <c r="F89" s="2127"/>
    </row>
    <row r="90" spans="1:6" ht="14.25" thickBot="1">
      <c r="A90" s="1527" t="s">
        <v>1531</v>
      </c>
      <c r="B90" s="1521" t="s">
        <v>1344</v>
      </c>
      <c r="C90" s="2115">
        <v>9.8000000000000004E-2</v>
      </c>
      <c r="D90" s="2115">
        <v>9.8000000000000004E-2</v>
      </c>
      <c r="E90" s="2115">
        <v>8.7999999999999995E-2</v>
      </c>
      <c r="F90" s="2127"/>
    </row>
    <row r="91" spans="1:6" ht="14.25" thickBot="1">
      <c r="A91" s="1527" t="s">
        <v>1531</v>
      </c>
      <c r="B91" s="1521" t="s">
        <v>1354</v>
      </c>
      <c r="C91" s="2115">
        <v>9.9000000000000005E-2</v>
      </c>
      <c r="D91" s="2115">
        <v>9.9000000000000005E-2</v>
      </c>
      <c r="E91" s="2115">
        <v>9.0999999999999998E-2</v>
      </c>
      <c r="F91" s="2127"/>
    </row>
    <row r="92" spans="1:6" ht="14.25" thickBot="1">
      <c r="A92" s="1527" t="s">
        <v>1531</v>
      </c>
      <c r="B92" s="1521" t="s">
        <v>1364</v>
      </c>
      <c r="C92" s="2115">
        <v>9.6000000000000002E-2</v>
      </c>
      <c r="D92" s="2115">
        <v>9.6000000000000002E-2</v>
      </c>
      <c r="E92" s="2115">
        <v>7.2999999999999995E-2</v>
      </c>
      <c r="F92" s="2127"/>
    </row>
    <row r="93" spans="1:6" ht="14.25" thickBot="1">
      <c r="A93" s="1527" t="s">
        <v>1531</v>
      </c>
      <c r="B93" s="1521" t="s">
        <v>1374</v>
      </c>
      <c r="C93" s="2115">
        <v>9.6000000000000002E-2</v>
      </c>
      <c r="D93" s="2115">
        <v>9.6000000000000002E-2</v>
      </c>
      <c r="E93" s="2115">
        <v>9.9000000000000005E-2</v>
      </c>
      <c r="F93" s="2127"/>
    </row>
    <row r="94" spans="1:6" ht="14.25" thickBot="1">
      <c r="A94" s="1527" t="s">
        <v>1531</v>
      </c>
      <c r="B94" s="1521" t="s">
        <v>1384</v>
      </c>
      <c r="C94" s="2115">
        <v>7.5999999999999998E-2</v>
      </c>
      <c r="D94" s="2115">
        <v>7.3999999999999996E-2</v>
      </c>
      <c r="E94" s="2115">
        <v>9.7000000000000003E-2</v>
      </c>
      <c r="F94" s="2127"/>
    </row>
    <row r="95" spans="1:6" ht="14.25" thickBot="1">
      <c r="A95" s="1527" t="s">
        <v>1531</v>
      </c>
      <c r="B95" s="1521" t="s">
        <v>1393</v>
      </c>
      <c r="C95" s="2115">
        <v>9.9000000000000005E-2</v>
      </c>
      <c r="D95" s="2115">
        <v>9.4E-2</v>
      </c>
      <c r="E95" s="2115">
        <v>9.6000000000000002E-2</v>
      </c>
      <c r="F95" s="2127"/>
    </row>
    <row r="96" spans="1:6" ht="14.25" thickBot="1">
      <c r="A96" s="1527" t="s">
        <v>1531</v>
      </c>
      <c r="B96" s="1521" t="s">
        <v>1402</v>
      </c>
      <c r="C96" s="2115">
        <v>9.9000000000000005E-2</v>
      </c>
      <c r="D96" s="2115">
        <v>9.9000000000000005E-2</v>
      </c>
      <c r="E96" s="2115">
        <v>9.9000000000000005E-2</v>
      </c>
      <c r="F96" s="2127"/>
    </row>
    <row r="97" spans="1:6" ht="14.25" thickBot="1">
      <c r="A97" s="1527" t="s">
        <v>1531</v>
      </c>
      <c r="B97" s="1521" t="s">
        <v>1410</v>
      </c>
      <c r="C97" s="2115">
        <v>9.8000000000000004E-2</v>
      </c>
      <c r="D97" s="2115">
        <v>9.8000000000000004E-2</v>
      </c>
      <c r="E97" s="2115">
        <v>9.7000000000000003E-2</v>
      </c>
      <c r="F97" s="2127"/>
    </row>
    <row r="98" spans="1:6" ht="14.25" thickBot="1">
      <c r="A98" s="1527" t="s">
        <v>1531</v>
      </c>
      <c r="B98" s="1521" t="s">
        <v>1417</v>
      </c>
      <c r="C98" s="2115">
        <v>0.1</v>
      </c>
      <c r="D98" s="2115">
        <v>0.1</v>
      </c>
      <c r="E98" s="2115">
        <v>9.7000000000000003E-2</v>
      </c>
      <c r="F98" s="2127"/>
    </row>
    <row r="99" spans="1:6" ht="14.25" thickBot="1">
      <c r="A99" s="1527" t="s">
        <v>1531</v>
      </c>
      <c r="B99" s="1521" t="s">
        <v>1424</v>
      </c>
      <c r="C99" s="2115">
        <v>0.1</v>
      </c>
      <c r="D99" s="2115">
        <v>0.1</v>
      </c>
      <c r="E99" s="2128"/>
      <c r="F99" s="2127"/>
    </row>
    <row r="100" spans="1:6" ht="14.25" thickBot="1">
      <c r="A100" s="1527" t="s">
        <v>1531</v>
      </c>
      <c r="B100" s="1521" t="s">
        <v>1431</v>
      </c>
      <c r="C100" s="2115">
        <v>0.09</v>
      </c>
      <c r="D100" s="2115">
        <v>8.8999999999999996E-2</v>
      </c>
      <c r="E100" s="2128"/>
      <c r="F100" s="2127"/>
    </row>
    <row r="101" spans="1:6" ht="14.25" thickBot="1">
      <c r="A101" s="1527" t="s">
        <v>1531</v>
      </c>
      <c r="B101" s="1521" t="s">
        <v>1438</v>
      </c>
      <c r="C101" s="2115">
        <v>9.8000000000000004E-2</v>
      </c>
      <c r="D101" s="2115">
        <v>9.7000000000000003E-2</v>
      </c>
      <c r="E101" s="2128"/>
      <c r="F101" s="2127"/>
    </row>
    <row r="102" spans="1:6" ht="14.25" thickBot="1">
      <c r="A102" s="1527" t="s">
        <v>1531</v>
      </c>
      <c r="B102" s="1521" t="s">
        <v>2149</v>
      </c>
      <c r="C102" s="2128"/>
      <c r="D102" s="2128"/>
      <c r="E102" s="2128"/>
      <c r="F102" s="2116">
        <v>0.05</v>
      </c>
    </row>
    <row r="103" spans="1:6" ht="24.75" thickBot="1">
      <c r="A103" s="1527" t="s">
        <v>1531</v>
      </c>
      <c r="B103" s="1521" t="s">
        <v>2150</v>
      </c>
      <c r="C103" s="2128"/>
      <c r="D103" s="2128"/>
      <c r="E103" s="2128"/>
      <c r="F103" s="2116">
        <v>0.05</v>
      </c>
    </row>
    <row r="104" spans="1:6" ht="14.25" thickBot="1">
      <c r="A104" s="1527" t="s">
        <v>1531</v>
      </c>
      <c r="B104" s="1521" t="s">
        <v>2151</v>
      </c>
      <c r="C104" s="2128"/>
      <c r="D104" s="2128"/>
      <c r="E104" s="2128"/>
      <c r="F104" s="2116">
        <v>0.05</v>
      </c>
    </row>
    <row r="105" spans="1:6" ht="14.25" thickBot="1">
      <c r="A105" s="1527" t="s">
        <v>1531</v>
      </c>
      <c r="B105" s="1521" t="s">
        <v>2152</v>
      </c>
      <c r="C105" s="2128"/>
      <c r="D105" s="2128"/>
      <c r="E105" s="2128"/>
      <c r="F105" s="2116">
        <v>0.05</v>
      </c>
    </row>
    <row r="106" spans="1:6" ht="14.25" thickBot="1">
      <c r="A106" s="1527" t="s">
        <v>1531</v>
      </c>
      <c r="B106" s="1521" t="s">
        <v>2153</v>
      </c>
      <c r="C106" s="2128"/>
      <c r="D106" s="2128"/>
      <c r="E106" s="2128"/>
      <c r="F106" s="2116">
        <v>0.05</v>
      </c>
    </row>
    <row r="107" spans="1:6" ht="24.75" thickBot="1">
      <c r="A107" s="1527" t="s">
        <v>1531</v>
      </c>
      <c r="B107" s="1521" t="s">
        <v>2154</v>
      </c>
      <c r="C107" s="2128"/>
      <c r="D107" s="2128"/>
      <c r="E107" s="2128"/>
      <c r="F107" s="2116">
        <v>0.05</v>
      </c>
    </row>
    <row r="108" spans="1:6" ht="24.75" thickBot="1">
      <c r="A108" s="1527" t="s">
        <v>1531</v>
      </c>
      <c r="B108" s="1521" t="s">
        <v>2155</v>
      </c>
      <c r="C108" s="2128"/>
      <c r="D108" s="2128"/>
      <c r="E108" s="2128"/>
      <c r="F108" s="2116">
        <v>0.05</v>
      </c>
    </row>
    <row r="109" spans="1:6" ht="24.75" thickBot="1">
      <c r="A109" s="1537" t="s">
        <v>1531</v>
      </c>
      <c r="B109" s="1533" t="s">
        <v>2156</v>
      </c>
      <c r="C109" s="2125"/>
      <c r="D109" s="2125"/>
      <c r="E109" s="2125"/>
      <c r="F109" s="2118">
        <v>0.05</v>
      </c>
    </row>
    <row r="110" spans="1:6" ht="14.25" thickBot="1">
      <c r="A110" s="1527" t="s">
        <v>202</v>
      </c>
      <c r="B110" s="1528" t="s">
        <v>2157</v>
      </c>
      <c r="C110" s="2113">
        <v>0.129</v>
      </c>
      <c r="D110" s="2113">
        <v>0.129</v>
      </c>
      <c r="E110" s="2113">
        <v>0.126</v>
      </c>
      <c r="F110" s="2114">
        <v>0.13</v>
      </c>
    </row>
    <row r="111" spans="1:6" ht="14.25" thickBot="1">
      <c r="A111" s="1527" t="s">
        <v>202</v>
      </c>
      <c r="B111" s="1521" t="s">
        <v>1200</v>
      </c>
      <c r="C111" s="2115">
        <v>0.11</v>
      </c>
      <c r="D111" s="2115">
        <v>0.11</v>
      </c>
      <c r="E111" s="2115">
        <v>9.9000000000000005E-2</v>
      </c>
      <c r="F111" s="2116">
        <v>0.128</v>
      </c>
    </row>
    <row r="112" spans="1:6" ht="14.25" thickBot="1">
      <c r="A112" s="1527" t="s">
        <v>202</v>
      </c>
      <c r="B112" s="1521" t="s">
        <v>1213</v>
      </c>
      <c r="C112" s="2115">
        <v>0.125</v>
      </c>
      <c r="D112" s="2115">
        <v>0.125</v>
      </c>
      <c r="E112" s="2115">
        <v>0.12</v>
      </c>
      <c r="F112" s="2116">
        <v>0.125</v>
      </c>
    </row>
    <row r="113" spans="1:6" ht="14.25" thickBot="1">
      <c r="A113" s="1527" t="s">
        <v>202</v>
      </c>
      <c r="B113" s="1521" t="s">
        <v>1226</v>
      </c>
      <c r="C113" s="2115">
        <v>0.13</v>
      </c>
      <c r="D113" s="2115">
        <v>0.13</v>
      </c>
      <c r="E113" s="2115">
        <v>0.13</v>
      </c>
      <c r="F113" s="2116">
        <v>0.13</v>
      </c>
    </row>
    <row r="114" spans="1:6" ht="14.25" thickBot="1">
      <c r="A114" s="1527" t="s">
        <v>202</v>
      </c>
      <c r="B114" s="1521" t="s">
        <v>1238</v>
      </c>
      <c r="C114" s="2115">
        <v>0.123</v>
      </c>
      <c r="D114" s="2115">
        <v>0.123</v>
      </c>
      <c r="E114" s="2115">
        <v>0.12</v>
      </c>
      <c r="F114" s="2116">
        <v>0.13</v>
      </c>
    </row>
    <row r="115" spans="1:6" ht="14.25" thickBot="1">
      <c r="A115" s="1527" t="s">
        <v>202</v>
      </c>
      <c r="B115" s="1521" t="s">
        <v>1249</v>
      </c>
      <c r="C115" s="2115">
        <v>0.125</v>
      </c>
      <c r="D115" s="2115">
        <v>0.125</v>
      </c>
      <c r="E115" s="2115">
        <v>0.11700000000000001</v>
      </c>
      <c r="F115" s="2116">
        <v>0.13</v>
      </c>
    </row>
    <row r="116" spans="1:6" ht="14.25" thickBot="1">
      <c r="A116" s="1527" t="s">
        <v>202</v>
      </c>
      <c r="B116" s="1521" t="s">
        <v>1260</v>
      </c>
      <c r="C116" s="2115">
        <v>0.11700000000000001</v>
      </c>
      <c r="D116" s="2115">
        <v>0.11700000000000001</v>
      </c>
      <c r="E116" s="2115">
        <v>8.7999999999999995E-2</v>
      </c>
      <c r="F116" s="2116">
        <v>0.13</v>
      </c>
    </row>
    <row r="117" spans="1:6" ht="14.25" thickBot="1">
      <c r="A117" s="1527" t="s">
        <v>202</v>
      </c>
      <c r="B117" s="1521" t="s">
        <v>1271</v>
      </c>
      <c r="C117" s="2115">
        <v>0.13</v>
      </c>
      <c r="D117" s="2115">
        <v>0.13</v>
      </c>
      <c r="E117" s="2115">
        <v>0.129</v>
      </c>
      <c r="F117" s="2116">
        <v>0.13</v>
      </c>
    </row>
    <row r="118" spans="1:6" ht="14.25" thickBot="1">
      <c r="A118" s="1527" t="s">
        <v>202</v>
      </c>
      <c r="B118" s="1521" t="s">
        <v>1283</v>
      </c>
      <c r="C118" s="2115">
        <v>0.123</v>
      </c>
      <c r="D118" s="2115">
        <v>0.123</v>
      </c>
      <c r="E118" s="2115">
        <v>0.11600000000000001</v>
      </c>
      <c r="F118" s="2116">
        <v>0.13</v>
      </c>
    </row>
    <row r="119" spans="1:6" ht="14.25" thickBot="1">
      <c r="A119" s="1527" t="s">
        <v>202</v>
      </c>
      <c r="B119" s="1521" t="s">
        <v>1293</v>
      </c>
      <c r="C119" s="2115">
        <v>0.127</v>
      </c>
      <c r="D119" s="2115">
        <v>0.127</v>
      </c>
      <c r="E119" s="2115">
        <v>0.124</v>
      </c>
      <c r="F119" s="2116">
        <v>0.13</v>
      </c>
    </row>
    <row r="120" spans="1:6" ht="14.25" thickBot="1">
      <c r="A120" s="1527" t="s">
        <v>202</v>
      </c>
      <c r="B120" s="1521" t="s">
        <v>1303</v>
      </c>
      <c r="C120" s="2115">
        <v>0.125</v>
      </c>
      <c r="D120" s="2115">
        <v>0.125</v>
      </c>
      <c r="E120" s="2115">
        <v>0.122</v>
      </c>
      <c r="F120" s="2116">
        <v>0.13</v>
      </c>
    </row>
    <row r="121" spans="1:6" ht="14.25" thickBot="1">
      <c r="A121" s="1527" t="s">
        <v>202</v>
      </c>
      <c r="B121" s="1521" t="s">
        <v>1313</v>
      </c>
      <c r="C121" s="2115">
        <v>0.13</v>
      </c>
      <c r="D121" s="2115">
        <v>0.13</v>
      </c>
      <c r="E121" s="2115">
        <v>0.13</v>
      </c>
      <c r="F121" s="2116">
        <v>0.13</v>
      </c>
    </row>
    <row r="122" spans="1:6" ht="14.25" thickBot="1">
      <c r="A122" s="1527" t="s">
        <v>202</v>
      </c>
      <c r="B122" s="1521" t="s">
        <v>1323</v>
      </c>
      <c r="C122" s="2115">
        <v>0.13</v>
      </c>
      <c r="D122" s="2115">
        <v>0.13</v>
      </c>
      <c r="E122" s="2115">
        <v>0.125</v>
      </c>
      <c r="F122" s="2116">
        <v>0.13</v>
      </c>
    </row>
    <row r="123" spans="1:6" ht="14.25" thickBot="1">
      <c r="A123" s="1527" t="s">
        <v>202</v>
      </c>
      <c r="B123" s="1521" t="s">
        <v>1334</v>
      </c>
      <c r="C123" s="2115">
        <v>0.129</v>
      </c>
      <c r="D123" s="2115">
        <v>0.129</v>
      </c>
      <c r="E123" s="2115">
        <v>0.123</v>
      </c>
      <c r="F123" s="2116">
        <v>0.13</v>
      </c>
    </row>
    <row r="124" spans="1:6" ht="14.25" thickBot="1">
      <c r="A124" s="1527" t="s">
        <v>202</v>
      </c>
      <c r="B124" s="1521" t="s">
        <v>1345</v>
      </c>
      <c r="C124" s="2115">
        <v>0.10199999999999999</v>
      </c>
      <c r="D124" s="2115">
        <v>0.10100000000000001</v>
      </c>
      <c r="E124" s="2115">
        <v>0.08</v>
      </c>
      <c r="F124" s="2127"/>
    </row>
    <row r="125" spans="1:6" ht="14.25" thickBot="1">
      <c r="A125" s="1527" t="s">
        <v>202</v>
      </c>
      <c r="B125" s="1521" t="s">
        <v>1355</v>
      </c>
      <c r="C125" s="2115">
        <v>0.13</v>
      </c>
      <c r="D125" s="2115">
        <v>0.13</v>
      </c>
      <c r="E125" s="2115">
        <v>0.129</v>
      </c>
      <c r="F125" s="2127"/>
    </row>
    <row r="126" spans="1:6" ht="14.25" thickBot="1">
      <c r="A126" s="1527" t="s">
        <v>202</v>
      </c>
      <c r="B126" s="1521" t="s">
        <v>1365</v>
      </c>
      <c r="C126" s="2115">
        <v>0.13</v>
      </c>
      <c r="D126" s="2115">
        <v>0.13</v>
      </c>
      <c r="E126" s="2115">
        <v>0.126</v>
      </c>
      <c r="F126" s="2127"/>
    </row>
    <row r="127" spans="1:6" ht="14.25" thickBot="1">
      <c r="A127" s="1527" t="s">
        <v>202</v>
      </c>
      <c r="B127" s="1521" t="s">
        <v>1375</v>
      </c>
      <c r="C127" s="2115">
        <v>0.125</v>
      </c>
      <c r="D127" s="2115">
        <v>0.125</v>
      </c>
      <c r="E127" s="2115">
        <v>0.121</v>
      </c>
      <c r="F127" s="2127"/>
    </row>
    <row r="128" spans="1:6" ht="14.25" thickBot="1">
      <c r="A128" s="1527" t="s">
        <v>202</v>
      </c>
      <c r="B128" s="1521" t="s">
        <v>1385</v>
      </c>
      <c r="C128" s="2115">
        <v>0.12</v>
      </c>
      <c r="D128" s="2115">
        <v>0.12</v>
      </c>
      <c r="E128" s="2115">
        <v>0.105</v>
      </c>
      <c r="F128" s="2127"/>
    </row>
    <row r="129" spans="1:6" ht="14.25" thickBot="1">
      <c r="A129" s="1527" t="s">
        <v>202</v>
      </c>
      <c r="B129" s="1521" t="s">
        <v>1394</v>
      </c>
      <c r="C129" s="2115">
        <v>0.13</v>
      </c>
      <c r="D129" s="2115">
        <v>0.13</v>
      </c>
      <c r="E129" s="2115">
        <v>0.126</v>
      </c>
      <c r="F129" s="2127"/>
    </row>
    <row r="130" spans="1:6" ht="14.25" thickBot="1">
      <c r="A130" s="1527" t="s">
        <v>202</v>
      </c>
      <c r="B130" s="1521" t="s">
        <v>1403</v>
      </c>
      <c r="C130" s="2115">
        <v>0.125</v>
      </c>
      <c r="D130" s="2115">
        <v>0.125</v>
      </c>
      <c r="E130" s="2115">
        <v>0.122</v>
      </c>
      <c r="F130" s="2127"/>
    </row>
    <row r="131" spans="1:6" ht="14.25" thickBot="1">
      <c r="A131" s="1527" t="s">
        <v>202</v>
      </c>
      <c r="B131" s="1521" t="s">
        <v>1411</v>
      </c>
      <c r="C131" s="2115">
        <v>0.127</v>
      </c>
      <c r="D131" s="2115">
        <v>0.126</v>
      </c>
      <c r="E131" s="2115">
        <v>0.123</v>
      </c>
      <c r="F131" s="2127"/>
    </row>
    <row r="132" spans="1:6" ht="14.25" thickBot="1">
      <c r="A132" s="1527" t="s">
        <v>202</v>
      </c>
      <c r="B132" s="1521" t="s">
        <v>1418</v>
      </c>
      <c r="C132" s="2115">
        <v>9.0999999999999998E-2</v>
      </c>
      <c r="D132" s="2115">
        <v>0.121</v>
      </c>
      <c r="E132" s="2115">
        <v>9.9000000000000005E-2</v>
      </c>
      <c r="F132" s="2127"/>
    </row>
    <row r="133" spans="1:6" ht="14.25" thickBot="1">
      <c r="A133" s="1527" t="s">
        <v>202</v>
      </c>
      <c r="B133" s="1521" t="s">
        <v>1425</v>
      </c>
      <c r="C133" s="2115">
        <v>0.13</v>
      </c>
      <c r="D133" s="2115">
        <v>0.13</v>
      </c>
      <c r="E133" s="2115">
        <v>0.129</v>
      </c>
      <c r="F133" s="2127"/>
    </row>
    <row r="134" spans="1:6" ht="14.25" thickBot="1">
      <c r="A134" s="1527" t="s">
        <v>202</v>
      </c>
      <c r="B134" s="1521" t="s">
        <v>2158</v>
      </c>
      <c r="C134" s="2115">
        <v>6.8000000000000005E-2</v>
      </c>
      <c r="D134" s="2115">
        <v>6.5000000000000002E-2</v>
      </c>
      <c r="E134" s="2115">
        <v>6.5000000000000002E-2</v>
      </c>
      <c r="F134" s="2116">
        <v>0.13</v>
      </c>
    </row>
    <row r="135" spans="1:6" ht="14.25" thickBot="1">
      <c r="A135" s="1527" t="s">
        <v>202</v>
      </c>
      <c r="B135" s="1521" t="s">
        <v>1439</v>
      </c>
      <c r="C135" s="2115">
        <v>0.123</v>
      </c>
      <c r="D135" s="2115">
        <v>0.123</v>
      </c>
      <c r="E135" s="2115">
        <v>0.11</v>
      </c>
      <c r="F135" s="2127"/>
    </row>
    <row r="136" spans="1:6" ht="14.25" thickBot="1">
      <c r="A136" s="1527" t="s">
        <v>202</v>
      </c>
      <c r="B136" s="1521" t="s">
        <v>1446</v>
      </c>
      <c r="C136" s="2115">
        <v>0.13</v>
      </c>
      <c r="D136" s="2115">
        <v>0.13</v>
      </c>
      <c r="E136" s="2115">
        <v>0.125</v>
      </c>
      <c r="F136" s="2127"/>
    </row>
    <row r="137" spans="1:6" ht="14.25" thickBot="1">
      <c r="A137" s="1527" t="s">
        <v>202</v>
      </c>
      <c r="B137" s="1521" t="s">
        <v>1453</v>
      </c>
      <c r="C137" s="2115">
        <v>0.121</v>
      </c>
      <c r="D137" s="2115">
        <v>0.122</v>
      </c>
      <c r="E137" s="2115">
        <v>0.115</v>
      </c>
      <c r="F137" s="2127"/>
    </row>
    <row r="138" spans="1:6" ht="14.25" thickBot="1">
      <c r="A138" s="1527" t="s">
        <v>202</v>
      </c>
      <c r="B138" s="1521" t="s">
        <v>2159</v>
      </c>
      <c r="C138" s="2115">
        <v>0.105</v>
      </c>
      <c r="D138" s="2115">
        <v>0.125</v>
      </c>
      <c r="E138" s="2115">
        <v>0.112</v>
      </c>
      <c r="F138" s="2127"/>
    </row>
    <row r="139" spans="1:6" ht="14.25" thickBot="1">
      <c r="A139" s="1527" t="s">
        <v>202</v>
      </c>
      <c r="B139" s="1521" t="s">
        <v>2160</v>
      </c>
      <c r="C139" s="2115">
        <v>0.127</v>
      </c>
      <c r="D139" s="2115">
        <v>0.127</v>
      </c>
      <c r="E139" s="2115">
        <v>0.122</v>
      </c>
      <c r="F139" s="2116">
        <v>0.13</v>
      </c>
    </row>
    <row r="140" spans="1:6" ht="14.25" thickBot="1">
      <c r="A140" s="1527" t="s">
        <v>202</v>
      </c>
      <c r="B140" s="1521" t="s">
        <v>2161</v>
      </c>
      <c r="C140" s="2115">
        <v>0.125</v>
      </c>
      <c r="D140" s="2115">
        <v>0.125</v>
      </c>
      <c r="E140" s="2115">
        <v>0.11899999999999999</v>
      </c>
      <c r="F140" s="2116">
        <v>0.13</v>
      </c>
    </row>
    <row r="141" spans="1:6" ht="14.25" thickBot="1">
      <c r="A141" s="1527" t="s">
        <v>202</v>
      </c>
      <c r="B141" s="1521" t="s">
        <v>1472</v>
      </c>
      <c r="C141" s="2115">
        <v>0.125</v>
      </c>
      <c r="D141" s="2115">
        <v>0.125</v>
      </c>
      <c r="E141" s="2115">
        <v>0.11700000000000001</v>
      </c>
      <c r="F141" s="2127"/>
    </row>
    <row r="142" spans="1:6" ht="14.25" thickBot="1">
      <c r="A142" s="1527" t="s">
        <v>202</v>
      </c>
      <c r="B142" s="1521" t="s">
        <v>1477</v>
      </c>
      <c r="C142" s="2115">
        <v>0.125</v>
      </c>
      <c r="D142" s="2115">
        <v>0.125</v>
      </c>
      <c r="E142" s="2115">
        <v>0.115</v>
      </c>
      <c r="F142" s="2127"/>
    </row>
    <row r="143" spans="1:6" ht="14.25" thickBot="1">
      <c r="A143" s="1527" t="s">
        <v>202</v>
      </c>
      <c r="B143" s="1521" t="s">
        <v>1482</v>
      </c>
      <c r="C143" s="2115">
        <v>0.121</v>
      </c>
      <c r="D143" s="2115">
        <v>0.121</v>
      </c>
      <c r="E143" s="2115">
        <v>0.108</v>
      </c>
      <c r="F143" s="2127"/>
    </row>
    <row r="144" spans="1:6" ht="14.25" thickBot="1">
      <c r="A144" s="1527" t="s">
        <v>202</v>
      </c>
      <c r="B144" s="2119" t="s">
        <v>2162</v>
      </c>
      <c r="C144" s="2120">
        <v>0.126</v>
      </c>
      <c r="D144" s="2120">
        <v>0.126</v>
      </c>
      <c r="E144" s="2120">
        <v>0.121</v>
      </c>
      <c r="F144" s="2127"/>
    </row>
    <row r="145" spans="1:6" ht="14.25" thickBot="1">
      <c r="A145" s="1537" t="s">
        <v>202</v>
      </c>
      <c r="B145" s="2121" t="s">
        <v>2163</v>
      </c>
      <c r="C145" s="2129"/>
      <c r="D145" s="2129"/>
      <c r="E145" s="2129"/>
      <c r="F145" s="2122">
        <v>0.05</v>
      </c>
    </row>
    <row r="146" spans="1:6" ht="24.75" thickBot="1">
      <c r="A146" s="2123" t="s">
        <v>202</v>
      </c>
      <c r="B146" s="1531" t="s">
        <v>2164</v>
      </c>
      <c r="C146" s="2128"/>
      <c r="D146" s="2128"/>
      <c r="E146" s="2128"/>
      <c r="F146" s="2124">
        <v>0.05</v>
      </c>
    </row>
    <row r="147" spans="1:6" ht="24.75" thickBot="1">
      <c r="A147" s="1527" t="s">
        <v>202</v>
      </c>
      <c r="B147" s="1521" t="s">
        <v>2165</v>
      </c>
      <c r="C147" s="2128"/>
      <c r="D147" s="2128"/>
      <c r="E147" s="2128"/>
      <c r="F147" s="2116">
        <v>0.05</v>
      </c>
    </row>
    <row r="148" spans="1:6" ht="24.75" thickBot="1">
      <c r="A148" s="1527" t="s">
        <v>202</v>
      </c>
      <c r="B148" s="1521" t="s">
        <v>2166</v>
      </c>
      <c r="C148" s="2128"/>
      <c r="D148" s="2128"/>
      <c r="E148" s="2128"/>
      <c r="F148" s="2116">
        <v>0.05</v>
      </c>
    </row>
    <row r="149" spans="1:6" ht="24.75" thickBot="1">
      <c r="A149" s="1527" t="s">
        <v>202</v>
      </c>
      <c r="B149" s="1521" t="s">
        <v>2167</v>
      </c>
      <c r="C149" s="2128"/>
      <c r="D149" s="2128"/>
      <c r="E149" s="2128"/>
      <c r="F149" s="2116">
        <v>0.05</v>
      </c>
    </row>
    <row r="150" spans="1:6" ht="24.75" thickBot="1">
      <c r="A150" s="1527" t="s">
        <v>202</v>
      </c>
      <c r="B150" s="1521" t="s">
        <v>2168</v>
      </c>
      <c r="C150" s="2128"/>
      <c r="D150" s="2128"/>
      <c r="E150" s="2128"/>
      <c r="F150" s="2116">
        <v>0.05</v>
      </c>
    </row>
    <row r="151" spans="1:6" ht="24.75" thickBot="1">
      <c r="A151" s="1527" t="s">
        <v>202</v>
      </c>
      <c r="B151" s="1521" t="s">
        <v>2169</v>
      </c>
      <c r="C151" s="2128"/>
      <c r="D151" s="2128"/>
      <c r="E151" s="2128"/>
      <c r="F151" s="2116">
        <v>0.05</v>
      </c>
    </row>
    <row r="152" spans="1:6" ht="24.75" thickBot="1">
      <c r="A152" s="1527" t="s">
        <v>202</v>
      </c>
      <c r="B152" s="1521" t="s">
        <v>1515</v>
      </c>
      <c r="C152" s="2128"/>
      <c r="D152" s="2128"/>
      <c r="E152" s="2128"/>
      <c r="F152" s="2116">
        <v>0.05</v>
      </c>
    </row>
    <row r="153" spans="1:6" ht="14.25" thickBot="1">
      <c r="A153" s="1527" t="s">
        <v>202</v>
      </c>
      <c r="B153" s="1521" t="s">
        <v>2170</v>
      </c>
      <c r="C153" s="2128"/>
      <c r="D153" s="2128"/>
      <c r="E153" s="2128"/>
      <c r="F153" s="2116">
        <v>0.05</v>
      </c>
    </row>
    <row r="154" spans="1:6" ht="14.25" thickBot="1">
      <c r="A154" s="1527" t="s">
        <v>202</v>
      </c>
      <c r="B154" s="1521" t="s">
        <v>2171</v>
      </c>
      <c r="C154" s="2128"/>
      <c r="D154" s="2128"/>
      <c r="E154" s="2128"/>
      <c r="F154" s="2116">
        <v>0.05</v>
      </c>
    </row>
    <row r="155" spans="1:6" ht="24.75" thickBot="1">
      <c r="A155" s="1527" t="s">
        <v>202</v>
      </c>
      <c r="B155" s="1521" t="s">
        <v>2172</v>
      </c>
      <c r="C155" s="2128"/>
      <c r="D155" s="2128"/>
      <c r="E155" s="2128"/>
      <c r="F155" s="2116">
        <v>0.05</v>
      </c>
    </row>
    <row r="156" spans="1:6" ht="24.75" thickBot="1">
      <c r="A156" s="1527" t="s">
        <v>202</v>
      </c>
      <c r="B156" s="1521" t="s">
        <v>2173</v>
      </c>
      <c r="C156" s="2128"/>
      <c r="D156" s="2128"/>
      <c r="E156" s="2128"/>
      <c r="F156" s="2116">
        <v>0.05</v>
      </c>
    </row>
    <row r="157" spans="1:6" ht="14.25" thickBot="1">
      <c r="A157" s="1537" t="s">
        <v>202</v>
      </c>
      <c r="B157" s="1533" t="s">
        <v>2174</v>
      </c>
      <c r="C157" s="2125"/>
      <c r="D157" s="2125"/>
      <c r="E157" s="2125"/>
      <c r="F157" s="2118">
        <v>0.05</v>
      </c>
    </row>
    <row r="158" spans="1:6" ht="14.25" thickBot="1">
      <c r="A158" s="1527" t="s">
        <v>1534</v>
      </c>
      <c r="B158" s="1528" t="s">
        <v>2175</v>
      </c>
      <c r="C158" s="2113">
        <v>0.13</v>
      </c>
      <c r="D158" s="2113">
        <v>0.13</v>
      </c>
      <c r="E158" s="2113">
        <v>0.13</v>
      </c>
      <c r="F158" s="2114">
        <v>0.13</v>
      </c>
    </row>
    <row r="159" spans="1:6" ht="14.25" thickBot="1">
      <c r="A159" s="1527" t="s">
        <v>1534</v>
      </c>
      <c r="B159" s="1521" t="s">
        <v>1201</v>
      </c>
      <c r="C159" s="2115">
        <v>0.13</v>
      </c>
      <c r="D159" s="2115">
        <v>0.13</v>
      </c>
      <c r="E159" s="2115">
        <v>0.13</v>
      </c>
      <c r="F159" s="2116">
        <v>0.13</v>
      </c>
    </row>
    <row r="160" spans="1:6" ht="14.25" thickBot="1">
      <c r="A160" s="1527" t="s">
        <v>1534</v>
      </c>
      <c r="B160" s="1521" t="s">
        <v>1214</v>
      </c>
      <c r="C160" s="2115">
        <v>0.13</v>
      </c>
      <c r="D160" s="2115">
        <v>0.13</v>
      </c>
      <c r="E160" s="2115">
        <v>0.129</v>
      </c>
      <c r="F160" s="2116">
        <v>0.13</v>
      </c>
    </row>
    <row r="161" spans="1:6" ht="14.25" thickBot="1">
      <c r="A161" s="1527" t="s">
        <v>1534</v>
      </c>
      <c r="B161" s="1521" t="s">
        <v>1227</v>
      </c>
      <c r="C161" s="2115">
        <v>0.128</v>
      </c>
      <c r="D161" s="2115">
        <v>0.128</v>
      </c>
      <c r="E161" s="2115">
        <v>0.125</v>
      </c>
      <c r="F161" s="2116">
        <v>0.13</v>
      </c>
    </row>
    <row r="162" spans="1:6" ht="14.25" thickBot="1">
      <c r="A162" s="1527" t="s">
        <v>1534</v>
      </c>
      <c r="B162" s="1521" t="s">
        <v>1239</v>
      </c>
      <c r="C162" s="2115">
        <v>0.122</v>
      </c>
      <c r="D162" s="2115">
        <v>0.122</v>
      </c>
      <c r="E162" s="2115">
        <v>0.126</v>
      </c>
      <c r="F162" s="2116">
        <v>0.122</v>
      </c>
    </row>
    <row r="163" spans="1:6" ht="14.25" thickBot="1">
      <c r="A163" s="1527" t="s">
        <v>1534</v>
      </c>
      <c r="B163" s="1521" t="s">
        <v>1250</v>
      </c>
      <c r="C163" s="2115">
        <v>0.13</v>
      </c>
      <c r="D163" s="2115">
        <v>0.13</v>
      </c>
      <c r="E163" s="2115">
        <v>0.125</v>
      </c>
      <c r="F163" s="2116">
        <v>0.13</v>
      </c>
    </row>
    <row r="164" spans="1:6" ht="14.25" thickBot="1">
      <c r="A164" s="1527" t="s">
        <v>1534</v>
      </c>
      <c r="B164" s="1521" t="s">
        <v>1261</v>
      </c>
      <c r="C164" s="2115">
        <v>0.13</v>
      </c>
      <c r="D164" s="2115">
        <v>0.13</v>
      </c>
      <c r="E164" s="2115">
        <v>0.13</v>
      </c>
      <c r="F164" s="2116">
        <v>0.13</v>
      </c>
    </row>
    <row r="165" spans="1:6" ht="14.25" thickBot="1">
      <c r="A165" s="1527" t="s">
        <v>1534</v>
      </c>
      <c r="B165" s="1521" t="s">
        <v>1272</v>
      </c>
      <c r="C165" s="2115">
        <v>0.13</v>
      </c>
      <c r="D165" s="2115">
        <v>0.13</v>
      </c>
      <c r="E165" s="2115">
        <v>0.124</v>
      </c>
      <c r="F165" s="2116">
        <v>0.13</v>
      </c>
    </row>
    <row r="166" spans="1:6" ht="14.25" thickBot="1">
      <c r="A166" s="1527" t="s">
        <v>1534</v>
      </c>
      <c r="B166" s="1521" t="s">
        <v>1284</v>
      </c>
      <c r="C166" s="2115">
        <v>0.13</v>
      </c>
      <c r="D166" s="2115">
        <v>0.13</v>
      </c>
      <c r="E166" s="2115">
        <v>0.13</v>
      </c>
      <c r="F166" s="2116">
        <v>0.13</v>
      </c>
    </row>
    <row r="167" spans="1:6" ht="14.25" thickBot="1">
      <c r="A167" s="1527" t="s">
        <v>1534</v>
      </c>
      <c r="B167" s="1521" t="s">
        <v>1294</v>
      </c>
      <c r="C167" s="2115">
        <v>0.125</v>
      </c>
      <c r="D167" s="2115">
        <v>0.125</v>
      </c>
      <c r="E167" s="2115">
        <v>0.121</v>
      </c>
      <c r="F167" s="2127"/>
    </row>
    <row r="168" spans="1:6" ht="14.25" thickBot="1">
      <c r="A168" s="1527" t="s">
        <v>1534</v>
      </c>
      <c r="B168" s="1521" t="s">
        <v>1304</v>
      </c>
      <c r="C168" s="2115">
        <v>0.13</v>
      </c>
      <c r="D168" s="2115">
        <v>0.13</v>
      </c>
      <c r="E168" s="2115">
        <v>0.126</v>
      </c>
      <c r="F168" s="2127"/>
    </row>
    <row r="169" spans="1:6" ht="14.25" thickBot="1">
      <c r="A169" s="1527" t="s">
        <v>1534</v>
      </c>
      <c r="B169" s="1521" t="s">
        <v>1314</v>
      </c>
      <c r="C169" s="2115">
        <v>0.128</v>
      </c>
      <c r="D169" s="2115">
        <v>0.129</v>
      </c>
      <c r="E169" s="2115">
        <v>0.13</v>
      </c>
      <c r="F169" s="2127"/>
    </row>
    <row r="170" spans="1:6" ht="14.25" thickBot="1">
      <c r="A170" s="1527" t="s">
        <v>1534</v>
      </c>
      <c r="B170" s="1521" t="s">
        <v>1324</v>
      </c>
      <c r="C170" s="2115">
        <v>0.14099999999999999</v>
      </c>
      <c r="D170" s="2115">
        <v>0.13</v>
      </c>
      <c r="E170" s="2115">
        <v>0.125</v>
      </c>
      <c r="F170" s="2127"/>
    </row>
    <row r="171" spans="1:6" ht="14.25" thickBot="1">
      <c r="A171" s="1527" t="s">
        <v>1534</v>
      </c>
      <c r="B171" s="1521" t="s">
        <v>2176</v>
      </c>
      <c r="C171" s="2115">
        <v>0.127</v>
      </c>
      <c r="D171" s="2115">
        <v>0.126</v>
      </c>
      <c r="E171" s="2115">
        <v>0.126</v>
      </c>
      <c r="F171" s="2116">
        <v>0.11799999999999999</v>
      </c>
    </row>
    <row r="172" spans="1:6" ht="14.25" thickBot="1">
      <c r="A172" s="1527" t="s">
        <v>1534</v>
      </c>
      <c r="B172" s="1521" t="s">
        <v>2177</v>
      </c>
      <c r="C172" s="2115">
        <v>0.13</v>
      </c>
      <c r="D172" s="2115">
        <v>0.13</v>
      </c>
      <c r="E172" s="2115">
        <v>0.13</v>
      </c>
      <c r="F172" s="2127"/>
    </row>
    <row r="173" spans="1:6" ht="14.25" thickBot="1">
      <c r="A173" s="1527" t="s">
        <v>1534</v>
      </c>
      <c r="B173" s="1521" t="s">
        <v>1356</v>
      </c>
      <c r="C173" s="2115">
        <v>0.13</v>
      </c>
      <c r="D173" s="2115">
        <v>0.13</v>
      </c>
      <c r="E173" s="2115">
        <v>0.13</v>
      </c>
      <c r="F173" s="2127"/>
    </row>
    <row r="174" spans="1:6" ht="14.25" thickBot="1">
      <c r="A174" s="1527" t="s">
        <v>1534</v>
      </c>
      <c r="B174" s="1521" t="s">
        <v>2178</v>
      </c>
      <c r="C174" s="2115">
        <v>0.13</v>
      </c>
      <c r="D174" s="2115">
        <v>0.13</v>
      </c>
      <c r="E174" s="2115">
        <v>0.13</v>
      </c>
      <c r="F174" s="2116">
        <v>0.13</v>
      </c>
    </row>
    <row r="175" spans="1:6" ht="14.25" thickBot="1">
      <c r="A175" s="1527" t="s">
        <v>1534</v>
      </c>
      <c r="B175" s="1521" t="s">
        <v>2179</v>
      </c>
      <c r="C175" s="2115">
        <v>0.13</v>
      </c>
      <c r="D175" s="2115">
        <v>0.13</v>
      </c>
      <c r="E175" s="2115">
        <v>0.13</v>
      </c>
      <c r="F175" s="2116">
        <v>0.13</v>
      </c>
    </row>
    <row r="176" spans="1:6" ht="14.25" thickBot="1">
      <c r="A176" s="1527" t="s">
        <v>1534</v>
      </c>
      <c r="B176" s="1521" t="s">
        <v>1386</v>
      </c>
      <c r="C176" s="2115">
        <v>0.13</v>
      </c>
      <c r="D176" s="2115">
        <v>0.13</v>
      </c>
      <c r="E176" s="2115">
        <v>0.13</v>
      </c>
      <c r="F176" s="2116">
        <v>0.13</v>
      </c>
    </row>
    <row r="177" spans="1:6" ht="14.25" thickBot="1">
      <c r="A177" s="1527" t="s">
        <v>1534</v>
      </c>
      <c r="B177" s="1521" t="s">
        <v>2180</v>
      </c>
      <c r="C177" s="2115">
        <v>0.13</v>
      </c>
      <c r="D177" s="2115">
        <v>0.13</v>
      </c>
      <c r="E177" s="2115">
        <v>0.13</v>
      </c>
      <c r="F177" s="2116">
        <v>0.13</v>
      </c>
    </row>
    <row r="178" spans="1:6" ht="14.25" thickBot="1">
      <c r="A178" s="1527" t="s">
        <v>1534</v>
      </c>
      <c r="B178" s="1521" t="s">
        <v>1404</v>
      </c>
      <c r="C178" s="2115">
        <v>0.13</v>
      </c>
      <c r="D178" s="2115">
        <v>0.13</v>
      </c>
      <c r="E178" s="2115">
        <v>0.13</v>
      </c>
      <c r="F178" s="2116">
        <v>0.127</v>
      </c>
    </row>
    <row r="179" spans="1:6" ht="14.25" thickBot="1">
      <c r="A179" s="1527" t="s">
        <v>1534</v>
      </c>
      <c r="B179" s="1521" t="s">
        <v>1412</v>
      </c>
      <c r="C179" s="2115">
        <v>0.13</v>
      </c>
      <c r="D179" s="2115">
        <v>0.13</v>
      </c>
      <c r="E179" s="2115">
        <v>0.13</v>
      </c>
      <c r="F179" s="2127"/>
    </row>
    <row r="180" spans="1:6" ht="14.25" thickBot="1">
      <c r="A180" s="1527" t="s">
        <v>1534</v>
      </c>
      <c r="B180" s="1521" t="s">
        <v>2181</v>
      </c>
      <c r="C180" s="2115">
        <v>0.13</v>
      </c>
      <c r="D180" s="2115">
        <v>0.13</v>
      </c>
      <c r="E180" s="2115">
        <v>0.125</v>
      </c>
      <c r="F180" s="2116">
        <v>0.13</v>
      </c>
    </row>
    <row r="181" spans="1:6" ht="14.25" thickBot="1">
      <c r="A181" s="1527" t="s">
        <v>1534</v>
      </c>
      <c r="B181" s="1521" t="s">
        <v>1426</v>
      </c>
      <c r="C181" s="2115">
        <v>0.122</v>
      </c>
      <c r="D181" s="2115">
        <v>0.123</v>
      </c>
      <c r="E181" s="2115">
        <v>0.126</v>
      </c>
      <c r="F181" s="2116">
        <v>0.121</v>
      </c>
    </row>
    <row r="182" spans="1:6" ht="14.25" thickBot="1">
      <c r="A182" s="1527" t="s">
        <v>1534</v>
      </c>
      <c r="B182" s="1521" t="s">
        <v>1433</v>
      </c>
      <c r="C182" s="2115">
        <v>0.125</v>
      </c>
      <c r="D182" s="2115">
        <v>0.125</v>
      </c>
      <c r="E182" s="2115">
        <v>0.11700000000000001</v>
      </c>
      <c r="F182" s="2116">
        <v>0.13</v>
      </c>
    </row>
    <row r="183" spans="1:6" ht="14.25" thickBot="1">
      <c r="A183" s="1527" t="s">
        <v>1534</v>
      </c>
      <c r="B183" s="1521" t="s">
        <v>1440</v>
      </c>
      <c r="C183" s="2115">
        <v>0.127</v>
      </c>
      <c r="D183" s="2115">
        <v>0.127</v>
      </c>
      <c r="E183" s="2115">
        <v>0.128</v>
      </c>
      <c r="F183" s="2127"/>
    </row>
    <row r="184" spans="1:6" ht="14.25" thickBot="1">
      <c r="A184" s="1527" t="s">
        <v>1534</v>
      </c>
      <c r="B184" s="1521" t="s">
        <v>1447</v>
      </c>
      <c r="C184" s="2115">
        <v>0.125</v>
      </c>
      <c r="D184" s="2115">
        <v>0.125</v>
      </c>
      <c r="E184" s="2115">
        <v>0.127</v>
      </c>
      <c r="F184" s="2127"/>
    </row>
    <row r="185" spans="1:6" ht="14.25" thickBot="1">
      <c r="A185" s="1527" t="s">
        <v>1534</v>
      </c>
      <c r="B185" s="1521" t="s">
        <v>2182</v>
      </c>
      <c r="C185" s="2115">
        <v>0.127</v>
      </c>
      <c r="D185" s="2115">
        <v>0.127</v>
      </c>
      <c r="E185" s="2115">
        <v>0.128</v>
      </c>
      <c r="F185" s="2116">
        <v>0.13</v>
      </c>
    </row>
    <row r="186" spans="1:6" ht="24.75" thickBot="1">
      <c r="A186" s="1527" t="s">
        <v>1534</v>
      </c>
      <c r="B186" s="1521" t="s">
        <v>2183</v>
      </c>
      <c r="C186" s="2128"/>
      <c r="D186" s="2128"/>
      <c r="E186" s="2128"/>
      <c r="F186" s="2116">
        <v>0.05</v>
      </c>
    </row>
    <row r="187" spans="1:6" ht="14.25" thickBot="1">
      <c r="A187" s="1527" t="s">
        <v>1534</v>
      </c>
      <c r="B187" s="1521" t="s">
        <v>2184</v>
      </c>
      <c r="C187" s="2128"/>
      <c r="D187" s="2128"/>
      <c r="E187" s="2128"/>
      <c r="F187" s="2116">
        <v>0.05</v>
      </c>
    </row>
    <row r="188" spans="1:6" ht="14.25" thickBot="1">
      <c r="A188" s="1527" t="s">
        <v>1534</v>
      </c>
      <c r="B188" s="1521" t="s">
        <v>2185</v>
      </c>
      <c r="C188" s="2128"/>
      <c r="D188" s="2128"/>
      <c r="E188" s="2128"/>
      <c r="F188" s="2116">
        <v>0.05</v>
      </c>
    </row>
    <row r="189" spans="1:6" ht="24.75" thickBot="1">
      <c r="A189" s="1527" t="s">
        <v>1534</v>
      </c>
      <c r="B189" s="1521" t="s">
        <v>2186</v>
      </c>
      <c r="C189" s="2128"/>
      <c r="D189" s="2128"/>
      <c r="E189" s="2128"/>
      <c r="F189" s="2116">
        <v>0.05</v>
      </c>
    </row>
    <row r="190" spans="1:6" ht="24.75" thickBot="1">
      <c r="A190" s="1527" t="s">
        <v>1534</v>
      </c>
      <c r="B190" s="1521" t="s">
        <v>2187</v>
      </c>
      <c r="C190" s="2128"/>
      <c r="D190" s="2128"/>
      <c r="E190" s="2128"/>
      <c r="F190" s="2116">
        <v>0.05</v>
      </c>
    </row>
    <row r="191" spans="1:6" ht="24.75" thickBot="1">
      <c r="A191" s="1527" t="s">
        <v>1534</v>
      </c>
      <c r="B191" s="1521" t="s">
        <v>2188</v>
      </c>
      <c r="C191" s="2128"/>
      <c r="D191" s="2128"/>
      <c r="E191" s="2128"/>
      <c r="F191" s="2116">
        <v>0.05</v>
      </c>
    </row>
    <row r="192" spans="1:6" ht="24.75" thickBot="1">
      <c r="A192" s="1527" t="s">
        <v>1534</v>
      </c>
      <c r="B192" s="1521" t="s">
        <v>2189</v>
      </c>
      <c r="C192" s="2128"/>
      <c r="D192" s="2128"/>
      <c r="E192" s="2128"/>
      <c r="F192" s="2116">
        <v>0.05</v>
      </c>
    </row>
    <row r="193" spans="1:6" ht="24.75" thickBot="1">
      <c r="A193" s="1527" t="s">
        <v>1534</v>
      </c>
      <c r="B193" s="1521" t="s">
        <v>2190</v>
      </c>
      <c r="C193" s="2128"/>
      <c r="D193" s="2128"/>
      <c r="E193" s="2128"/>
      <c r="F193" s="2116">
        <v>0.05</v>
      </c>
    </row>
    <row r="194" spans="1:6" ht="24.75" thickBot="1">
      <c r="A194" s="1527" t="s">
        <v>1534</v>
      </c>
      <c r="B194" s="1521" t="s">
        <v>2191</v>
      </c>
      <c r="C194" s="2128"/>
      <c r="D194" s="2128"/>
      <c r="E194" s="2128"/>
      <c r="F194" s="2116">
        <v>0.05</v>
      </c>
    </row>
    <row r="195" spans="1:6" ht="14.25" thickBot="1">
      <c r="A195" s="1527" t="s">
        <v>1534</v>
      </c>
      <c r="B195" s="1521" t="s">
        <v>2192</v>
      </c>
      <c r="C195" s="2128"/>
      <c r="D195" s="2128"/>
      <c r="E195" s="2128"/>
      <c r="F195" s="2116">
        <v>0.05</v>
      </c>
    </row>
    <row r="196" spans="1:6" ht="24.75" thickBot="1">
      <c r="A196" s="1527" t="s">
        <v>1534</v>
      </c>
      <c r="B196" s="1521" t="s">
        <v>2193</v>
      </c>
      <c r="C196" s="2128"/>
      <c r="D196" s="2128"/>
      <c r="E196" s="2128"/>
      <c r="F196" s="2116">
        <v>0.05</v>
      </c>
    </row>
    <row r="197" spans="1:6" ht="24.75" thickBot="1">
      <c r="A197" s="1527" t="s">
        <v>1534</v>
      </c>
      <c r="B197" s="1521" t="s">
        <v>2194</v>
      </c>
      <c r="C197" s="2128"/>
      <c r="D197" s="2128"/>
      <c r="E197" s="2128"/>
      <c r="F197" s="2116">
        <v>0.05</v>
      </c>
    </row>
    <row r="198" spans="1:6" ht="24.75" thickBot="1">
      <c r="A198" s="1527" t="s">
        <v>1534</v>
      </c>
      <c r="B198" s="1521" t="s">
        <v>2195</v>
      </c>
      <c r="C198" s="2128"/>
      <c r="D198" s="2128"/>
      <c r="E198" s="2128"/>
      <c r="F198" s="2116">
        <v>0.05</v>
      </c>
    </row>
    <row r="199" spans="1:6" ht="24.75" thickBot="1">
      <c r="A199" s="1527" t="s">
        <v>1534</v>
      </c>
      <c r="B199" s="1521" t="s">
        <v>2196</v>
      </c>
      <c r="C199" s="2128"/>
      <c r="D199" s="2128"/>
      <c r="E199" s="2128"/>
      <c r="F199" s="2116">
        <v>0.05</v>
      </c>
    </row>
    <row r="200" spans="1:6" ht="24.75" thickBot="1">
      <c r="A200" s="1527" t="s">
        <v>1534</v>
      </c>
      <c r="B200" s="1521" t="s">
        <v>2197</v>
      </c>
      <c r="C200" s="2128"/>
      <c r="D200" s="2128"/>
      <c r="E200" s="2128"/>
      <c r="F200" s="2116">
        <v>0.05</v>
      </c>
    </row>
    <row r="201" spans="1:6" ht="24.75" thickBot="1">
      <c r="A201" s="1527" t="s">
        <v>1534</v>
      </c>
      <c r="B201" s="1521" t="s">
        <v>2198</v>
      </c>
      <c r="C201" s="2128"/>
      <c r="D201" s="2128"/>
      <c r="E201" s="2128"/>
      <c r="F201" s="2116">
        <v>0.05</v>
      </c>
    </row>
    <row r="202" spans="1:6" ht="24.75" thickBot="1">
      <c r="A202" s="1527" t="s">
        <v>1534</v>
      </c>
      <c r="B202" s="1521" t="s">
        <v>2199</v>
      </c>
      <c r="C202" s="2128"/>
      <c r="D202" s="2128"/>
      <c r="E202" s="2128"/>
      <c r="F202" s="2116">
        <v>0.05</v>
      </c>
    </row>
    <row r="203" spans="1:6" ht="24.75" thickBot="1">
      <c r="A203" s="1527" t="s">
        <v>1534</v>
      </c>
      <c r="B203" s="1521" t="s">
        <v>2200</v>
      </c>
      <c r="C203" s="2128"/>
      <c r="D203" s="2128"/>
      <c r="E203" s="2128"/>
      <c r="F203" s="2116">
        <v>0.05</v>
      </c>
    </row>
    <row r="204" spans="1:6" ht="14.25" thickBot="1">
      <c r="A204" s="1527" t="s">
        <v>1534</v>
      </c>
      <c r="B204" s="1521" t="s">
        <v>2201</v>
      </c>
      <c r="C204" s="2128"/>
      <c r="D204" s="2128"/>
      <c r="E204" s="2128"/>
      <c r="F204" s="2116">
        <v>0.05</v>
      </c>
    </row>
    <row r="205" spans="1:6" ht="14.25" thickBot="1">
      <c r="A205" s="1537" t="s">
        <v>1534</v>
      </c>
      <c r="B205" s="1533" t="s">
        <v>2202</v>
      </c>
      <c r="C205" s="2125"/>
      <c r="D205" s="2125"/>
      <c r="E205" s="2125"/>
      <c r="F205" s="2118">
        <v>0.05</v>
      </c>
    </row>
    <row r="206" spans="1:6" ht="14.25" thickBot="1">
      <c r="A206" s="1527" t="s">
        <v>1536</v>
      </c>
      <c r="B206" s="1528" t="s">
        <v>2203</v>
      </c>
      <c r="C206" s="2113">
        <v>0.15</v>
      </c>
      <c r="D206" s="2113">
        <v>0.15</v>
      </c>
      <c r="E206" s="2113">
        <v>0.15</v>
      </c>
      <c r="F206" s="2114">
        <v>0.15</v>
      </c>
    </row>
    <row r="207" spans="1:6" ht="14.25" thickBot="1">
      <c r="A207" s="1527" t="s">
        <v>1536</v>
      </c>
      <c r="B207" s="1521" t="s">
        <v>1202</v>
      </c>
      <c r="C207" s="2115">
        <v>0.15</v>
      </c>
      <c r="D207" s="2115">
        <v>0.15</v>
      </c>
      <c r="E207" s="2115">
        <v>0.15</v>
      </c>
      <c r="F207" s="2116">
        <v>0.14399999999999999</v>
      </c>
    </row>
    <row r="208" spans="1:6" ht="14.25" thickBot="1">
      <c r="A208" s="1527" t="s">
        <v>1536</v>
      </c>
      <c r="B208" s="1521" t="s">
        <v>1215</v>
      </c>
      <c r="C208" s="2115">
        <v>0.15</v>
      </c>
      <c r="D208" s="2115">
        <v>0.15</v>
      </c>
      <c r="E208" s="2115">
        <v>0.15</v>
      </c>
      <c r="F208" s="2116">
        <v>0.15</v>
      </c>
    </row>
    <row r="209" spans="1:6" ht="14.25" thickBot="1">
      <c r="A209" s="1527" t="s">
        <v>1536</v>
      </c>
      <c r="B209" s="1521" t="s">
        <v>1228</v>
      </c>
      <c r="C209" s="2115">
        <v>0.13700000000000001</v>
      </c>
      <c r="D209" s="2115">
        <v>0.13700000000000001</v>
      </c>
      <c r="E209" s="2115">
        <v>0.14000000000000001</v>
      </c>
      <c r="F209" s="2116">
        <v>0.11700000000000001</v>
      </c>
    </row>
    <row r="210" spans="1:6" ht="14.25" thickBot="1">
      <c r="A210" s="1527" t="s">
        <v>1536</v>
      </c>
      <c r="B210" s="1521" t="s">
        <v>2204</v>
      </c>
      <c r="C210" s="2115">
        <v>0.15</v>
      </c>
      <c r="D210" s="2115">
        <v>0.15</v>
      </c>
      <c r="E210" s="2115">
        <v>0.15</v>
      </c>
      <c r="F210" s="2116">
        <v>0.13800000000000001</v>
      </c>
    </row>
    <row r="211" spans="1:6" ht="14.25" thickBot="1">
      <c r="A211" s="1527" t="s">
        <v>1536</v>
      </c>
      <c r="B211" s="1521" t="s">
        <v>2205</v>
      </c>
      <c r="C211" s="2115">
        <v>0.13700000000000001</v>
      </c>
      <c r="D211" s="2115">
        <v>0.13500000000000001</v>
      </c>
      <c r="E211" s="2115">
        <v>0.13600000000000001</v>
      </c>
      <c r="F211" s="2116">
        <v>0.1</v>
      </c>
    </row>
    <row r="212" spans="1:6" ht="14.25" thickBot="1">
      <c r="A212" s="1527" t="s">
        <v>1536</v>
      </c>
      <c r="B212" s="1521" t="s">
        <v>2206</v>
      </c>
      <c r="C212" s="2115">
        <v>0.15</v>
      </c>
      <c r="D212" s="2115">
        <v>0.15</v>
      </c>
      <c r="E212" s="2115">
        <v>0.14799999999999999</v>
      </c>
      <c r="F212" s="2116">
        <v>0.13600000000000001</v>
      </c>
    </row>
    <row r="213" spans="1:6" ht="14.25" thickBot="1">
      <c r="A213" s="1527" t="s">
        <v>1536</v>
      </c>
      <c r="B213" s="1521" t="s">
        <v>1273</v>
      </c>
      <c r="C213" s="2115">
        <v>0.15</v>
      </c>
      <c r="D213" s="2115">
        <v>0.15</v>
      </c>
      <c r="E213" s="2115">
        <v>0.15</v>
      </c>
      <c r="F213" s="2116">
        <v>0.13800000000000001</v>
      </c>
    </row>
    <row r="214" spans="1:6" ht="14.25" thickBot="1">
      <c r="A214" s="1527" t="s">
        <v>1536</v>
      </c>
      <c r="B214" s="1521" t="s">
        <v>1285</v>
      </c>
      <c r="C214" s="2115">
        <v>9.0999999999999998E-2</v>
      </c>
      <c r="D214" s="2115">
        <v>0.09</v>
      </c>
      <c r="E214" s="2115">
        <v>9.1999999999999998E-2</v>
      </c>
      <c r="F214" s="2127"/>
    </row>
    <row r="215" spans="1:6" ht="14.25" thickBot="1">
      <c r="A215" s="1527" t="s">
        <v>1536</v>
      </c>
      <c r="B215" s="1521" t="s">
        <v>2207</v>
      </c>
      <c r="C215" s="2115">
        <v>0.15</v>
      </c>
      <c r="D215" s="2115">
        <v>0.15</v>
      </c>
      <c r="E215" s="2115">
        <v>0.15</v>
      </c>
      <c r="F215" s="2116">
        <v>0.15</v>
      </c>
    </row>
    <row r="216" spans="1:6" ht="14.25" thickBot="1">
      <c r="A216" s="1527" t="s">
        <v>1536</v>
      </c>
      <c r="B216" s="1521" t="s">
        <v>1305</v>
      </c>
      <c r="C216" s="2115">
        <v>0.14699999999999999</v>
      </c>
      <c r="D216" s="2115">
        <v>0.14699999999999999</v>
      </c>
      <c r="E216" s="2115">
        <v>0.15</v>
      </c>
      <c r="F216" s="2116">
        <v>0.14000000000000001</v>
      </c>
    </row>
    <row r="217" spans="1:6" ht="14.25" thickBot="1">
      <c r="A217" s="1527" t="s">
        <v>1536</v>
      </c>
      <c r="B217" s="1521" t="s">
        <v>1315</v>
      </c>
      <c r="C217" s="2115">
        <v>0.15</v>
      </c>
      <c r="D217" s="2115">
        <v>0.15</v>
      </c>
      <c r="E217" s="2115">
        <v>0.15</v>
      </c>
      <c r="F217" s="2116">
        <v>0.15</v>
      </c>
    </row>
    <row r="218" spans="1:6" ht="14.25" thickBot="1">
      <c r="A218" s="1527" t="s">
        <v>1536</v>
      </c>
      <c r="B218" s="1521" t="s">
        <v>2208</v>
      </c>
      <c r="C218" s="2115">
        <v>0.15</v>
      </c>
      <c r="D218" s="2115">
        <v>0.15</v>
      </c>
      <c r="E218" s="2115">
        <v>0.15</v>
      </c>
      <c r="F218" s="2116">
        <v>0.15</v>
      </c>
    </row>
    <row r="219" spans="1:6" ht="14.25" thickBot="1">
      <c r="A219" s="1527" t="s">
        <v>1536</v>
      </c>
      <c r="B219" s="1521" t="s">
        <v>1336</v>
      </c>
      <c r="C219" s="2115">
        <v>0.15</v>
      </c>
      <c r="D219" s="2115">
        <v>0.15</v>
      </c>
      <c r="E219" s="2115">
        <v>0.15</v>
      </c>
      <c r="F219" s="2116">
        <v>0.14799999999999999</v>
      </c>
    </row>
    <row r="220" spans="1:6" ht="14.25" thickBot="1">
      <c r="A220" s="1527" t="s">
        <v>1536</v>
      </c>
      <c r="B220" s="1521" t="s">
        <v>2209</v>
      </c>
      <c r="C220" s="2115">
        <v>0.15</v>
      </c>
      <c r="D220" s="2115">
        <v>0.15</v>
      </c>
      <c r="E220" s="2115">
        <v>0.15</v>
      </c>
      <c r="F220" s="2116">
        <v>0.15</v>
      </c>
    </row>
    <row r="221" spans="1:6" ht="14.25" thickBot="1">
      <c r="A221" s="1527" t="s">
        <v>1536</v>
      </c>
      <c r="B221" s="1521" t="s">
        <v>1357</v>
      </c>
      <c r="C221" s="2115"/>
      <c r="D221" s="2128"/>
      <c r="E221" s="2128"/>
      <c r="F221" s="2116">
        <v>0.14799999999999999</v>
      </c>
    </row>
    <row r="222" spans="1:6" ht="14.25" thickBot="1">
      <c r="A222" s="1527" t="s">
        <v>1536</v>
      </c>
      <c r="B222" s="1521" t="s">
        <v>1367</v>
      </c>
      <c r="C222" s="2115"/>
      <c r="D222" s="2128"/>
      <c r="E222" s="2128"/>
      <c r="F222" s="2116">
        <v>0.1</v>
      </c>
    </row>
    <row r="223" spans="1:6" ht="14.25" thickBot="1">
      <c r="A223" s="1527" t="s">
        <v>1536</v>
      </c>
      <c r="B223" s="1521" t="s">
        <v>1377</v>
      </c>
      <c r="C223" s="2115"/>
      <c r="D223" s="2128"/>
      <c r="E223" s="2128"/>
      <c r="F223" s="2116">
        <v>0.15</v>
      </c>
    </row>
    <row r="224" spans="1:6" ht="14.25" thickBot="1">
      <c r="A224" s="1527" t="s">
        <v>1536</v>
      </c>
      <c r="B224" s="1521" t="s">
        <v>1387</v>
      </c>
      <c r="C224" s="2115"/>
      <c r="D224" s="2128"/>
      <c r="E224" s="2128"/>
      <c r="F224" s="2116">
        <v>0.15</v>
      </c>
    </row>
    <row r="225" spans="1:6" ht="14.25" thickBot="1">
      <c r="A225" s="1527" t="s">
        <v>1536</v>
      </c>
      <c r="B225" s="1521" t="s">
        <v>2210</v>
      </c>
      <c r="C225" s="2115">
        <v>0.15</v>
      </c>
      <c r="D225" s="2115">
        <v>0.15</v>
      </c>
      <c r="E225" s="2115">
        <v>0.15</v>
      </c>
      <c r="F225" s="2116">
        <v>0.15</v>
      </c>
    </row>
    <row r="226" spans="1:6" ht="14.25" thickBot="1">
      <c r="A226" s="1527" t="s">
        <v>1536</v>
      </c>
      <c r="B226" s="1521" t="s">
        <v>1405</v>
      </c>
      <c r="C226" s="2115">
        <v>0.15</v>
      </c>
      <c r="D226" s="2115">
        <v>0.15</v>
      </c>
      <c r="E226" s="2115">
        <v>0.15</v>
      </c>
      <c r="F226" s="2116">
        <v>0.14799999999999999</v>
      </c>
    </row>
    <row r="227" spans="1:6" ht="14.25" thickBot="1">
      <c r="A227" s="1527" t="s">
        <v>1536</v>
      </c>
      <c r="B227" s="1521" t="s">
        <v>2211</v>
      </c>
      <c r="C227" s="2115">
        <v>0.15</v>
      </c>
      <c r="D227" s="2115">
        <v>0.15</v>
      </c>
      <c r="E227" s="2115">
        <v>0.15</v>
      </c>
      <c r="F227" s="2116">
        <v>0.15</v>
      </c>
    </row>
    <row r="228" spans="1:6" ht="14.25" thickBot="1">
      <c r="A228" s="1527" t="s">
        <v>1536</v>
      </c>
      <c r="B228" s="1521" t="s">
        <v>1420</v>
      </c>
      <c r="C228" s="2115">
        <v>0.15</v>
      </c>
      <c r="D228" s="2115">
        <v>0.15</v>
      </c>
      <c r="E228" s="2115">
        <v>0.15</v>
      </c>
      <c r="F228" s="2116">
        <v>0.15</v>
      </c>
    </row>
    <row r="229" spans="1:6" ht="14.25" thickBot="1">
      <c r="A229" s="1527" t="s">
        <v>1536</v>
      </c>
      <c r="B229" s="1521" t="s">
        <v>1427</v>
      </c>
      <c r="C229" s="2115">
        <v>0.15</v>
      </c>
      <c r="D229" s="2115">
        <v>0.15</v>
      </c>
      <c r="E229" s="2115">
        <v>0.15</v>
      </c>
      <c r="F229" s="2127"/>
    </row>
    <row r="230" spans="1:6" ht="14.25" thickBot="1">
      <c r="A230" s="1527" t="s">
        <v>1536</v>
      </c>
      <c r="B230" s="1521" t="s">
        <v>1434</v>
      </c>
      <c r="C230" s="2115">
        <v>0.14499999999999999</v>
      </c>
      <c r="D230" s="2115">
        <v>0.14499999999999999</v>
      </c>
      <c r="E230" s="2115">
        <v>0.14399999999999999</v>
      </c>
      <c r="F230" s="2127"/>
    </row>
    <row r="231" spans="1:6" ht="14.25" thickBot="1">
      <c r="A231" s="1527" t="s">
        <v>1536</v>
      </c>
      <c r="B231" s="1521" t="s">
        <v>2212</v>
      </c>
      <c r="C231" s="2115">
        <v>0.128</v>
      </c>
      <c r="D231" s="2115">
        <v>0.125</v>
      </c>
      <c r="E231" s="2115">
        <v>0.13200000000000001</v>
      </c>
      <c r="F231" s="2127"/>
    </row>
    <row r="232" spans="1:6" ht="14.25" thickBot="1">
      <c r="A232" s="1527" t="s">
        <v>1536</v>
      </c>
      <c r="B232" s="1521" t="s">
        <v>2213</v>
      </c>
      <c r="C232" s="2115">
        <v>0.14499999999999999</v>
      </c>
      <c r="D232" s="2115">
        <v>0.14399999999999999</v>
      </c>
      <c r="E232" s="2115">
        <v>0.14599999999999999</v>
      </c>
      <c r="F232" s="2116">
        <v>0.13800000000000001</v>
      </c>
    </row>
    <row r="233" spans="1:6" ht="14.25" thickBot="1">
      <c r="A233" s="1527" t="s">
        <v>1536</v>
      </c>
      <c r="B233" s="1521" t="s">
        <v>2214</v>
      </c>
      <c r="C233" s="2115">
        <v>0.14499999999999999</v>
      </c>
      <c r="D233" s="2115">
        <v>0.14299999999999999</v>
      </c>
      <c r="E233" s="2115">
        <v>0.14199999999999999</v>
      </c>
      <c r="F233" s="2127"/>
    </row>
    <row r="234" spans="1:6" ht="14.25" thickBot="1">
      <c r="A234" s="1527" t="s">
        <v>1536</v>
      </c>
      <c r="B234" s="1521" t="s">
        <v>2215</v>
      </c>
      <c r="C234" s="2115">
        <v>0.14000000000000001</v>
      </c>
      <c r="D234" s="2115">
        <v>0.14000000000000001</v>
      </c>
      <c r="E234" s="2115">
        <v>0.14399999999999999</v>
      </c>
      <c r="F234" s="2127"/>
    </row>
    <row r="235" spans="1:6" ht="14.25" thickBot="1">
      <c r="A235" s="1527" t="s">
        <v>1536</v>
      </c>
      <c r="B235" s="1521" t="s">
        <v>2216</v>
      </c>
      <c r="C235" s="2115">
        <v>0.14099999999999999</v>
      </c>
      <c r="D235" s="2115">
        <v>0.14199999999999999</v>
      </c>
      <c r="E235" s="2115">
        <v>0.14499999999999999</v>
      </c>
      <c r="F235" s="2116">
        <v>0.15</v>
      </c>
    </row>
    <row r="236" spans="1:6" ht="14.25" thickBot="1">
      <c r="A236" s="1527" t="s">
        <v>1536</v>
      </c>
      <c r="B236" s="1521" t="s">
        <v>1469</v>
      </c>
      <c r="C236" s="2128"/>
      <c r="D236" s="2128"/>
      <c r="E236" s="2128"/>
      <c r="F236" s="2116">
        <v>0.14299999999999999</v>
      </c>
    </row>
    <row r="237" spans="1:6" ht="24.75" thickBot="1">
      <c r="A237" s="1527" t="s">
        <v>1536</v>
      </c>
      <c r="B237" s="1521" t="s">
        <v>2217</v>
      </c>
      <c r="C237" s="2128"/>
      <c r="D237" s="2128"/>
      <c r="E237" s="2128"/>
      <c r="F237" s="2116">
        <v>0.05</v>
      </c>
    </row>
    <row r="238" spans="1:6" ht="24.75" thickBot="1">
      <c r="A238" s="1527" t="s">
        <v>1536</v>
      </c>
      <c r="B238" s="1521" t="s">
        <v>2218</v>
      </c>
      <c r="C238" s="2128"/>
      <c r="D238" s="2128"/>
      <c r="E238" s="2128"/>
      <c r="F238" s="2116">
        <v>0.05</v>
      </c>
    </row>
    <row r="239" spans="1:6" ht="24.75" thickBot="1">
      <c r="A239" s="1527" t="s">
        <v>1536</v>
      </c>
      <c r="B239" s="1521" t="s">
        <v>2219</v>
      </c>
      <c r="C239" s="2128"/>
      <c r="D239" s="2128"/>
      <c r="E239" s="2128"/>
      <c r="F239" s="2116">
        <v>0.05</v>
      </c>
    </row>
    <row r="240" spans="1:6" ht="24.75" thickBot="1">
      <c r="A240" s="1527" t="s">
        <v>1536</v>
      </c>
      <c r="B240" s="1521" t="s">
        <v>2220</v>
      </c>
      <c r="C240" s="2128"/>
      <c r="D240" s="2128"/>
      <c r="E240" s="2128"/>
      <c r="F240" s="2116">
        <v>0.05</v>
      </c>
    </row>
    <row r="241" spans="1:6" ht="24.75" thickBot="1">
      <c r="A241" s="1527" t="s">
        <v>1536</v>
      </c>
      <c r="B241" s="1521" t="s">
        <v>2221</v>
      </c>
      <c r="C241" s="2128"/>
      <c r="D241" s="2128"/>
      <c r="E241" s="2128"/>
      <c r="F241" s="2116">
        <v>0.05</v>
      </c>
    </row>
    <row r="242" spans="1:6" ht="24.75" thickBot="1">
      <c r="A242" s="1527" t="s">
        <v>1536</v>
      </c>
      <c r="B242" s="1521" t="s">
        <v>2222</v>
      </c>
      <c r="C242" s="2128"/>
      <c r="D242" s="2128"/>
      <c r="E242" s="2128"/>
      <c r="F242" s="2116">
        <v>0.05</v>
      </c>
    </row>
    <row r="243" spans="1:6" ht="24.75" thickBot="1">
      <c r="A243" s="1527" t="s">
        <v>1536</v>
      </c>
      <c r="B243" s="1521" t="s">
        <v>2223</v>
      </c>
      <c r="C243" s="2128"/>
      <c r="D243" s="2128"/>
      <c r="E243" s="2128"/>
      <c r="F243" s="2116">
        <v>0.05</v>
      </c>
    </row>
    <row r="244" spans="1:6" ht="24.75" thickBot="1">
      <c r="A244" s="1537" t="s">
        <v>1536</v>
      </c>
      <c r="B244" s="1533" t="s">
        <v>2224</v>
      </c>
      <c r="C244" s="2125"/>
      <c r="D244" s="2125"/>
      <c r="E244" s="2125"/>
      <c r="F244" s="2118">
        <v>0.05</v>
      </c>
    </row>
    <row r="245" spans="1:6" ht="14.25" thickBot="1">
      <c r="A245" s="1527" t="s">
        <v>1538</v>
      </c>
      <c r="B245" s="1528" t="s">
        <v>2225</v>
      </c>
      <c r="C245" s="2113">
        <v>0.15</v>
      </c>
      <c r="D245" s="2113">
        <v>0.15</v>
      </c>
      <c r="E245" s="2113">
        <v>0.15</v>
      </c>
      <c r="F245" s="2114">
        <v>0.14299999999999999</v>
      </c>
    </row>
    <row r="246" spans="1:6" ht="14.25" thickBot="1">
      <c r="A246" s="1527" t="s">
        <v>1538</v>
      </c>
      <c r="B246" s="1521" t="s">
        <v>1203</v>
      </c>
      <c r="C246" s="2115">
        <v>0.15</v>
      </c>
      <c r="D246" s="2115">
        <v>0.15</v>
      </c>
      <c r="E246" s="2115">
        <v>0.15</v>
      </c>
      <c r="F246" s="2116">
        <v>0.114</v>
      </c>
    </row>
    <row r="247" spans="1:6" ht="14.25" thickBot="1">
      <c r="A247" s="1527" t="s">
        <v>1538</v>
      </c>
      <c r="B247" s="1521" t="s">
        <v>2226</v>
      </c>
      <c r="C247" s="2115">
        <v>0.15</v>
      </c>
      <c r="D247" s="2115">
        <v>0.15</v>
      </c>
      <c r="E247" s="2115">
        <v>0.15</v>
      </c>
      <c r="F247" s="2116">
        <v>0.15</v>
      </c>
    </row>
    <row r="248" spans="1:6" ht="14.25" thickBot="1">
      <c r="A248" s="1527" t="s">
        <v>1538</v>
      </c>
      <c r="B248" s="1521" t="s">
        <v>2227</v>
      </c>
      <c r="C248" s="2115">
        <v>0.15</v>
      </c>
      <c r="D248" s="2115">
        <v>0.15</v>
      </c>
      <c r="E248" s="2115">
        <v>0.15</v>
      </c>
      <c r="F248" s="2116">
        <v>0.14000000000000001</v>
      </c>
    </row>
    <row r="249" spans="1:6" ht="14.25" thickBot="1">
      <c r="A249" s="1527" t="s">
        <v>1538</v>
      </c>
      <c r="B249" s="1521" t="s">
        <v>2228</v>
      </c>
      <c r="C249" s="2115">
        <v>0.15</v>
      </c>
      <c r="D249" s="2115">
        <v>0.14899999999999999</v>
      </c>
      <c r="E249" s="2115">
        <v>0.15</v>
      </c>
      <c r="F249" s="2116">
        <v>0.1</v>
      </c>
    </row>
    <row r="250" spans="1:6" ht="14.25" thickBot="1">
      <c r="A250" s="1527" t="s">
        <v>1538</v>
      </c>
      <c r="B250" s="1521" t="s">
        <v>2229</v>
      </c>
      <c r="C250" s="2115">
        <v>0.15</v>
      </c>
      <c r="D250" s="2115">
        <v>0.15</v>
      </c>
      <c r="E250" s="2115">
        <v>0.15</v>
      </c>
      <c r="F250" s="2116">
        <v>0.14399999999999999</v>
      </c>
    </row>
    <row r="251" spans="1:6" ht="14.25" thickBot="1">
      <c r="A251" s="1527" t="s">
        <v>1538</v>
      </c>
      <c r="B251" s="1521" t="s">
        <v>1263</v>
      </c>
      <c r="C251" s="2115">
        <v>0.15</v>
      </c>
      <c r="D251" s="2115">
        <v>0.15</v>
      </c>
      <c r="E251" s="2115">
        <v>0.15</v>
      </c>
      <c r="F251" s="2116">
        <v>0.14299999999999999</v>
      </c>
    </row>
    <row r="252" spans="1:6" ht="14.25" thickBot="1">
      <c r="A252" s="1527" t="s">
        <v>1538</v>
      </c>
      <c r="B252" s="1521" t="s">
        <v>1274</v>
      </c>
      <c r="C252" s="2115">
        <v>0.15</v>
      </c>
      <c r="D252" s="2115">
        <v>0.15</v>
      </c>
      <c r="E252" s="2115">
        <v>0.15</v>
      </c>
      <c r="F252" s="2116">
        <v>0.1</v>
      </c>
    </row>
    <row r="253" spans="1:6" ht="14.25" thickBot="1">
      <c r="A253" s="1527" t="s">
        <v>1538</v>
      </c>
      <c r="B253" s="1521" t="s">
        <v>1286</v>
      </c>
      <c r="C253" s="2115">
        <v>0.15</v>
      </c>
      <c r="D253" s="2115">
        <v>0.15</v>
      </c>
      <c r="E253" s="2115">
        <v>0.15</v>
      </c>
      <c r="F253" s="2116">
        <v>0.1</v>
      </c>
    </row>
    <row r="254" spans="1:6" ht="14.25" thickBot="1">
      <c r="A254" s="1527" t="s">
        <v>1538</v>
      </c>
      <c r="B254" s="1521" t="s">
        <v>1296</v>
      </c>
      <c r="C254" s="2128"/>
      <c r="D254" s="2128"/>
      <c r="E254" s="2128"/>
      <c r="F254" s="2116">
        <v>0.15</v>
      </c>
    </row>
    <row r="255" spans="1:6" ht="14.25" thickBot="1">
      <c r="A255" s="1527" t="s">
        <v>1538</v>
      </c>
      <c r="B255" s="1521" t="s">
        <v>1306</v>
      </c>
      <c r="C255" s="2128"/>
      <c r="D255" s="2128"/>
      <c r="E255" s="2128"/>
      <c r="F255" s="2116">
        <v>0.14299999999999999</v>
      </c>
    </row>
    <row r="256" spans="1:6" ht="14.25" thickBot="1">
      <c r="A256" s="1527" t="s">
        <v>1538</v>
      </c>
      <c r="B256" s="1521" t="s">
        <v>2230</v>
      </c>
      <c r="C256" s="2115">
        <v>0.14599999999999999</v>
      </c>
      <c r="D256" s="2115">
        <v>0.14699999999999999</v>
      </c>
      <c r="E256" s="2115">
        <v>0.15</v>
      </c>
      <c r="F256" s="2116">
        <v>0.13200000000000001</v>
      </c>
    </row>
    <row r="257" spans="1:6" ht="14.25" thickBot="1">
      <c r="A257" s="1527" t="s">
        <v>1538</v>
      </c>
      <c r="B257" s="1521" t="s">
        <v>1326</v>
      </c>
      <c r="C257" s="2115">
        <v>0.15</v>
      </c>
      <c r="D257" s="2115">
        <v>0.15</v>
      </c>
      <c r="E257" s="2115">
        <v>0.15</v>
      </c>
      <c r="F257" s="2116">
        <v>0.13900000000000001</v>
      </c>
    </row>
    <row r="258" spans="1:6" ht="14.25" thickBot="1">
      <c r="A258" s="1527" t="s">
        <v>1538</v>
      </c>
      <c r="B258" s="1521" t="s">
        <v>1337</v>
      </c>
      <c r="C258" s="2115">
        <v>0.15</v>
      </c>
      <c r="D258" s="2115">
        <v>0.15</v>
      </c>
      <c r="E258" s="2115">
        <v>0.15</v>
      </c>
      <c r="F258" s="2116">
        <v>0.13</v>
      </c>
    </row>
    <row r="259" spans="1:6" ht="14.25" thickBot="1">
      <c r="A259" s="1527" t="s">
        <v>1538</v>
      </c>
      <c r="B259" s="1521" t="s">
        <v>2231</v>
      </c>
      <c r="C259" s="2115">
        <v>0.14799999999999999</v>
      </c>
      <c r="D259" s="2115">
        <v>0.14899999999999999</v>
      </c>
      <c r="E259" s="2115">
        <v>0.15</v>
      </c>
      <c r="F259" s="2116">
        <v>0.13700000000000001</v>
      </c>
    </row>
    <row r="260" spans="1:6" ht="14.25" thickBot="1">
      <c r="A260" s="1527" t="s">
        <v>1538</v>
      </c>
      <c r="B260" s="1521" t="s">
        <v>1358</v>
      </c>
      <c r="C260" s="2115">
        <v>0.15</v>
      </c>
      <c r="D260" s="2115">
        <v>0.15</v>
      </c>
      <c r="E260" s="2115">
        <v>0.15</v>
      </c>
      <c r="F260" s="2116">
        <v>0.14199999999999999</v>
      </c>
    </row>
    <row r="261" spans="1:6" ht="14.25" thickBot="1">
      <c r="A261" s="1527" t="s">
        <v>1538</v>
      </c>
      <c r="B261" s="1521" t="s">
        <v>1368</v>
      </c>
      <c r="C261" s="2115">
        <v>0.15</v>
      </c>
      <c r="D261" s="2115">
        <v>0.15</v>
      </c>
      <c r="E261" s="2115">
        <v>0.14899999999999999</v>
      </c>
      <c r="F261" s="2116">
        <v>0.14799999999999999</v>
      </c>
    </row>
    <row r="262" spans="1:6" ht="14.25" thickBot="1">
      <c r="A262" s="1527" t="s">
        <v>1538</v>
      </c>
      <c r="B262" s="1521" t="s">
        <v>1378</v>
      </c>
      <c r="C262" s="2115">
        <v>0.15</v>
      </c>
      <c r="D262" s="2115">
        <v>0.15</v>
      </c>
      <c r="E262" s="2115">
        <v>0.15</v>
      </c>
      <c r="F262" s="2127"/>
    </row>
    <row r="263" spans="1:6" ht="14.25" thickBot="1">
      <c r="A263" s="1527" t="s">
        <v>1538</v>
      </c>
      <c r="B263" s="1521" t="s">
        <v>2232</v>
      </c>
      <c r="C263" s="2115">
        <v>0.14899999999999999</v>
      </c>
      <c r="D263" s="2115">
        <v>0.14899999999999999</v>
      </c>
      <c r="E263" s="2115">
        <v>0.15</v>
      </c>
      <c r="F263" s="2116">
        <v>0.13</v>
      </c>
    </row>
    <row r="264" spans="1:6" ht="14.25" thickBot="1">
      <c r="A264" s="1527" t="s">
        <v>1538</v>
      </c>
      <c r="B264" s="1521" t="s">
        <v>1397</v>
      </c>
      <c r="C264" s="2115">
        <v>0.14799999999999999</v>
      </c>
      <c r="D264" s="2115">
        <v>0.14699999999999999</v>
      </c>
      <c r="E264" s="2115">
        <v>0.15</v>
      </c>
      <c r="F264" s="2116">
        <v>7.8E-2</v>
      </c>
    </row>
    <row r="265" spans="1:6" ht="14.25" thickBot="1">
      <c r="A265" s="1527" t="s">
        <v>1538</v>
      </c>
      <c r="B265" s="1521" t="s">
        <v>1406</v>
      </c>
      <c r="C265" s="2115">
        <v>0.15</v>
      </c>
      <c r="D265" s="2115">
        <v>0.15</v>
      </c>
      <c r="E265" s="2115">
        <v>0.15</v>
      </c>
      <c r="F265" s="2116">
        <v>7.3999999999999996E-2</v>
      </c>
    </row>
    <row r="266" spans="1:6" ht="14.25" thickBot="1">
      <c r="A266" s="1527" t="s">
        <v>1538</v>
      </c>
      <c r="B266" s="1521" t="s">
        <v>1414</v>
      </c>
      <c r="C266" s="2115">
        <v>0.14699999999999999</v>
      </c>
      <c r="D266" s="2115">
        <v>0.14699999999999999</v>
      </c>
      <c r="E266" s="2115">
        <v>0.15</v>
      </c>
      <c r="F266" s="2116">
        <v>0.14299999999999999</v>
      </c>
    </row>
    <row r="267" spans="1:6" ht="14.25" thickBot="1">
      <c r="A267" s="1527" t="s">
        <v>1538</v>
      </c>
      <c r="B267" s="1521" t="s">
        <v>1421</v>
      </c>
      <c r="C267" s="2115">
        <v>0.14199999999999999</v>
      </c>
      <c r="D267" s="2115">
        <v>0.14299999999999999</v>
      </c>
      <c r="E267" s="2115">
        <v>0.15</v>
      </c>
      <c r="F267" s="2127"/>
    </row>
    <row r="268" spans="1:6" ht="14.25" thickBot="1">
      <c r="A268" s="1527" t="s">
        <v>1538</v>
      </c>
      <c r="B268" s="1521" t="s">
        <v>2233</v>
      </c>
      <c r="C268" s="2115">
        <v>0.15</v>
      </c>
      <c r="D268" s="2115">
        <v>0.15</v>
      </c>
      <c r="E268" s="2115">
        <v>0.15</v>
      </c>
      <c r="F268" s="2116">
        <v>0.13</v>
      </c>
    </row>
    <row r="269" spans="1:6" ht="14.25" thickBot="1">
      <c r="A269" s="1527" t="s">
        <v>1538</v>
      </c>
      <c r="B269" s="1521" t="s">
        <v>1435</v>
      </c>
      <c r="C269" s="2115">
        <v>0.15</v>
      </c>
      <c r="D269" s="2115">
        <v>0.15</v>
      </c>
      <c r="E269" s="2115">
        <v>0.15</v>
      </c>
      <c r="F269" s="2116">
        <v>0.14299999999999999</v>
      </c>
    </row>
    <row r="270" spans="1:6" ht="14.25" thickBot="1">
      <c r="A270" s="1527" t="s">
        <v>1538</v>
      </c>
      <c r="B270" s="1521" t="s">
        <v>1442</v>
      </c>
      <c r="C270" s="2115">
        <v>0.14499999999999999</v>
      </c>
      <c r="D270" s="2115">
        <v>0.14499999999999999</v>
      </c>
      <c r="E270" s="2115">
        <v>0.15</v>
      </c>
      <c r="F270" s="2116">
        <v>0.14699999999999999</v>
      </c>
    </row>
    <row r="271" spans="1:6" ht="14.25" thickBot="1">
      <c r="A271" s="1527" t="s">
        <v>1538</v>
      </c>
      <c r="B271" s="1521" t="s">
        <v>1449</v>
      </c>
      <c r="C271" s="2115">
        <v>0.15</v>
      </c>
      <c r="D271" s="2115">
        <v>0.15</v>
      </c>
      <c r="E271" s="2115">
        <v>0.15</v>
      </c>
      <c r="F271" s="2116">
        <v>0.13800000000000001</v>
      </c>
    </row>
    <row r="272" spans="1:6" ht="14.25" thickBot="1">
      <c r="A272" s="1527" t="s">
        <v>1538</v>
      </c>
      <c r="B272" s="1521" t="s">
        <v>1456</v>
      </c>
      <c r="C272" s="2128"/>
      <c r="D272" s="2128"/>
      <c r="E272" s="2128"/>
      <c r="F272" s="2116">
        <v>0.14000000000000001</v>
      </c>
    </row>
    <row r="273" spans="1:6" ht="14.25" thickBot="1">
      <c r="A273" s="1527" t="s">
        <v>1538</v>
      </c>
      <c r="B273" s="1521" t="s">
        <v>2234</v>
      </c>
      <c r="C273" s="2115">
        <v>0.14199999999999999</v>
      </c>
      <c r="D273" s="2115">
        <v>0.14299999999999999</v>
      </c>
      <c r="E273" s="2115">
        <v>0.15</v>
      </c>
      <c r="F273" s="2116">
        <v>0.1</v>
      </c>
    </row>
    <row r="274" spans="1:6" ht="14.25" thickBot="1">
      <c r="A274" s="1527" t="s">
        <v>1538</v>
      </c>
      <c r="B274" s="1521" t="s">
        <v>2235</v>
      </c>
      <c r="C274" s="2115">
        <v>0.14799999999999999</v>
      </c>
      <c r="D274" s="2115">
        <v>0.14799999999999999</v>
      </c>
      <c r="E274" s="2115">
        <v>0.15</v>
      </c>
      <c r="F274" s="2116">
        <v>6.7000000000000004E-2</v>
      </c>
    </row>
    <row r="275" spans="1:6" ht="14.25" thickBot="1">
      <c r="A275" s="1527" t="s">
        <v>1538</v>
      </c>
      <c r="B275" s="1521" t="s">
        <v>2236</v>
      </c>
      <c r="C275" s="2115">
        <v>0.15</v>
      </c>
      <c r="D275" s="2115">
        <v>0.15</v>
      </c>
      <c r="E275" s="2115">
        <v>0.15</v>
      </c>
      <c r="F275" s="2116">
        <v>0.15</v>
      </c>
    </row>
    <row r="276" spans="1:6" ht="14.25" thickBot="1">
      <c r="A276" s="1527" t="s">
        <v>1538</v>
      </c>
      <c r="B276" s="1521" t="s">
        <v>2237</v>
      </c>
      <c r="C276" s="2115">
        <v>0.14499999999999999</v>
      </c>
      <c r="D276" s="2115">
        <v>0.14299999999999999</v>
      </c>
      <c r="E276" s="2115">
        <v>0.15</v>
      </c>
      <c r="F276" s="2116">
        <v>5.8999999999999997E-2</v>
      </c>
    </row>
    <row r="277" spans="1:6" ht="14.25" thickBot="1">
      <c r="A277" s="1527" t="s">
        <v>1538</v>
      </c>
      <c r="B277" s="1521" t="s">
        <v>2238</v>
      </c>
      <c r="C277" s="2115">
        <v>0.15</v>
      </c>
      <c r="D277" s="2115">
        <v>0.15</v>
      </c>
      <c r="E277" s="2115">
        <v>0.15</v>
      </c>
      <c r="F277" s="2116">
        <v>0.121</v>
      </c>
    </row>
    <row r="278" spans="1:6" ht="14.25" thickBot="1">
      <c r="A278" s="1527" t="s">
        <v>1538</v>
      </c>
      <c r="B278" s="1521" t="s">
        <v>2239</v>
      </c>
      <c r="C278" s="2115">
        <v>0.15</v>
      </c>
      <c r="D278" s="2115">
        <v>0.15</v>
      </c>
      <c r="E278" s="2115">
        <v>0.15</v>
      </c>
      <c r="F278" s="2116">
        <v>0.13800000000000001</v>
      </c>
    </row>
    <row r="279" spans="1:6" ht="24.75" thickBot="1">
      <c r="A279" s="1527" t="s">
        <v>1538</v>
      </c>
      <c r="B279" s="1521" t="s">
        <v>2240</v>
      </c>
      <c r="C279" s="2128"/>
      <c r="D279" s="2128"/>
      <c r="E279" s="2128"/>
      <c r="F279" s="2116">
        <v>0.05</v>
      </c>
    </row>
    <row r="280" spans="1:6" ht="24.75" thickBot="1">
      <c r="A280" s="1527" t="s">
        <v>1538</v>
      </c>
      <c r="B280" s="1521" t="s">
        <v>2241</v>
      </c>
      <c r="C280" s="2128"/>
      <c r="D280" s="2128"/>
      <c r="E280" s="2128"/>
      <c r="F280" s="2116">
        <v>0.05</v>
      </c>
    </row>
    <row r="281" spans="1:6" ht="24.75" thickBot="1">
      <c r="A281" s="1527" t="s">
        <v>1538</v>
      </c>
      <c r="B281" s="1521" t="s">
        <v>2242</v>
      </c>
      <c r="C281" s="2128"/>
      <c r="D281" s="2128"/>
      <c r="E281" s="2128"/>
      <c r="F281" s="2116">
        <v>0.05</v>
      </c>
    </row>
    <row r="282" spans="1:6" ht="24.75" thickBot="1">
      <c r="A282" s="1527" t="s">
        <v>1538</v>
      </c>
      <c r="B282" s="1521" t="s">
        <v>2243</v>
      </c>
      <c r="C282" s="2128"/>
      <c r="D282" s="2128"/>
      <c r="E282" s="2128"/>
      <c r="F282" s="2116">
        <v>0.05</v>
      </c>
    </row>
    <row r="283" spans="1:6" ht="24.75" thickBot="1">
      <c r="A283" s="1527" t="s">
        <v>1538</v>
      </c>
      <c r="B283" s="1521" t="s">
        <v>2244</v>
      </c>
      <c r="C283" s="2128"/>
      <c r="D283" s="2128"/>
      <c r="E283" s="2128"/>
      <c r="F283" s="2116">
        <v>0.05</v>
      </c>
    </row>
    <row r="284" spans="1:6" ht="24.75" thickBot="1">
      <c r="A284" s="1527" t="s">
        <v>1538</v>
      </c>
      <c r="B284" s="1521" t="s">
        <v>2245</v>
      </c>
      <c r="C284" s="2128"/>
      <c r="D284" s="2128"/>
      <c r="E284" s="2128"/>
      <c r="F284" s="2116">
        <v>0.05</v>
      </c>
    </row>
    <row r="285" spans="1:6" ht="24.75" thickBot="1">
      <c r="A285" s="1527" t="s">
        <v>1538</v>
      </c>
      <c r="B285" s="1521" t="s">
        <v>2246</v>
      </c>
      <c r="C285" s="2128"/>
      <c r="D285" s="2128"/>
      <c r="E285" s="2128"/>
      <c r="F285" s="2116">
        <v>0.05</v>
      </c>
    </row>
    <row r="286" spans="1:6" ht="24.75" thickBot="1">
      <c r="A286" s="1527" t="s">
        <v>1538</v>
      </c>
      <c r="B286" s="1521" t="s">
        <v>2247</v>
      </c>
      <c r="C286" s="2128"/>
      <c r="D286" s="2128"/>
      <c r="E286" s="2128"/>
      <c r="F286" s="2116">
        <v>0.05</v>
      </c>
    </row>
    <row r="287" spans="1:6" ht="24.75" thickBot="1">
      <c r="A287" s="1527" t="s">
        <v>1538</v>
      </c>
      <c r="B287" s="1521" t="s">
        <v>2248</v>
      </c>
      <c r="C287" s="2128"/>
      <c r="D287" s="2128"/>
      <c r="E287" s="2128"/>
      <c r="F287" s="2116">
        <v>0.05</v>
      </c>
    </row>
    <row r="288" spans="1:6" ht="24.75" thickBot="1">
      <c r="A288" s="1527" t="s">
        <v>1538</v>
      </c>
      <c r="B288" s="1521" t="s">
        <v>2249</v>
      </c>
      <c r="C288" s="2128"/>
      <c r="D288" s="2128"/>
      <c r="E288" s="2128"/>
      <c r="F288" s="2116">
        <v>0.05</v>
      </c>
    </row>
    <row r="289" spans="1:6" ht="24.75" thickBot="1">
      <c r="A289" s="1537" t="s">
        <v>1538</v>
      </c>
      <c r="B289" s="1533" t="s">
        <v>2250</v>
      </c>
      <c r="C289" s="2125"/>
      <c r="D289" s="2125"/>
      <c r="E289" s="2125"/>
      <c r="F289" s="2118">
        <v>0.05</v>
      </c>
    </row>
    <row r="290" spans="1:6" ht="14.25" thickBot="1">
      <c r="A290" s="1527" t="s">
        <v>1542</v>
      </c>
      <c r="B290" s="1528" t="s">
        <v>2251</v>
      </c>
      <c r="C290" s="2113">
        <v>0.15</v>
      </c>
      <c r="D290" s="2113">
        <v>0.15</v>
      </c>
      <c r="E290" s="2113">
        <v>0.15</v>
      </c>
      <c r="F290" s="2130"/>
    </row>
    <row r="291" spans="1:6" ht="14.25" thickBot="1">
      <c r="A291" s="1527" t="s">
        <v>1542</v>
      </c>
      <c r="B291" s="1521" t="s">
        <v>1204</v>
      </c>
      <c r="C291" s="2115">
        <v>0.15</v>
      </c>
      <c r="D291" s="2115">
        <v>0.15</v>
      </c>
      <c r="E291" s="2115">
        <v>0.15</v>
      </c>
      <c r="F291" s="2127"/>
    </row>
    <row r="292" spans="1:6" ht="14.25" thickBot="1">
      <c r="A292" s="1527" t="s">
        <v>1542</v>
      </c>
      <c r="B292" s="1521" t="s">
        <v>2252</v>
      </c>
      <c r="C292" s="2115">
        <v>0.15</v>
      </c>
      <c r="D292" s="2115">
        <v>0.15</v>
      </c>
      <c r="E292" s="2115">
        <v>0.15</v>
      </c>
      <c r="F292" s="2116">
        <v>0.14699999999999999</v>
      </c>
    </row>
    <row r="293" spans="1:6" ht="14.25" thickBot="1">
      <c r="A293" s="1527" t="s">
        <v>1542</v>
      </c>
      <c r="B293" s="1521" t="s">
        <v>2253</v>
      </c>
      <c r="C293" s="2128"/>
      <c r="D293" s="2128"/>
      <c r="E293" s="2128"/>
      <c r="F293" s="2116">
        <v>0.1</v>
      </c>
    </row>
    <row r="294" spans="1:6" ht="14.25" thickBot="1">
      <c r="A294" s="1527" t="s">
        <v>1542</v>
      </c>
      <c r="B294" s="1521" t="s">
        <v>2254</v>
      </c>
      <c r="C294" s="2115">
        <v>0.15</v>
      </c>
      <c r="D294" s="2115">
        <v>0.15</v>
      </c>
      <c r="E294" s="2115">
        <v>0.15</v>
      </c>
      <c r="F294" s="2116">
        <v>0.15</v>
      </c>
    </row>
    <row r="295" spans="1:6" ht="14.25" thickBot="1">
      <c r="A295" s="1527" t="s">
        <v>1542</v>
      </c>
      <c r="B295" s="1521" t="s">
        <v>1242</v>
      </c>
      <c r="C295" s="2115">
        <v>0.15</v>
      </c>
      <c r="D295" s="2115">
        <v>0.15</v>
      </c>
      <c r="E295" s="2115">
        <v>0.15</v>
      </c>
      <c r="F295" s="2116">
        <v>0.15</v>
      </c>
    </row>
    <row r="296" spans="1:6" ht="14.25" thickBot="1">
      <c r="A296" s="1527" t="s">
        <v>1542</v>
      </c>
      <c r="B296" s="1521" t="s">
        <v>2255</v>
      </c>
      <c r="C296" s="2115">
        <v>0.15</v>
      </c>
      <c r="D296" s="2115">
        <v>0.15</v>
      </c>
      <c r="E296" s="2115">
        <v>0.15</v>
      </c>
      <c r="F296" s="2116">
        <v>0.15</v>
      </c>
    </row>
    <row r="297" spans="1:6" ht="14.25" thickBot="1">
      <c r="A297" s="1527" t="s">
        <v>1542</v>
      </c>
      <c r="B297" s="1521" t="s">
        <v>2256</v>
      </c>
      <c r="C297" s="2115">
        <v>0.14799999999999999</v>
      </c>
      <c r="D297" s="2115">
        <v>0.14899999999999999</v>
      </c>
      <c r="E297" s="2115">
        <v>0.15</v>
      </c>
      <c r="F297" s="2116">
        <v>0.13700000000000001</v>
      </c>
    </row>
    <row r="298" spans="1:6" ht="14.25" thickBot="1">
      <c r="A298" s="1527" t="s">
        <v>1542</v>
      </c>
      <c r="B298" s="1521" t="s">
        <v>1275</v>
      </c>
      <c r="C298" s="2115">
        <v>0.13400000000000001</v>
      </c>
      <c r="D298" s="2115">
        <v>0.13400000000000001</v>
      </c>
      <c r="E298" s="2115">
        <v>0.14499999999999999</v>
      </c>
      <c r="F298" s="2116">
        <v>0.14799999999999999</v>
      </c>
    </row>
    <row r="299" spans="1:6" ht="14.25" thickBot="1">
      <c r="A299" s="1527" t="s">
        <v>1542</v>
      </c>
      <c r="B299" s="1521" t="s">
        <v>1287</v>
      </c>
      <c r="C299" s="2115">
        <v>0.15</v>
      </c>
      <c r="D299" s="2115">
        <v>0.15</v>
      </c>
      <c r="E299" s="2115">
        <v>0.15</v>
      </c>
      <c r="F299" s="2127"/>
    </row>
    <row r="300" spans="1:6" ht="14.25" thickBot="1">
      <c r="A300" s="1527" t="s">
        <v>1542</v>
      </c>
      <c r="B300" s="1521" t="s">
        <v>2257</v>
      </c>
      <c r="C300" s="2115">
        <v>0.15</v>
      </c>
      <c r="D300" s="2115">
        <v>0.15</v>
      </c>
      <c r="E300" s="2115">
        <v>0.15</v>
      </c>
      <c r="F300" s="2116">
        <v>0.15</v>
      </c>
    </row>
    <row r="301" spans="1:6" ht="14.25" thickBot="1">
      <c r="A301" s="1527" t="s">
        <v>1542</v>
      </c>
      <c r="B301" s="1521" t="s">
        <v>1307</v>
      </c>
      <c r="C301" s="2115">
        <v>0.15</v>
      </c>
      <c r="D301" s="2115">
        <v>0.15</v>
      </c>
      <c r="E301" s="2115">
        <v>0.15</v>
      </c>
      <c r="F301" s="2127"/>
    </row>
    <row r="302" spans="1:6" ht="14.25" thickBot="1">
      <c r="A302" s="1527" t="s">
        <v>1542</v>
      </c>
      <c r="B302" s="1521" t="s">
        <v>2258</v>
      </c>
      <c r="C302" s="2115">
        <v>0.15</v>
      </c>
      <c r="D302" s="2115">
        <v>0.15</v>
      </c>
      <c r="E302" s="2115">
        <v>0.15</v>
      </c>
      <c r="F302" s="2116">
        <v>0.15</v>
      </c>
    </row>
    <row r="303" spans="1:6" ht="14.25" thickBot="1">
      <c r="A303" s="1527" t="s">
        <v>1542</v>
      </c>
      <c r="B303" s="1521" t="s">
        <v>1327</v>
      </c>
      <c r="C303" s="2115">
        <v>0.15</v>
      </c>
      <c r="D303" s="2115">
        <v>0.15</v>
      </c>
      <c r="E303" s="2115">
        <v>0.15</v>
      </c>
      <c r="F303" s="2116">
        <v>0.15</v>
      </c>
    </row>
    <row r="304" spans="1:6" ht="14.25" thickBot="1">
      <c r="A304" s="1527" t="s">
        <v>1542</v>
      </c>
      <c r="B304" s="1521" t="s">
        <v>1338</v>
      </c>
      <c r="C304" s="2115">
        <v>0.15</v>
      </c>
      <c r="D304" s="2115">
        <v>0.15</v>
      </c>
      <c r="E304" s="2115">
        <v>0.15</v>
      </c>
      <c r="F304" s="2127"/>
    </row>
    <row r="305" spans="1:6" ht="14.25" thickBot="1">
      <c r="A305" s="1527" t="s">
        <v>1542</v>
      </c>
      <c r="B305" s="1521" t="s">
        <v>2259</v>
      </c>
      <c r="C305" s="2115">
        <v>0.15</v>
      </c>
      <c r="D305" s="2115">
        <v>0.15</v>
      </c>
      <c r="E305" s="2115">
        <v>0.15</v>
      </c>
      <c r="F305" s="2116">
        <v>0.14000000000000001</v>
      </c>
    </row>
    <row r="306" spans="1:6" ht="14.25" thickBot="1">
      <c r="A306" s="1527" t="s">
        <v>1542</v>
      </c>
      <c r="B306" s="1521" t="s">
        <v>1359</v>
      </c>
      <c r="C306" s="2115">
        <v>0.15</v>
      </c>
      <c r="D306" s="2115">
        <v>0.15</v>
      </c>
      <c r="E306" s="2115">
        <v>0.15</v>
      </c>
      <c r="F306" s="2127"/>
    </row>
    <row r="307" spans="1:6" ht="14.25" thickBot="1">
      <c r="A307" s="1527" t="s">
        <v>1542</v>
      </c>
      <c r="B307" s="1521" t="s">
        <v>2260</v>
      </c>
      <c r="C307" s="2115">
        <v>0.15</v>
      </c>
      <c r="D307" s="2115">
        <v>0.15</v>
      </c>
      <c r="E307" s="2115">
        <v>0.15</v>
      </c>
      <c r="F307" s="2116">
        <v>0.14299999999999999</v>
      </c>
    </row>
    <row r="308" spans="1:6" ht="14.25" thickBot="1">
      <c r="A308" s="1527" t="s">
        <v>1542</v>
      </c>
      <c r="B308" s="1521" t="s">
        <v>1379</v>
      </c>
      <c r="C308" s="2115">
        <v>0.15</v>
      </c>
      <c r="D308" s="2115">
        <v>0.15</v>
      </c>
      <c r="E308" s="2115">
        <v>0.15</v>
      </c>
      <c r="F308" s="2116">
        <v>0.15</v>
      </c>
    </row>
    <row r="309" spans="1:6" ht="14.25" thickBot="1">
      <c r="A309" s="1527" t="s">
        <v>1542</v>
      </c>
      <c r="B309" s="1521" t="s">
        <v>1389</v>
      </c>
      <c r="C309" s="2115">
        <v>0.15</v>
      </c>
      <c r="D309" s="2115">
        <v>0.15</v>
      </c>
      <c r="E309" s="2115">
        <v>0.15</v>
      </c>
      <c r="F309" s="2127"/>
    </row>
    <row r="310" spans="1:6" ht="14.25" thickBot="1">
      <c r="A310" s="1527" t="s">
        <v>1542</v>
      </c>
      <c r="B310" s="1521" t="s">
        <v>2261</v>
      </c>
      <c r="C310" s="2115">
        <v>0.15</v>
      </c>
      <c r="D310" s="2115">
        <v>0.15</v>
      </c>
      <c r="E310" s="2115">
        <v>0.15</v>
      </c>
      <c r="F310" s="2116">
        <v>0.13700000000000001</v>
      </c>
    </row>
    <row r="311" spans="1:6" ht="14.25" thickBot="1">
      <c r="A311" s="1527" t="s">
        <v>1542</v>
      </c>
      <c r="B311" s="1521" t="s">
        <v>2262</v>
      </c>
      <c r="C311" s="2115">
        <v>0.15</v>
      </c>
      <c r="D311" s="2115">
        <v>0.15</v>
      </c>
      <c r="E311" s="2115">
        <v>0.15</v>
      </c>
      <c r="F311" s="2116">
        <v>0.15</v>
      </c>
    </row>
    <row r="312" spans="1:6" ht="14.25" thickBot="1">
      <c r="A312" s="1527" t="s">
        <v>1542</v>
      </c>
      <c r="B312" s="1521" t="s">
        <v>1415</v>
      </c>
      <c r="C312" s="2115">
        <v>0.15</v>
      </c>
      <c r="D312" s="2115">
        <v>0.15</v>
      </c>
      <c r="E312" s="2115">
        <v>0.15</v>
      </c>
      <c r="F312" s="2116">
        <v>0.1</v>
      </c>
    </row>
    <row r="313" spans="1:6" ht="14.25" thickBot="1">
      <c r="A313" s="1527" t="s">
        <v>1542</v>
      </c>
      <c r="B313" s="1521" t="s">
        <v>2263</v>
      </c>
      <c r="C313" s="2115">
        <v>0.15</v>
      </c>
      <c r="D313" s="2115">
        <v>0.15</v>
      </c>
      <c r="E313" s="2115">
        <v>0.15</v>
      </c>
      <c r="F313" s="2116">
        <v>0.15</v>
      </c>
    </row>
    <row r="314" spans="1:6" ht="24.75" thickBot="1">
      <c r="A314" s="1527" t="s">
        <v>1542</v>
      </c>
      <c r="B314" s="1521" t="s">
        <v>2264</v>
      </c>
      <c r="C314" s="2128"/>
      <c r="D314" s="2128"/>
      <c r="E314" s="2128"/>
      <c r="F314" s="2116">
        <v>0.05</v>
      </c>
    </row>
    <row r="315" spans="1:6" ht="24.75" thickBot="1">
      <c r="A315" s="1527" t="s">
        <v>1542</v>
      </c>
      <c r="B315" s="1521" t="s">
        <v>2265</v>
      </c>
      <c r="C315" s="2128"/>
      <c r="D315" s="2128"/>
      <c r="E315" s="2128"/>
      <c r="F315" s="2116">
        <v>0.05</v>
      </c>
    </row>
    <row r="316" spans="1:6" ht="24.75" thickBot="1">
      <c r="A316" s="1537" t="s">
        <v>1542</v>
      </c>
      <c r="B316" s="1533" t="s">
        <v>2266</v>
      </c>
      <c r="C316" s="2125"/>
      <c r="D316" s="2125"/>
      <c r="E316" s="2125"/>
      <c r="F316" s="2118">
        <v>0.05</v>
      </c>
    </row>
    <row r="317" spans="1:6" ht="14.25" thickBot="1">
      <c r="A317" s="1527" t="s">
        <v>2267</v>
      </c>
      <c r="B317" s="1528" t="s">
        <v>2268</v>
      </c>
      <c r="C317" s="2113">
        <v>0.15</v>
      </c>
      <c r="D317" s="2113">
        <v>0.15</v>
      </c>
      <c r="E317" s="2113">
        <v>0.15</v>
      </c>
      <c r="F317" s="2114">
        <v>0.15</v>
      </c>
    </row>
    <row r="318" spans="1:6" ht="14.25" thickBot="1">
      <c r="A318" s="1527" t="s">
        <v>2267</v>
      </c>
      <c r="B318" s="1521" t="s">
        <v>2269</v>
      </c>
      <c r="C318" s="2115">
        <v>0.107</v>
      </c>
      <c r="D318" s="2115">
        <v>0.11</v>
      </c>
      <c r="E318" s="2115">
        <v>0.112</v>
      </c>
      <c r="F318" s="2127"/>
    </row>
    <row r="319" spans="1:6" ht="14.25" thickBot="1">
      <c r="A319" s="1527" t="s">
        <v>2267</v>
      </c>
      <c r="B319" s="1521" t="s">
        <v>2270</v>
      </c>
      <c r="C319" s="2115">
        <v>0.15</v>
      </c>
      <c r="D319" s="2115">
        <v>0.15</v>
      </c>
      <c r="E319" s="2115">
        <v>0.15</v>
      </c>
      <c r="F319" s="2116">
        <v>0.15</v>
      </c>
    </row>
    <row r="320" spans="1:6" ht="14.25" thickBot="1">
      <c r="A320" s="1527" t="s">
        <v>2267</v>
      </c>
      <c r="B320" s="1521" t="s">
        <v>1231</v>
      </c>
      <c r="C320" s="2115">
        <v>0.15</v>
      </c>
      <c r="D320" s="2115">
        <v>0.15</v>
      </c>
      <c r="E320" s="2115">
        <v>0.15</v>
      </c>
      <c r="F320" s="2127"/>
    </row>
    <row r="321" spans="1:6" ht="14.25" thickBot="1">
      <c r="A321" s="1527" t="s">
        <v>2267</v>
      </c>
      <c r="B321" s="1521" t="s">
        <v>2271</v>
      </c>
      <c r="C321" s="2115">
        <v>0.15</v>
      </c>
      <c r="D321" s="2115">
        <v>0.15</v>
      </c>
      <c r="E321" s="2115">
        <v>0.15</v>
      </c>
      <c r="F321" s="2127"/>
    </row>
    <row r="322" spans="1:6" ht="14.25" thickBot="1">
      <c r="A322" s="1527" t="s">
        <v>2267</v>
      </c>
      <c r="B322" s="1521" t="s">
        <v>2272</v>
      </c>
      <c r="C322" s="2115">
        <v>0.15</v>
      </c>
      <c r="D322" s="2115">
        <v>0.15</v>
      </c>
      <c r="E322" s="2115">
        <v>0.15</v>
      </c>
      <c r="F322" s="2116">
        <v>0.15</v>
      </c>
    </row>
    <row r="323" spans="1:6" ht="14.25" thickBot="1">
      <c r="A323" s="1527" t="s">
        <v>2267</v>
      </c>
      <c r="B323" s="1521" t="s">
        <v>2273</v>
      </c>
      <c r="C323" s="2115">
        <v>0.15</v>
      </c>
      <c r="D323" s="2115">
        <v>0.15</v>
      </c>
      <c r="E323" s="2115">
        <v>0.15</v>
      </c>
      <c r="F323" s="2127"/>
    </row>
    <row r="324" spans="1:6" ht="14.25" thickBot="1">
      <c r="A324" s="1527" t="s">
        <v>2267</v>
      </c>
      <c r="B324" s="1521" t="s">
        <v>2274</v>
      </c>
      <c r="C324" s="2115">
        <v>0.15</v>
      </c>
      <c r="D324" s="2115">
        <v>0.15</v>
      </c>
      <c r="E324" s="2115">
        <v>0.15</v>
      </c>
      <c r="F324" s="2127"/>
    </row>
    <row r="325" spans="1:6" ht="14.25" thickBot="1">
      <c r="A325" s="1527" t="s">
        <v>2267</v>
      </c>
      <c r="B325" s="1521" t="s">
        <v>2275</v>
      </c>
      <c r="C325" s="2115">
        <v>0.15</v>
      </c>
      <c r="D325" s="2115">
        <v>0.15</v>
      </c>
      <c r="E325" s="2115">
        <v>0.15</v>
      </c>
      <c r="F325" s="2116">
        <v>0.14699999999999999</v>
      </c>
    </row>
    <row r="326" spans="1:6" ht="14.25" thickBot="1">
      <c r="A326" s="1527" t="s">
        <v>2267</v>
      </c>
      <c r="B326" s="1521" t="s">
        <v>1298</v>
      </c>
      <c r="C326" s="2115">
        <v>0.15</v>
      </c>
      <c r="D326" s="2115">
        <v>0.15</v>
      </c>
      <c r="E326" s="2115">
        <v>0.15</v>
      </c>
      <c r="F326" s="2127"/>
    </row>
    <row r="327" spans="1:6" ht="14.25" thickBot="1">
      <c r="A327" s="1527" t="s">
        <v>2267</v>
      </c>
      <c r="B327" s="1521" t="s">
        <v>2276</v>
      </c>
      <c r="C327" s="2115">
        <v>0.15</v>
      </c>
      <c r="D327" s="2115">
        <v>0.15</v>
      </c>
      <c r="E327" s="2115">
        <v>0.15</v>
      </c>
      <c r="F327" s="2116">
        <v>0.15</v>
      </c>
    </row>
    <row r="328" spans="1:6" ht="14.25" thickBot="1">
      <c r="A328" s="1527" t="s">
        <v>2267</v>
      </c>
      <c r="B328" s="1521" t="s">
        <v>1318</v>
      </c>
      <c r="C328" s="2115">
        <v>0.15</v>
      </c>
      <c r="D328" s="2115">
        <v>0.15</v>
      </c>
      <c r="E328" s="2115">
        <v>0.15</v>
      </c>
      <c r="F328" s="2116">
        <v>0.14099999999999999</v>
      </c>
    </row>
    <row r="329" spans="1:6" ht="14.25" thickBot="1">
      <c r="A329" s="1527" t="s">
        <v>2267</v>
      </c>
      <c r="B329" s="1521" t="s">
        <v>1328</v>
      </c>
      <c r="C329" s="2115">
        <v>0.15</v>
      </c>
      <c r="D329" s="2115">
        <v>0.15</v>
      </c>
      <c r="E329" s="2115">
        <v>0.15</v>
      </c>
      <c r="F329" s="2116">
        <v>0.15</v>
      </c>
    </row>
    <row r="330" spans="1:6" ht="14.25" thickBot="1">
      <c r="A330" s="1527" t="s">
        <v>2267</v>
      </c>
      <c r="B330" s="1521" t="s">
        <v>1339</v>
      </c>
      <c r="C330" s="2115">
        <v>0.15</v>
      </c>
      <c r="D330" s="2115">
        <v>0.15</v>
      </c>
      <c r="E330" s="2115">
        <v>0.15</v>
      </c>
      <c r="F330" s="2127"/>
    </row>
    <row r="331" spans="1:6" ht="14.25" thickBot="1">
      <c r="A331" s="1527" t="s">
        <v>2267</v>
      </c>
      <c r="B331" s="1521" t="s">
        <v>2277</v>
      </c>
      <c r="C331" s="2115">
        <v>0.15</v>
      </c>
      <c r="D331" s="2115">
        <v>0.15</v>
      </c>
      <c r="E331" s="2115">
        <v>0.15</v>
      </c>
      <c r="F331" s="2116">
        <v>0.15</v>
      </c>
    </row>
    <row r="332" spans="1:6" ht="14.25" thickBot="1">
      <c r="A332" s="1527" t="s">
        <v>2267</v>
      </c>
      <c r="B332" s="1521" t="s">
        <v>1360</v>
      </c>
      <c r="C332" s="2115">
        <v>0.15</v>
      </c>
      <c r="D332" s="2115">
        <v>0.15</v>
      </c>
      <c r="E332" s="2115">
        <v>0.15</v>
      </c>
      <c r="F332" s="2116">
        <v>0.15</v>
      </c>
    </row>
    <row r="333" spans="1:6" ht="14.25" thickBot="1">
      <c r="A333" s="1527" t="s">
        <v>2267</v>
      </c>
      <c r="B333" s="1521" t="s">
        <v>2278</v>
      </c>
      <c r="C333" s="2115">
        <v>0.15</v>
      </c>
      <c r="D333" s="2115">
        <v>0.15</v>
      </c>
      <c r="E333" s="2115">
        <v>0.15</v>
      </c>
      <c r="F333" s="2116">
        <v>0.14099999999999999</v>
      </c>
    </row>
    <row r="334" spans="1:6" ht="14.25" thickBot="1">
      <c r="A334" s="1527" t="s">
        <v>2267</v>
      </c>
      <c r="B334" s="1521" t="s">
        <v>1380</v>
      </c>
      <c r="C334" s="2115">
        <v>0.15</v>
      </c>
      <c r="D334" s="2115">
        <v>0.15</v>
      </c>
      <c r="E334" s="2115">
        <v>0.15</v>
      </c>
      <c r="F334" s="2116">
        <v>0.15</v>
      </c>
    </row>
    <row r="335" spans="1:6" ht="14.25" thickBot="1">
      <c r="A335" s="1527" t="s">
        <v>2267</v>
      </c>
      <c r="B335" s="1521" t="s">
        <v>1390</v>
      </c>
      <c r="C335" s="2115">
        <v>0.15</v>
      </c>
      <c r="D335" s="2115">
        <v>0.15</v>
      </c>
      <c r="E335" s="2115">
        <v>0.15</v>
      </c>
      <c r="F335" s="2127"/>
    </row>
    <row r="336" spans="1:6" ht="14.25" thickBot="1">
      <c r="A336" s="1527" t="s">
        <v>2267</v>
      </c>
      <c r="B336" s="1521" t="s">
        <v>2279</v>
      </c>
      <c r="C336" s="2115">
        <v>0.15</v>
      </c>
      <c r="D336" s="2115">
        <v>0.15</v>
      </c>
      <c r="E336" s="2115">
        <v>0.15</v>
      </c>
      <c r="F336" s="2116">
        <v>0.11799999999999999</v>
      </c>
    </row>
    <row r="337" spans="1:6" ht="14.25" thickBot="1">
      <c r="A337" s="1537" t="s">
        <v>2267</v>
      </c>
      <c r="B337" s="1533" t="s">
        <v>1408</v>
      </c>
      <c r="C337" s="2125"/>
      <c r="D337" s="2125"/>
      <c r="E337" s="2125"/>
      <c r="F337" s="2118">
        <v>0.14299999999999999</v>
      </c>
    </row>
    <row r="338" spans="1:6" ht="14.25" thickBot="1">
      <c r="A338" s="1527" t="s">
        <v>2280</v>
      </c>
      <c r="B338" s="1528" t="s">
        <v>2281</v>
      </c>
      <c r="C338" s="2113">
        <v>0.15</v>
      </c>
      <c r="D338" s="2113">
        <v>0.15</v>
      </c>
      <c r="E338" s="2113">
        <v>0.15</v>
      </c>
      <c r="F338" s="2130"/>
    </row>
    <row r="339" spans="1:6" ht="14.25" thickBot="1">
      <c r="A339" s="1527" t="s">
        <v>2280</v>
      </c>
      <c r="B339" s="1521" t="s">
        <v>2282</v>
      </c>
      <c r="C339" s="2115">
        <v>0.15</v>
      </c>
      <c r="D339" s="2115">
        <v>0.15</v>
      </c>
      <c r="E339" s="2115">
        <v>0.15</v>
      </c>
      <c r="F339" s="2127"/>
    </row>
    <row r="340" spans="1:6" ht="14.25" thickBot="1">
      <c r="A340" s="1527" t="s">
        <v>2280</v>
      </c>
      <c r="B340" s="1521" t="s">
        <v>2283</v>
      </c>
      <c r="C340" s="2115">
        <v>0.15</v>
      </c>
      <c r="D340" s="2115">
        <v>0.15</v>
      </c>
      <c r="E340" s="2115">
        <v>0.15</v>
      </c>
      <c r="F340" s="2127"/>
    </row>
    <row r="341" spans="1:6" ht="14.25" thickBot="1">
      <c r="A341" s="1527" t="s">
        <v>2280</v>
      </c>
      <c r="B341" s="1521" t="s">
        <v>2284</v>
      </c>
      <c r="C341" s="2115">
        <v>0.15</v>
      </c>
      <c r="D341" s="2115">
        <v>0.15</v>
      </c>
      <c r="E341" s="2115">
        <v>0.15</v>
      </c>
      <c r="F341" s="2116">
        <v>0.15</v>
      </c>
    </row>
    <row r="342" spans="1:6" ht="14.25" thickBot="1">
      <c r="A342" s="1527" t="s">
        <v>2280</v>
      </c>
      <c r="B342" s="1521" t="s">
        <v>2285</v>
      </c>
      <c r="C342" s="2115">
        <v>0.15</v>
      </c>
      <c r="D342" s="2115">
        <v>0.15</v>
      </c>
      <c r="E342" s="2115">
        <v>0.15</v>
      </c>
      <c r="F342" s="2116">
        <v>0.15</v>
      </c>
    </row>
    <row r="343" spans="1:6" ht="14.25" thickBot="1">
      <c r="A343" s="1527" t="s">
        <v>2280</v>
      </c>
      <c r="B343" s="1521" t="s">
        <v>2286</v>
      </c>
      <c r="C343" s="2115">
        <v>0.15</v>
      </c>
      <c r="D343" s="2115">
        <v>0.15</v>
      </c>
      <c r="E343" s="2115">
        <v>0.15</v>
      </c>
      <c r="F343" s="2116">
        <v>0.15</v>
      </c>
    </row>
    <row r="344" spans="1:6" ht="14.25" thickBot="1">
      <c r="A344" s="1537" t="s">
        <v>2280</v>
      </c>
      <c r="B344" s="1533" t="s">
        <v>2287</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2901</v>
      </c>
      <c r="C1" s="3193">
        <f>项目基本情况!D3</f>
        <v>42975</v>
      </c>
      <c r="D1" s="3199" t="s">
        <v>2902</v>
      </c>
      <c r="E1" s="3194">
        <f>'数据-取费表'!B22</f>
        <v>2</v>
      </c>
      <c r="F1" s="3199" t="s">
        <v>2903</v>
      </c>
      <c r="G1" s="3195">
        <f ca="1">INDIRECT("d"&amp;$K$1)/100</f>
        <v>4.7500000000000001E-2</v>
      </c>
      <c r="H1" s="3199" t="s">
        <v>2933</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2904</v>
      </c>
      <c r="E2" s="3135"/>
      <c r="F2" s="3135" t="s">
        <v>2905</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2906</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2907</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2908</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2909</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2910</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2911</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2912</v>
      </c>
      <c r="C10" s="3163"/>
      <c r="D10" s="3163"/>
      <c r="E10" s="3163"/>
      <c r="F10" s="3163"/>
      <c r="G10" s="3163"/>
      <c r="H10" s="3163"/>
      <c r="I10" s="3137"/>
      <c r="J10" s="3137"/>
      <c r="K10" s="3163"/>
      <c r="L10" s="3164" t="s">
        <v>2913</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2914</v>
      </c>
      <c r="C11" s="3168" t="s">
        <v>2915</v>
      </c>
      <c r="D11" s="3169" t="s">
        <v>2916</v>
      </c>
      <c r="E11" s="3170"/>
      <c r="F11" s="3169" t="s">
        <v>2917</v>
      </c>
      <c r="G11" s="3171"/>
      <c r="H11" s="3170"/>
      <c r="I11" s="3169" t="s">
        <v>2918</v>
      </c>
      <c r="J11" s="3170"/>
      <c r="K11" s="3166"/>
      <c r="L11" s="3167" t="s">
        <v>2914</v>
      </c>
      <c r="M11" s="3168" t="s">
        <v>2915</v>
      </c>
      <c r="N11" s="3167" t="s">
        <v>2919</v>
      </c>
      <c r="O11" s="3169" t="s">
        <v>2920</v>
      </c>
      <c r="P11" s="3171"/>
      <c r="Q11" s="3171"/>
      <c r="R11" s="3171"/>
      <c r="S11" s="3171"/>
      <c r="T11" s="3170"/>
      <c r="U11" s="3169" t="s">
        <v>2921</v>
      </c>
      <c r="V11" s="3171"/>
      <c r="W11" s="3170"/>
      <c r="X11" s="3167" t="s">
        <v>2922</v>
      </c>
      <c r="Y11" s="3167" t="s">
        <v>2923</v>
      </c>
      <c r="Z11" s="3167" t="s">
        <v>2924</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2925</v>
      </c>
      <c r="E12" s="3176" t="s">
        <v>2926</v>
      </c>
      <c r="F12" s="3176" t="s">
        <v>2927</v>
      </c>
      <c r="G12" s="3176" t="s">
        <v>2928</v>
      </c>
      <c r="H12" s="3176" t="s">
        <v>2910</v>
      </c>
      <c r="I12" s="3177" t="s">
        <v>2929</v>
      </c>
      <c r="J12" s="3177" t="s">
        <v>2929</v>
      </c>
      <c r="K12" s="3173"/>
      <c r="L12" s="3174"/>
      <c r="M12" s="3175"/>
      <c r="N12" s="3174"/>
      <c r="O12" s="3177" t="s">
        <v>2930</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2931</v>
      </c>
      <c r="C13" s="3181">
        <v>42301</v>
      </c>
      <c r="D13" s="3182">
        <v>4.3499999999999996</v>
      </c>
      <c r="E13" s="3182">
        <v>4.3499999999999996</v>
      </c>
      <c r="F13" s="3182">
        <v>4.75</v>
      </c>
      <c r="G13" s="3182">
        <v>4.75</v>
      </c>
      <c r="H13" s="3182">
        <v>4.9000000000000004</v>
      </c>
      <c r="I13" s="3182">
        <v>2.75</v>
      </c>
      <c r="J13" s="3182">
        <v>3.25</v>
      </c>
      <c r="K13" s="3179"/>
      <c r="L13" s="3180" t="s">
        <v>2931</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2932</v>
      </c>
      <c r="Y42" s="3186" t="s">
        <v>2932</v>
      </c>
      <c r="Z42" s="3186" t="s">
        <v>2932</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2932</v>
      </c>
      <c r="Y43" s="3186" t="s">
        <v>2932</v>
      </c>
      <c r="Z43" s="3186" t="s">
        <v>2932</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2932</v>
      </c>
      <c r="Y44" s="3186" t="s">
        <v>2932</v>
      </c>
      <c r="Z44" s="3186" t="s">
        <v>2932</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2932</v>
      </c>
      <c r="Y45" s="3186" t="s">
        <v>2932</v>
      </c>
      <c r="Z45" s="3186" t="s">
        <v>2932</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2932</v>
      </c>
      <c r="Y46" s="3186" t="s">
        <v>2932</v>
      </c>
      <c r="Z46" s="3186" t="s">
        <v>2932</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2932</v>
      </c>
      <c r="Y47" s="3186" t="s">
        <v>2932</v>
      </c>
      <c r="Z47" s="3186" t="s">
        <v>2932</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2932</v>
      </c>
      <c r="Y48" s="3186" t="s">
        <v>2932</v>
      </c>
      <c r="Z48" s="3186" t="s">
        <v>2932</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2932</v>
      </c>
      <c r="Y49" s="3186" t="s">
        <v>2932</v>
      </c>
      <c r="Z49" s="3186" t="s">
        <v>2932</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2932</v>
      </c>
      <c r="Y50" s="3186" t="s">
        <v>2932</v>
      </c>
      <c r="Z50" s="3186" t="s">
        <v>2932</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2932</v>
      </c>
      <c r="V51" s="3186" t="s">
        <v>2932</v>
      </c>
      <c r="W51" s="3186" t="s">
        <v>2932</v>
      </c>
      <c r="X51" s="3186" t="s">
        <v>2932</v>
      </c>
      <c r="Y51" s="3186" t="s">
        <v>2932</v>
      </c>
      <c r="Z51" s="3186" t="s">
        <v>2932</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2932</v>
      </c>
      <c r="J55" s="3186" t="s">
        <v>2932</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3" t="s">
        <v>3035</v>
      </c>
      <c r="E1" s="3317" t="s">
        <v>3039</v>
      </c>
      <c r="F1" s="3318" t="s">
        <v>3043</v>
      </c>
    </row>
    <row r="2" spans="1:13" ht="20.25">
      <c r="A2" s="3324" t="s">
        <v>3036</v>
      </c>
    </row>
    <row r="3" spans="1:13" ht="16.5">
      <c r="A3" s="3325" t="s">
        <v>3037</v>
      </c>
    </row>
    <row r="4" spans="1:13" ht="14.25">
      <c r="A4" s="3315" t="s">
        <v>3038</v>
      </c>
      <c r="B4" s="3320" t="s">
        <v>3040</v>
      </c>
      <c r="C4" s="3321"/>
      <c r="D4" s="3322"/>
      <c r="E4" s="3320" t="s">
        <v>141</v>
      </c>
      <c r="F4" s="3321"/>
      <c r="G4" s="3322"/>
      <c r="H4" s="3320" t="s">
        <v>3041</v>
      </c>
      <c r="I4" s="3321"/>
      <c r="J4" s="3322"/>
      <c r="K4" s="3320" t="s">
        <v>39</v>
      </c>
      <c r="L4" s="3321"/>
      <c r="M4" s="3322"/>
    </row>
    <row r="5" spans="1:13" ht="14.25">
      <c r="A5" s="3316" t="s">
        <v>3042</v>
      </c>
      <c r="B5" s="3315" t="s">
        <v>3044</v>
      </c>
      <c r="C5" s="3315" t="s">
        <v>3045</v>
      </c>
      <c r="D5" s="3315" t="s">
        <v>3046</v>
      </c>
      <c r="E5" s="3315" t="s">
        <v>3044</v>
      </c>
      <c r="F5" s="3315" t="s">
        <v>3045</v>
      </c>
      <c r="G5" s="3315" t="s">
        <v>3046</v>
      </c>
      <c r="H5" s="3315" t="s">
        <v>3044</v>
      </c>
      <c r="I5" s="3315" t="s">
        <v>3045</v>
      </c>
      <c r="J5" s="3315" t="s">
        <v>3046</v>
      </c>
      <c r="K5" s="3315" t="s">
        <v>3044</v>
      </c>
      <c r="L5" s="3315" t="s">
        <v>3045</v>
      </c>
      <c r="M5" s="3315" t="s">
        <v>3046</v>
      </c>
    </row>
    <row r="6" spans="1:13" ht="14.25">
      <c r="A6" s="3319" t="s">
        <v>1220</v>
      </c>
      <c r="B6" s="3326">
        <v>26980</v>
      </c>
      <c r="C6" s="3326">
        <v>32980</v>
      </c>
      <c r="D6" s="3326">
        <v>29980</v>
      </c>
      <c r="E6" s="3326">
        <v>26170</v>
      </c>
      <c r="F6" s="3326">
        <v>31990</v>
      </c>
      <c r="G6" s="3326">
        <v>29080</v>
      </c>
      <c r="H6" s="3326">
        <v>25850</v>
      </c>
      <c r="I6" s="3326">
        <v>31590</v>
      </c>
      <c r="J6" s="3326">
        <v>28720</v>
      </c>
      <c r="K6" s="3326">
        <v>9860</v>
      </c>
      <c r="L6" s="3327">
        <v>13340</v>
      </c>
      <c r="M6" s="3326">
        <v>11600</v>
      </c>
    </row>
    <row r="7" spans="1:13" ht="14.25">
      <c r="A7" s="3319" t="s">
        <v>1277</v>
      </c>
      <c r="B7" s="3326">
        <v>21970</v>
      </c>
      <c r="C7" s="3326">
        <v>28730</v>
      </c>
      <c r="D7" s="3326">
        <v>25350</v>
      </c>
      <c r="E7" s="3326">
        <v>21480</v>
      </c>
      <c r="F7" s="3326">
        <v>28080</v>
      </c>
      <c r="G7" s="3326">
        <v>24780</v>
      </c>
      <c r="H7" s="3326">
        <v>21250</v>
      </c>
      <c r="I7" s="3326">
        <v>27790</v>
      </c>
      <c r="J7" s="3326">
        <v>24520</v>
      </c>
      <c r="K7" s="3326">
        <v>6660</v>
      </c>
      <c r="L7" s="3327">
        <v>10000</v>
      </c>
      <c r="M7" s="3326">
        <v>8330</v>
      </c>
    </row>
    <row r="8" spans="1:13" ht="14.25">
      <c r="A8" s="3319" t="s">
        <v>1450</v>
      </c>
      <c r="B8" s="3326">
        <v>17430</v>
      </c>
      <c r="C8" s="3326">
        <v>24410</v>
      </c>
      <c r="D8" s="3326">
        <v>20920</v>
      </c>
      <c r="E8" s="3326">
        <v>17140</v>
      </c>
      <c r="F8" s="3326">
        <v>24000</v>
      </c>
      <c r="G8" s="3326">
        <v>20570</v>
      </c>
      <c r="H8" s="3326">
        <v>16990</v>
      </c>
      <c r="I8" s="3326">
        <v>23790</v>
      </c>
      <c r="J8" s="3326">
        <v>20390</v>
      </c>
      <c r="K8" s="3326">
        <v>4530</v>
      </c>
      <c r="L8" s="3327">
        <v>6790</v>
      </c>
      <c r="M8" s="3326">
        <v>5660</v>
      </c>
    </row>
    <row r="9" spans="1:13" ht="14.25">
      <c r="A9" s="3319" t="s">
        <v>1131</v>
      </c>
      <c r="B9" s="3326">
        <v>13330</v>
      </c>
      <c r="C9" s="3326">
        <v>19990</v>
      </c>
      <c r="D9" s="3326">
        <v>16660</v>
      </c>
      <c r="E9" s="3326">
        <v>13160</v>
      </c>
      <c r="F9" s="3326">
        <v>19740</v>
      </c>
      <c r="G9" s="3326">
        <v>16450</v>
      </c>
      <c r="H9" s="3326">
        <v>13060</v>
      </c>
      <c r="I9" s="3326">
        <v>19600</v>
      </c>
      <c r="J9" s="3326">
        <v>16330</v>
      </c>
      <c r="K9" s="3326">
        <v>3090</v>
      </c>
      <c r="L9" s="3327">
        <v>4650</v>
      </c>
      <c r="M9" s="3326">
        <v>3870</v>
      </c>
    </row>
    <row r="10" spans="1:13" ht="14.25">
      <c r="A10" s="3319" t="s">
        <v>1531</v>
      </c>
      <c r="B10" s="3326">
        <v>10420</v>
      </c>
      <c r="C10" s="3326">
        <v>15620</v>
      </c>
      <c r="D10" s="3326">
        <v>13020</v>
      </c>
      <c r="E10" s="3326">
        <v>10310</v>
      </c>
      <c r="F10" s="3326">
        <v>15470</v>
      </c>
      <c r="G10" s="3326">
        <v>12890</v>
      </c>
      <c r="H10" s="3326">
        <v>10250</v>
      </c>
      <c r="I10" s="3326">
        <v>15370</v>
      </c>
      <c r="J10" s="3326">
        <v>12810</v>
      </c>
      <c r="K10" s="3326">
        <v>2140</v>
      </c>
      <c r="L10" s="3327">
        <v>3200</v>
      </c>
      <c r="M10" s="3326">
        <v>2670</v>
      </c>
    </row>
    <row r="11" spans="1:13" ht="14.25">
      <c r="A11" s="3319" t="s">
        <v>202</v>
      </c>
      <c r="B11" s="3326">
        <v>8130</v>
      </c>
      <c r="C11" s="3326">
        <v>12190</v>
      </c>
      <c r="D11" s="3326">
        <v>10160</v>
      </c>
      <c r="E11" s="3326">
        <v>8060</v>
      </c>
      <c r="F11" s="3326">
        <v>12080</v>
      </c>
      <c r="G11" s="3326">
        <v>10070</v>
      </c>
      <c r="H11" s="3326">
        <v>8010</v>
      </c>
      <c r="I11" s="3326">
        <v>12010</v>
      </c>
      <c r="J11" s="3326">
        <v>10010</v>
      </c>
      <c r="K11" s="3326">
        <v>1490</v>
      </c>
      <c r="L11" s="3327">
        <v>2250</v>
      </c>
      <c r="M11" s="3326">
        <v>1870</v>
      </c>
    </row>
    <row r="12" spans="1:13" ht="14.25">
      <c r="A12" s="3319" t="s">
        <v>1534</v>
      </c>
      <c r="B12" s="3326">
        <v>5940</v>
      </c>
      <c r="C12" s="3326">
        <v>8900</v>
      </c>
      <c r="D12" s="3326">
        <v>7420</v>
      </c>
      <c r="E12" s="3326">
        <v>5880</v>
      </c>
      <c r="F12" s="3326">
        <v>8820</v>
      </c>
      <c r="G12" s="3326">
        <v>7350</v>
      </c>
      <c r="H12" s="3326">
        <v>5840</v>
      </c>
      <c r="I12" s="3326">
        <v>8760</v>
      </c>
      <c r="J12" s="3326">
        <v>7300</v>
      </c>
      <c r="K12" s="3326">
        <v>1060</v>
      </c>
      <c r="L12" s="3327">
        <v>1600</v>
      </c>
      <c r="M12" s="3326">
        <v>1330</v>
      </c>
    </row>
    <row r="13" spans="1:13" ht="14.25">
      <c r="A13" s="3319" t="s">
        <v>1536</v>
      </c>
      <c r="B13" s="3326">
        <v>3970</v>
      </c>
      <c r="C13" s="3326">
        <v>6330</v>
      </c>
      <c r="D13" s="3326">
        <v>5150</v>
      </c>
      <c r="E13" s="3326">
        <v>3920</v>
      </c>
      <c r="F13" s="3326">
        <v>6260</v>
      </c>
      <c r="G13" s="3326">
        <v>5090</v>
      </c>
      <c r="H13" s="3326">
        <v>3890</v>
      </c>
      <c r="I13" s="3326">
        <v>6210</v>
      </c>
      <c r="J13" s="3326">
        <v>5050</v>
      </c>
      <c r="K13" s="3326">
        <v>780</v>
      </c>
      <c r="L13" s="3327">
        <v>1160</v>
      </c>
      <c r="M13" s="3326">
        <v>970</v>
      </c>
    </row>
    <row r="14" spans="1:13" ht="14.25">
      <c r="A14" s="3319" t="s">
        <v>1538</v>
      </c>
      <c r="B14" s="3326">
        <v>2680</v>
      </c>
      <c r="C14" s="3326">
        <v>4280</v>
      </c>
      <c r="D14" s="3326">
        <v>3480</v>
      </c>
      <c r="E14" s="3326">
        <v>2640</v>
      </c>
      <c r="F14" s="3326">
        <v>4220</v>
      </c>
      <c r="G14" s="3326">
        <v>3430</v>
      </c>
      <c r="H14" s="3326">
        <v>2620</v>
      </c>
      <c r="I14" s="3326">
        <v>4180</v>
      </c>
      <c r="J14" s="3326">
        <v>3400</v>
      </c>
      <c r="K14" s="3326">
        <v>580</v>
      </c>
      <c r="L14" s="3327">
        <v>880</v>
      </c>
      <c r="M14" s="3326">
        <v>730</v>
      </c>
    </row>
    <row r="15" spans="1:13" ht="14.25">
      <c r="A15" s="3319" t="s">
        <v>1542</v>
      </c>
      <c r="B15" s="3326">
        <v>1700</v>
      </c>
      <c r="C15" s="3326">
        <v>2840</v>
      </c>
      <c r="D15" s="3326">
        <v>2270</v>
      </c>
      <c r="E15" s="3326">
        <v>1670</v>
      </c>
      <c r="F15" s="3326">
        <v>2790</v>
      </c>
      <c r="G15" s="3326">
        <v>2230</v>
      </c>
      <c r="H15" s="3326">
        <v>1650</v>
      </c>
      <c r="I15" s="3326">
        <v>2750</v>
      </c>
      <c r="J15" s="3326">
        <v>2200</v>
      </c>
      <c r="K15" s="3326">
        <v>450</v>
      </c>
      <c r="L15" s="3327">
        <v>670</v>
      </c>
      <c r="M15" s="3326">
        <v>560</v>
      </c>
    </row>
    <row r="16" spans="1:13" ht="14.25">
      <c r="A16" s="3319" t="s">
        <v>1941</v>
      </c>
      <c r="B16" s="3326">
        <v>1070</v>
      </c>
      <c r="C16" s="3326">
        <v>1790</v>
      </c>
      <c r="D16" s="3326">
        <v>1430</v>
      </c>
      <c r="E16" s="3326">
        <v>1050</v>
      </c>
      <c r="F16" s="3326">
        <v>1750</v>
      </c>
      <c r="G16" s="3326">
        <v>1400</v>
      </c>
      <c r="H16" s="3326">
        <v>1030</v>
      </c>
      <c r="I16" s="3326">
        <v>1730</v>
      </c>
      <c r="J16" s="3326">
        <v>1380</v>
      </c>
      <c r="K16" s="3326">
        <v>350</v>
      </c>
      <c r="L16" s="3327">
        <v>530</v>
      </c>
      <c r="M16" s="3326">
        <v>440</v>
      </c>
    </row>
    <row r="17" spans="1:13" ht="14.25">
      <c r="A17" s="3319" t="s">
        <v>1942</v>
      </c>
      <c r="B17" s="3326">
        <v>680</v>
      </c>
      <c r="C17" s="3326">
        <v>1120</v>
      </c>
      <c r="D17" s="3326">
        <v>900</v>
      </c>
      <c r="E17" s="3326">
        <v>650</v>
      </c>
      <c r="F17" s="3326">
        <v>1090</v>
      </c>
      <c r="G17" s="3326">
        <v>870</v>
      </c>
      <c r="H17" s="3326">
        <v>630</v>
      </c>
      <c r="I17" s="3326">
        <v>1070</v>
      </c>
      <c r="J17" s="3326">
        <v>850</v>
      </c>
      <c r="K17" s="3326">
        <v>280</v>
      </c>
      <c r="L17" s="3327">
        <v>420</v>
      </c>
      <c r="M17" s="3326">
        <v>350</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workbookViewId="0">
      <selection activeCell="B11" sqref="B11"/>
    </sheetView>
  </sheetViews>
  <sheetFormatPr defaultRowHeight="13.5"/>
  <cols>
    <col min="1" max="1" width="36.25" customWidth="1"/>
  </cols>
  <sheetData>
    <row r="1" spans="1:14" s="3134" customFormat="1">
      <c r="A1" s="3134" t="s">
        <v>3064</v>
      </c>
      <c r="B1" s="3134" t="s">
        <v>3065</v>
      </c>
      <c r="C1" s="3134" t="s">
        <v>3066</v>
      </c>
      <c r="D1" s="3134" t="s">
        <v>3067</v>
      </c>
      <c r="E1" s="3134" t="s">
        <v>3068</v>
      </c>
      <c r="F1" s="3134" t="s">
        <v>3069</v>
      </c>
      <c r="G1" s="3134" t="s">
        <v>3070</v>
      </c>
      <c r="H1" s="3134" t="s">
        <v>3071</v>
      </c>
      <c r="I1" s="3134" t="s">
        <v>3072</v>
      </c>
      <c r="J1" s="3134" t="s">
        <v>3073</v>
      </c>
      <c r="K1" s="3134" t="s">
        <v>3074</v>
      </c>
      <c r="L1" s="3134" t="s">
        <v>3075</v>
      </c>
      <c r="M1" s="3134" t="s">
        <v>3311</v>
      </c>
    </row>
    <row r="2" spans="1:14" s="3363" customFormat="1">
      <c r="A2" s="3363" t="s">
        <v>3076</v>
      </c>
      <c r="B2" s="3363" t="s">
        <v>3077</v>
      </c>
      <c r="C2" s="3363" t="s">
        <v>3078</v>
      </c>
      <c r="D2" s="3363">
        <v>41050.28</v>
      </c>
      <c r="E2" s="3363">
        <v>104782</v>
      </c>
      <c r="F2" s="3363">
        <v>2.5499999999999998</v>
      </c>
      <c r="G2" s="3363" t="s">
        <v>3079</v>
      </c>
      <c r="H2" s="3363" t="s">
        <v>3080</v>
      </c>
      <c r="I2" s="3363">
        <v>203000</v>
      </c>
      <c r="J2" s="3363">
        <v>3296.77</v>
      </c>
      <c r="K2" s="3363">
        <v>19373.560000000001</v>
      </c>
      <c r="L2" s="3363">
        <v>9.73</v>
      </c>
      <c r="M2" s="3363">
        <v>22610</v>
      </c>
    </row>
    <row r="3" spans="1:14" s="3363" customFormat="1">
      <c r="A3" s="3363" t="s">
        <v>3081</v>
      </c>
      <c r="B3" s="3363" t="s">
        <v>3077</v>
      </c>
      <c r="C3" s="3363" t="s">
        <v>3078</v>
      </c>
      <c r="D3" s="3363">
        <v>65820.63</v>
      </c>
      <c r="E3" s="3363">
        <v>252082</v>
      </c>
      <c r="F3" s="3363">
        <v>3.82</v>
      </c>
      <c r="G3" s="3363" t="s">
        <v>3082</v>
      </c>
      <c r="H3" s="3363" t="s">
        <v>3083</v>
      </c>
      <c r="I3" s="3363">
        <v>460000</v>
      </c>
      <c r="J3" s="3363">
        <v>4659.13</v>
      </c>
      <c r="K3" s="3363">
        <v>18248.02</v>
      </c>
      <c r="L3" s="3363">
        <v>12.2</v>
      </c>
      <c r="M3" s="3363">
        <v>19821</v>
      </c>
    </row>
    <row r="4" spans="1:14" s="3363" customFormat="1">
      <c r="A4" s="3363" t="s">
        <v>3312</v>
      </c>
      <c r="B4" s="3363" t="s">
        <v>3077</v>
      </c>
      <c r="C4" s="3363" t="s">
        <v>3078</v>
      </c>
      <c r="D4" s="3363">
        <v>82624.91</v>
      </c>
      <c r="E4" s="3363">
        <v>263190</v>
      </c>
      <c r="F4" s="3363">
        <v>3.19</v>
      </c>
      <c r="G4" s="3363" t="s">
        <v>3313</v>
      </c>
      <c r="H4" s="3363" t="s">
        <v>3314</v>
      </c>
      <c r="I4" s="3363">
        <v>394800</v>
      </c>
      <c r="J4" s="3363">
        <v>47782.19</v>
      </c>
      <c r="K4" s="3363">
        <v>18519</v>
      </c>
      <c r="L4" s="3363">
        <v>50</v>
      </c>
      <c r="M4" s="3363">
        <v>18519</v>
      </c>
      <c r="N4" s="3363">
        <v>50</v>
      </c>
    </row>
  </sheetData>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8"/>
  <sheetViews>
    <sheetView workbookViewId="0">
      <selection activeCell="N5" sqref="N5"/>
    </sheetView>
  </sheetViews>
  <sheetFormatPr defaultRowHeight="13.5"/>
  <cols>
    <col min="2" max="2" width="20.375" customWidth="1"/>
  </cols>
  <sheetData>
    <row r="2" spans="2:10">
      <c r="B2" s="3528" t="s">
        <v>5</v>
      </c>
      <c r="C2" s="3570" t="s">
        <v>780</v>
      </c>
      <c r="D2" s="3570" t="s">
        <v>781</v>
      </c>
      <c r="E2" s="3579" t="s">
        <v>203</v>
      </c>
      <c r="F2" s="3580"/>
      <c r="G2" s="3617" t="s">
        <v>2378</v>
      </c>
      <c r="H2" s="3617"/>
      <c r="I2" s="3528" t="s">
        <v>6</v>
      </c>
      <c r="J2" s="3528"/>
    </row>
    <row r="3" spans="2:10">
      <c r="B3" s="3528"/>
      <c r="C3" s="3571"/>
      <c r="D3" s="3571"/>
      <c r="E3" s="3421" t="s">
        <v>7</v>
      </c>
      <c r="F3" s="3421" t="s">
        <v>782</v>
      </c>
      <c r="G3" s="3421" t="s">
        <v>7</v>
      </c>
      <c r="H3" s="3421" t="s">
        <v>8</v>
      </c>
      <c r="I3" s="3421" t="s">
        <v>7</v>
      </c>
      <c r="J3" s="3421" t="s">
        <v>8</v>
      </c>
    </row>
    <row r="4" spans="2:10" ht="72.75" customHeight="1">
      <c r="B4" s="2028" t="s">
        <v>3379</v>
      </c>
      <c r="C4" s="3422">
        <v>54996.800000000003</v>
      </c>
      <c r="D4" s="3422">
        <v>27526.28</v>
      </c>
      <c r="E4" s="3422">
        <v>152638</v>
      </c>
      <c r="F4" s="3422">
        <v>27754</v>
      </c>
      <c r="G4" s="3422">
        <v>15281</v>
      </c>
      <c r="H4" s="3422">
        <v>2779</v>
      </c>
      <c r="I4" s="3422">
        <v>167919</v>
      </c>
      <c r="J4" s="3422">
        <v>30533</v>
      </c>
    </row>
    <row r="5" spans="2:10" ht="72.75" customHeight="1">
      <c r="B5" s="2028" t="s">
        <v>3380</v>
      </c>
      <c r="C5" s="3422">
        <v>70889.859999999986</v>
      </c>
      <c r="D5" s="3422">
        <v>34476.800000000003</v>
      </c>
      <c r="E5" s="3422">
        <v>125556</v>
      </c>
      <c r="F5" s="3422">
        <v>17712</v>
      </c>
      <c r="G5" s="3422">
        <v>0</v>
      </c>
      <c r="H5" s="3422">
        <v>0</v>
      </c>
      <c r="I5" s="3422">
        <v>125556</v>
      </c>
      <c r="J5" s="3422">
        <v>17712</v>
      </c>
    </row>
    <row r="6" spans="2:10" ht="72.75" customHeight="1">
      <c r="B6" s="2028" t="s">
        <v>3381</v>
      </c>
      <c r="C6" s="3422">
        <v>28315.590000000004</v>
      </c>
      <c r="D6" s="3422">
        <v>15217.92</v>
      </c>
      <c r="E6" s="3422">
        <v>38814</v>
      </c>
      <c r="F6" s="3422">
        <v>13708</v>
      </c>
      <c r="G6" s="3422">
        <v>3699</v>
      </c>
      <c r="H6" s="3422">
        <v>1306</v>
      </c>
      <c r="I6" s="3422">
        <v>42513</v>
      </c>
      <c r="J6" s="3422">
        <v>15014</v>
      </c>
    </row>
    <row r="7" spans="2:10" ht="72.75" customHeight="1">
      <c r="B7" s="2028" t="s">
        <v>3382</v>
      </c>
      <c r="C7" s="3422">
        <v>25011.999999999996</v>
      </c>
      <c r="D7" s="3422">
        <v>11231.34</v>
      </c>
      <c r="E7" s="3422">
        <v>45154</v>
      </c>
      <c r="F7" s="3422">
        <v>18053</v>
      </c>
      <c r="G7" s="3422">
        <v>0</v>
      </c>
      <c r="H7" s="3422">
        <v>0</v>
      </c>
      <c r="I7" s="3422">
        <v>45154</v>
      </c>
      <c r="J7" s="3422">
        <v>18053</v>
      </c>
    </row>
    <row r="8" spans="2:10" ht="14.25">
      <c r="B8" s="2028"/>
      <c r="C8" s="3422"/>
      <c r="D8" s="3422"/>
      <c r="E8" s="3422"/>
      <c r="F8" s="3422"/>
      <c r="G8" s="3422"/>
      <c r="H8" s="3422"/>
      <c r="I8" s="3422">
        <f>SUM(I4:I7)</f>
        <v>381142</v>
      </c>
      <c r="J8" s="3422"/>
    </row>
  </sheetData>
  <mergeCells count="6">
    <mergeCell ref="I2:J2"/>
    <mergeCell ref="B2:B3"/>
    <mergeCell ref="C2:C3"/>
    <mergeCell ref="D2:D3"/>
    <mergeCell ref="E2:F2"/>
    <mergeCell ref="G2:H2"/>
  </mergeCells>
  <phoneticPr fontId="205" type="noConversion"/>
  <dataValidations count="4">
    <dataValidation type="list" allowBlank="1" showInputMessage="1" showErrorMessage="1" sqref="G2:H2">
      <formula1>"建筑物价值,在建建筑物价值,建筑物/在建建筑物价值"</formula1>
    </dataValidation>
    <dataValidation type="list" allowBlank="1" showInputMessage="1" showErrorMessage="1" sqref="E2:F2">
      <formula1>"出让国有建设用地使用权价值,划拨国有建设用地使用权价值"</formula1>
    </dataValidation>
    <dataValidation type="list" allowBlank="1" showInputMessage="1" showErrorMessage="1" sqref="D2:D3">
      <formula1>"土地面积,分摊土地面积,（分摊）土地面积"</formula1>
    </dataValidation>
    <dataValidation type="list" allowBlank="1" showInputMessage="1" showErrorMessage="1" sqref="C2:C3">
      <formula1>"建筑面积,规划建筑面积,（规划）建筑面积"</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34" t="str">
        <f>IF(项目基本情况!B9="房地产市场价值","估价结果一览表","结果表-2")</f>
        <v>结果表-2</v>
      </c>
      <c r="B1" s="3434"/>
      <c r="C1" s="3434"/>
      <c r="D1" s="3434"/>
      <c r="E1" s="3434"/>
      <c r="F1" s="3434"/>
      <c r="G1" s="3434"/>
      <c r="H1" s="3434"/>
      <c r="I1" s="3434"/>
    </row>
    <row r="2" spans="1:9" ht="30" customHeight="1" thickTop="1">
      <c r="A2" s="3435" t="s">
        <v>2870</v>
      </c>
      <c r="B2" s="3435" t="s">
        <v>2035</v>
      </c>
      <c r="C2" s="3435" t="s">
        <v>2036</v>
      </c>
      <c r="D2" s="3435" t="str">
        <f>结果表!D116</f>
        <v>出让国有建设用地使用权价值</v>
      </c>
      <c r="E2" s="3435"/>
      <c r="F2" s="3435" t="str">
        <f>结果表!F116</f>
        <v>在建建筑物价值</v>
      </c>
      <c r="G2" s="3435"/>
      <c r="H2" s="3435" t="str">
        <f>IF(项目基本情况!B9="房地产市场价值","房地产市场价值","房地产价值")</f>
        <v>房地产价值</v>
      </c>
      <c r="I2" s="3435"/>
    </row>
    <row r="3" spans="1:9" ht="14.25">
      <c r="A3" s="3436"/>
      <c r="B3" s="3436"/>
      <c r="C3" s="3436"/>
      <c r="D3" s="1910" t="s">
        <v>7</v>
      </c>
      <c r="E3" s="1910" t="s">
        <v>2037</v>
      </c>
      <c r="F3" s="1910" t="s">
        <v>7</v>
      </c>
      <c r="G3" s="1910" t="s">
        <v>8</v>
      </c>
      <c r="H3" s="1910" t="s">
        <v>7</v>
      </c>
      <c r="I3" s="1910" t="s">
        <v>8</v>
      </c>
    </row>
    <row r="4" spans="1:9" ht="57">
      <c r="A4" s="1979" t="str">
        <f>项目基本情况!S2</f>
        <v>北京市北京市门头沟区潭柘寺MC01-0003-6004地块C3出让国有建设用地使用权及在建建筑物房地产</v>
      </c>
      <c r="B4" s="1973">
        <f>项目基本情况!C17</f>
        <v>54996.800000000003</v>
      </c>
      <c r="C4" s="1973">
        <f>项目基本情况!C18</f>
        <v>27526.28</v>
      </c>
      <c r="D4" s="1973">
        <f ca="1">结果表!D118</f>
        <v>152638</v>
      </c>
      <c r="E4" s="1973">
        <f ca="1">结果表!E118</f>
        <v>27754</v>
      </c>
      <c r="F4" s="1973">
        <f ca="1">结果表!F118</f>
        <v>15281</v>
      </c>
      <c r="G4" s="1973">
        <f ca="1">结果表!G118</f>
        <v>2779</v>
      </c>
      <c r="H4" s="1973">
        <f ca="1">结果表!H118</f>
        <v>167919</v>
      </c>
      <c r="I4" s="1973">
        <f ca="1">结果表!I118</f>
        <v>30533</v>
      </c>
    </row>
    <row r="5" spans="1:9" ht="30" customHeight="1">
      <c r="A5" s="3436" t="s">
        <v>9</v>
      </c>
      <c r="B5" s="3436"/>
      <c r="C5" s="3436"/>
      <c r="D5" s="3437" t="str">
        <f ca="1">结果表!D119</f>
        <v>壹拾伍亿贰仟陆佰叁拾捌万元整</v>
      </c>
      <c r="E5" s="3437"/>
      <c r="F5" s="3437" t="str">
        <f ca="1">结果表!F119</f>
        <v>壹亿伍仟贰佰捌拾壹万元整</v>
      </c>
      <c r="G5" s="3437"/>
      <c r="H5" s="3437" t="str">
        <f ca="1">结果表!H119</f>
        <v>壹拾陆亿柒仟玖佰壹拾玖万元整</v>
      </c>
      <c r="I5" s="3437"/>
    </row>
    <row r="6" spans="1:9" ht="15.75">
      <c r="A6" s="3438" t="str">
        <f>结果表!A120</f>
        <v>估价师知悉的法定优先受偿款</v>
      </c>
      <c r="B6" s="3438"/>
      <c r="C6" s="3438"/>
      <c r="D6" s="3439">
        <f>结果表!D120</f>
        <v>0</v>
      </c>
      <c r="E6" s="3439"/>
      <c r="F6" s="3439"/>
      <c r="G6" s="3439"/>
      <c r="H6" s="3439"/>
      <c r="I6" s="3439"/>
    </row>
    <row r="7" spans="1:9" ht="14.25">
      <c r="A7" s="3436" t="s">
        <v>9</v>
      </c>
      <c r="B7" s="3436"/>
      <c r="C7" s="3436"/>
      <c r="D7" s="3440" t="str">
        <f>结果表!D121</f>
        <v>零元整</v>
      </c>
      <c r="E7" s="3441"/>
      <c r="F7" s="3441"/>
      <c r="G7" s="3441"/>
      <c r="H7" s="3441"/>
      <c r="I7" s="3442"/>
    </row>
    <row r="8" spans="1:9" ht="15.75">
      <c r="A8" s="3438" t="str">
        <f>结果表!A122</f>
        <v>房地产抵押价值</v>
      </c>
      <c r="B8" s="3438"/>
      <c r="C8" s="3438"/>
      <c r="D8" s="3439">
        <f ca="1">结果表!D122</f>
        <v>167919</v>
      </c>
      <c r="E8" s="3439"/>
      <c r="F8" s="3439"/>
      <c r="G8" s="3439"/>
      <c r="H8" s="3439"/>
      <c r="I8" s="3439"/>
    </row>
    <row r="9" spans="1:9" ht="14.25">
      <c r="A9" s="3436" t="s">
        <v>9</v>
      </c>
      <c r="B9" s="3436"/>
      <c r="C9" s="3436"/>
      <c r="D9" s="3437" t="str">
        <f ca="1">结果表!D123</f>
        <v>壹拾陆亿柒仟玖佰壹拾玖万元整</v>
      </c>
      <c r="E9" s="3437"/>
      <c r="F9" s="3437"/>
      <c r="G9" s="3437"/>
      <c r="H9" s="3437"/>
      <c r="I9" s="3437"/>
    </row>
    <row r="10" spans="1:9" ht="15.75">
      <c r="A10" s="3438" t="str">
        <f>结果表!A124</f>
        <v/>
      </c>
      <c r="B10" s="3438"/>
      <c r="C10" s="3438"/>
      <c r="D10" s="3439" t="str">
        <f>结果表!D124</f>
        <v>——</v>
      </c>
      <c r="E10" s="3439"/>
      <c r="F10" s="3439"/>
      <c r="G10" s="3439"/>
      <c r="H10" s="3439"/>
      <c r="I10" s="3439"/>
    </row>
    <row r="11" spans="1:9" ht="14.25">
      <c r="A11" s="3436" t="s">
        <v>9</v>
      </c>
      <c r="B11" s="3436"/>
      <c r="C11" s="3436"/>
      <c r="D11" s="3437" t="e">
        <f>结果表!D125</f>
        <v>#VALUE!</v>
      </c>
      <c r="E11" s="3437"/>
      <c r="F11" s="3437"/>
      <c r="G11" s="3437"/>
      <c r="H11" s="3437"/>
      <c r="I11" s="3437"/>
    </row>
    <row r="12" spans="1:9" ht="15.75">
      <c r="A12" s="3438" t="str">
        <f>结果表!A126</f>
        <v/>
      </c>
      <c r="B12" s="3438"/>
      <c r="C12" s="3438"/>
      <c r="D12" s="3439" t="str">
        <f>结果表!D126</f>
        <v>——</v>
      </c>
      <c r="E12" s="3439"/>
      <c r="F12" s="3439"/>
      <c r="G12" s="3439"/>
      <c r="H12" s="3439"/>
      <c r="I12" s="3439"/>
    </row>
    <row r="13" spans="1:9" ht="15" thickBot="1">
      <c r="A13" s="3443" t="s">
        <v>9</v>
      </c>
      <c r="B13" s="3443"/>
      <c r="C13" s="3443"/>
      <c r="D13" s="3444" t="e">
        <f>结果表!D127</f>
        <v>#VALUE!</v>
      </c>
      <c r="E13" s="3444"/>
      <c r="F13" s="3444"/>
      <c r="G13" s="3444"/>
      <c r="H13" s="3444"/>
      <c r="I13" s="3444"/>
    </row>
    <row r="14" spans="1:9" ht="14.25" thickTop="1">
      <c r="A14" s="3445" t="s">
        <v>2038</v>
      </c>
      <c r="B14" s="3445"/>
      <c r="C14" s="3445"/>
      <c r="D14" s="3445"/>
      <c r="E14" s="3445"/>
      <c r="F14" s="3445"/>
      <c r="G14" s="3445"/>
      <c r="H14" s="3445"/>
      <c r="I14" s="3445"/>
    </row>
    <row r="16" spans="1:9" ht="18.75">
      <c r="A16" s="1988" t="s">
        <v>2039</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46" t="s">
        <v>2847</v>
      </c>
      <c r="B1" s="3446"/>
      <c r="C1" s="3446"/>
      <c r="D1" s="3446"/>
    </row>
    <row r="2" spans="1:4" ht="18.75">
      <c r="A2" s="3447" t="s">
        <v>2108</v>
      </c>
      <c r="B2" s="3447"/>
      <c r="C2" s="3447"/>
      <c r="D2" s="3447"/>
    </row>
    <row r="3" spans="1:4" ht="18.75">
      <c r="A3" s="2608" t="s">
        <v>2109</v>
      </c>
      <c r="B3" s="2608" t="s">
        <v>2110</v>
      </c>
      <c r="C3" s="2608" t="s">
        <v>2111</v>
      </c>
      <c r="D3" s="2608" t="s">
        <v>2112</v>
      </c>
    </row>
    <row r="4" spans="1:4" ht="56.25" customHeight="1">
      <c r="A4" s="2614" t="str">
        <f>项目基本情况!B4</f>
        <v>梁津</v>
      </c>
      <c r="B4" s="2609">
        <f ca="1">项目基本情况!C4</f>
        <v>1119970066</v>
      </c>
      <c r="C4" s="2612"/>
      <c r="D4" s="2610" t="s">
        <v>2113</v>
      </c>
    </row>
    <row r="5" spans="1:4" ht="56.25" customHeight="1">
      <c r="A5" s="2614" t="str">
        <f>项目基本情况!D4</f>
        <v>欧红伟</v>
      </c>
      <c r="B5" s="2609">
        <f ca="1">项目基本情况!E4</f>
        <v>1120000080</v>
      </c>
      <c r="C5" s="2613"/>
      <c r="D5" s="2610" t="s">
        <v>2113</v>
      </c>
    </row>
    <row r="6" spans="1:4" ht="18.75">
      <c r="A6" s="3447" t="s">
        <v>2610</v>
      </c>
      <c r="B6" s="3447"/>
      <c r="C6" s="3447"/>
      <c r="D6" s="3447"/>
    </row>
    <row r="7" spans="1:4" ht="18.75">
      <c r="A7" s="2608" t="s">
        <v>2109</v>
      </c>
      <c r="B7" s="2609" t="s">
        <v>2114</v>
      </c>
      <c r="C7" s="2608" t="s">
        <v>2111</v>
      </c>
      <c r="D7" s="2608" t="s">
        <v>2112</v>
      </c>
    </row>
    <row r="8" spans="1:4" ht="56.25" customHeight="1">
      <c r="A8" s="2611" t="s">
        <v>2115</v>
      </c>
      <c r="B8" s="2611" t="s">
        <v>23</v>
      </c>
      <c r="C8" s="2612"/>
      <c r="D8" s="2610" t="s">
        <v>2113</v>
      </c>
    </row>
    <row r="9" spans="1:4">
      <c r="A9" s="1493"/>
      <c r="B9" s="1493"/>
      <c r="C9" s="1493"/>
      <c r="D9" s="1493"/>
    </row>
    <row r="10" spans="1:4" ht="18.75">
      <c r="A10" s="2090" t="s">
        <v>2116</v>
      </c>
      <c r="B10" s="1493"/>
      <c r="C10" s="1493"/>
      <c r="D10" s="1493"/>
    </row>
    <row r="11" spans="1:4" ht="30" customHeight="1">
      <c r="A11" s="3448" t="s">
        <v>2702</v>
      </c>
      <c r="B11" s="3449"/>
      <c r="C11" s="3449"/>
      <c r="D11" s="3449"/>
    </row>
    <row r="12" spans="1:4" ht="14.25">
      <c r="A12" s="34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0"/>
      <c r="C12" s="3450"/>
      <c r="D12" s="3450"/>
    </row>
    <row r="13" spans="1:4" ht="30" customHeight="1">
      <c r="A13" s="34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0"/>
      <c r="C13" s="3450"/>
      <c r="D13" s="3450"/>
    </row>
    <row r="14" spans="1:4" ht="15.75" customHeight="1">
      <c r="A14" s="3449" t="str">
        <f>IF(项目基本情况!B8="抵押","4.本次评估估价师所知悉的法定优先受偿款情况说明如下：","——")</f>
        <v>4.本次评估估价师所知悉的法定优先受偿款情况说明如下：</v>
      </c>
      <c r="B14" s="3450"/>
      <c r="C14" s="3450"/>
      <c r="D14" s="3450"/>
    </row>
    <row r="15" spans="1:4" ht="42" customHeight="1">
      <c r="A15" s="3449" t="str">
        <f>IF(项目基本情况!B8="抵押","（1）"&amp;CONCATENATE(项目基本情况!L20,项目基本情况!L21,项目基本情况!L22),"——")</f>
        <v>（1）根据估价对象《房屋所有权证》——、《国有土地使用权》原件，截至价值时点，估价对象抵押权未见登记。</v>
      </c>
      <c r="B15" s="3449"/>
      <c r="C15" s="3449"/>
      <c r="D15" s="3449"/>
    </row>
    <row r="16" spans="1:4" ht="30" customHeight="1">
      <c r="A16" s="3452" t="s">
        <v>2120</v>
      </c>
      <c r="B16" s="3452"/>
      <c r="C16" s="3452"/>
      <c r="D16" s="3452"/>
    </row>
    <row r="17" spans="1:4" ht="144" customHeight="1">
      <c r="A17" s="3452" t="s">
        <v>2121</v>
      </c>
      <c r="B17" s="3452"/>
      <c r="C17" s="3452"/>
      <c r="D17" s="3452"/>
    </row>
    <row r="18" spans="1:4" ht="15.75" customHeight="1">
      <c r="A18" s="3449" t="str">
        <f>IF(项目基本情况!B8="抵押",结果表!K120,"——")</f>
        <v>故，本次评估不存在估价师知悉的法定优先受偿款</v>
      </c>
      <c r="B18" s="3449"/>
      <c r="C18" s="3449"/>
      <c r="D18" s="3449"/>
    </row>
    <row r="19" spans="1:4" ht="46.5" customHeight="1">
      <c r="A19" s="34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9"/>
      <c r="C19" s="3449"/>
      <c r="D19" s="3449"/>
    </row>
    <row r="20" spans="1:4" ht="57.75" customHeight="1">
      <c r="A20" s="34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9"/>
      <c r="C20" s="3449"/>
      <c r="D20" s="3449"/>
    </row>
    <row r="21" spans="1:4" ht="57.75" customHeight="1">
      <c r="A21" s="34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3"/>
      <c r="C21" s="3453"/>
      <c r="D21" s="3453"/>
    </row>
    <row r="22" spans="1:4" ht="18.75" customHeight="1">
      <c r="A22" s="3454" t="s">
        <v>2868</v>
      </c>
      <c r="B22" s="3454"/>
      <c r="C22" s="3454"/>
      <c r="D22" s="3454"/>
    </row>
    <row r="23" spans="1:4">
      <c r="A23" s="1980"/>
      <c r="B23" s="1989"/>
      <c r="C23" s="1989"/>
      <c r="D23" s="1989"/>
    </row>
    <row r="24" spans="1:4">
      <c r="A24" s="1980"/>
      <c r="B24" s="1989"/>
      <c r="C24" s="1989"/>
      <c r="D24" s="1989"/>
    </row>
    <row r="25" spans="1:4" ht="18.75">
      <c r="A25" s="1978" t="s">
        <v>2117</v>
      </c>
    </row>
    <row r="26" spans="1:4" ht="18.75">
      <c r="A26" s="1950"/>
    </row>
    <row r="27" spans="1:4" ht="18.75">
      <c r="A27" s="1950" t="s">
        <v>2118</v>
      </c>
    </row>
    <row r="30" spans="1:4" ht="18.75">
      <c r="D30" s="1978" t="s">
        <v>2119</v>
      </c>
    </row>
    <row r="31" spans="1:4" ht="13.5" customHeight="1">
      <c r="C31" s="3451">
        <v>42551</v>
      </c>
      <c r="D31" s="345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7" t="s">
        <v>2124</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0" customWidth="1"/>
    <col min="2" max="16384" width="14.5" style="1138"/>
  </cols>
  <sheetData>
    <row r="1" spans="1:7" s="1136" customFormat="1" ht="18.75">
      <c r="A1" s="1135" t="s">
        <v>575</v>
      </c>
    </row>
    <row r="3" spans="1:7">
      <c r="A3" s="1137" t="s">
        <v>548</v>
      </c>
      <c r="B3" s="1138" t="s">
        <v>549</v>
      </c>
      <c r="G3" s="1139"/>
    </row>
    <row r="4" spans="1:7">
      <c r="G4" s="1139"/>
    </row>
    <row r="5" spans="1:7">
      <c r="A5" s="1141" t="s">
        <v>539</v>
      </c>
      <c r="B5" s="1138" t="s">
        <v>550</v>
      </c>
      <c r="G5" s="1139"/>
    </row>
    <row r="6" spans="1:7">
      <c r="G6" s="1139"/>
    </row>
    <row r="7" spans="1:7">
      <c r="A7" s="1142" t="s">
        <v>1128</v>
      </c>
      <c r="B7" s="1138" t="s">
        <v>551</v>
      </c>
      <c r="G7" s="1139"/>
    </row>
    <row r="8" spans="1:7">
      <c r="G8" s="1139"/>
    </row>
    <row r="9" spans="1:7">
      <c r="A9" s="1143" t="s">
        <v>540</v>
      </c>
      <c r="B9" s="1138" t="s">
        <v>552</v>
      </c>
    </row>
    <row r="11" spans="1:7">
      <c r="A11" s="1144" t="s">
        <v>541</v>
      </c>
      <c r="B11" s="1145" t="s">
        <v>538</v>
      </c>
    </row>
    <row r="13" spans="1:7">
      <c r="A13" s="1146" t="s">
        <v>553</v>
      </c>
    </row>
    <row r="15" spans="1:7" ht="13.5">
      <c r="A15" s="3460" t="s">
        <v>554</v>
      </c>
      <c r="B15" s="3455" t="s">
        <v>1129</v>
      </c>
      <c r="C15" s="3456"/>
    </row>
    <row r="16" spans="1:7" ht="13.5">
      <c r="A16" s="3461"/>
      <c r="B16" s="3455" t="s">
        <v>527</v>
      </c>
      <c r="C16" s="3456"/>
    </row>
    <row r="17" spans="1:3" ht="13.5">
      <c r="A17" s="3461"/>
      <c r="B17" s="3458" t="s">
        <v>555</v>
      </c>
      <c r="C17" s="1147" t="s">
        <v>554</v>
      </c>
    </row>
    <row r="18" spans="1:3" ht="13.5">
      <c r="A18" s="3461"/>
      <c r="B18" s="3458"/>
      <c r="C18" s="1147" t="s">
        <v>556</v>
      </c>
    </row>
    <row r="19" spans="1:3" ht="13.5">
      <c r="A19" s="3461"/>
      <c r="B19" s="3458"/>
      <c r="C19" s="1147" t="s">
        <v>557</v>
      </c>
    </row>
    <row r="20" spans="1:3" ht="13.5">
      <c r="A20" s="3462"/>
      <c r="B20" s="3457" t="s">
        <v>558</v>
      </c>
      <c r="C20" s="3456"/>
    </row>
    <row r="21" spans="1:3" ht="13.5">
      <c r="A21" s="1148" t="s">
        <v>559</v>
      </c>
      <c r="B21" s="1149"/>
      <c r="C21" s="1150"/>
    </row>
    <row r="22" spans="1:3" ht="13.5">
      <c r="A22" s="3459" t="s">
        <v>560</v>
      </c>
      <c r="B22" s="3457" t="s">
        <v>561</v>
      </c>
      <c r="C22" s="3456"/>
    </row>
    <row r="23" spans="1:3" ht="13.5">
      <c r="A23" s="3459"/>
      <c r="B23" s="3457" t="s">
        <v>562</v>
      </c>
      <c r="C23" s="3456"/>
    </row>
    <row r="24" spans="1:3" ht="13.5">
      <c r="A24" s="3459"/>
      <c r="B24" s="3457" t="s">
        <v>563</v>
      </c>
      <c r="C24" s="3456"/>
    </row>
    <row r="25" spans="1:3" ht="13.5">
      <c r="A25" s="3459"/>
      <c r="B25" s="3458" t="s">
        <v>564</v>
      </c>
      <c r="C25" s="1147" t="s">
        <v>565</v>
      </c>
    </row>
    <row r="26" spans="1:3" ht="13.5">
      <c r="A26" s="3459"/>
      <c r="B26" s="3458"/>
      <c r="C26" s="1147" t="s">
        <v>566</v>
      </c>
    </row>
    <row r="27" spans="1:3" ht="13.5">
      <c r="A27" s="3459"/>
      <c r="B27" s="3458"/>
      <c r="C27" s="1147" t="s">
        <v>567</v>
      </c>
    </row>
    <row r="28" spans="1:3" ht="13.5">
      <c r="A28" s="3459"/>
      <c r="B28" s="3458"/>
      <c r="C28" s="1147" t="s">
        <v>568</v>
      </c>
    </row>
    <row r="29" spans="1:3" ht="13.5">
      <c r="A29" s="3459"/>
      <c r="B29" s="3458"/>
      <c r="C29" s="1147" t="s">
        <v>569</v>
      </c>
    </row>
    <row r="30" spans="1:3" ht="13.5">
      <c r="A30" s="3459"/>
      <c r="B30" s="3458"/>
      <c r="C30" s="1147" t="s">
        <v>570</v>
      </c>
    </row>
    <row r="31" spans="1:3" ht="13.5">
      <c r="A31" s="3459"/>
      <c r="B31" s="3458"/>
      <c r="C31" s="1147" t="s">
        <v>571</v>
      </c>
    </row>
    <row r="32" spans="1:3" ht="13.5">
      <c r="A32" s="3459"/>
      <c r="B32" s="3458"/>
      <c r="C32" s="1147" t="s">
        <v>572</v>
      </c>
    </row>
    <row r="33" spans="1:3" ht="13.5">
      <c r="A33" s="3459"/>
      <c r="B33" s="3458"/>
      <c r="C33" s="1147" t="s">
        <v>573</v>
      </c>
    </row>
    <row r="34" spans="1:3">
      <c r="A34" s="1151" t="s">
        <v>542</v>
      </c>
    </row>
    <row r="37" spans="1:3">
      <c r="A37" s="1151" t="s">
        <v>574</v>
      </c>
    </row>
    <row r="38" spans="1:3" ht="13.5">
      <c r="A38" s="1152" t="s">
        <v>543</v>
      </c>
    </row>
    <row r="39" spans="1:3" ht="13.5">
      <c r="A39" s="1152" t="s">
        <v>544</v>
      </c>
    </row>
    <row r="40" spans="1:3" ht="13.5">
      <c r="A40" s="1152" t="s">
        <v>545</v>
      </c>
    </row>
    <row r="41" spans="1:3" ht="13.5">
      <c r="A41" s="1153" t="s">
        <v>546</v>
      </c>
    </row>
    <row r="42" spans="1:3" ht="13.5">
      <c r="A42" s="1152"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1963</v>
      </c>
      <c r="B2" s="1888">
        <f ca="1">TODAY()</f>
        <v>42977</v>
      </c>
      <c r="C2" s="1889" t="s">
        <v>1964</v>
      </c>
      <c r="D2" s="1889"/>
    </row>
    <row r="3" spans="1:6" ht="24" customHeight="1">
      <c r="A3" s="1890" t="s">
        <v>1965</v>
      </c>
      <c r="B3" s="1891" t="s">
        <v>1966</v>
      </c>
      <c r="C3" s="1891" t="s">
        <v>1967</v>
      </c>
      <c r="D3" s="1892" t="s">
        <v>1968</v>
      </c>
      <c r="E3" s="1893" t="s">
        <v>1969</v>
      </c>
      <c r="F3" s="1891" t="s">
        <v>1967</v>
      </c>
    </row>
    <row r="4" spans="1:6" ht="24" customHeight="1">
      <c r="A4" s="3201" t="s">
        <v>1970</v>
      </c>
      <c r="B4" s="1893">
        <f ca="1">IF(C4&lt;B2,"已过期",1119970066)</f>
        <v>1119970066</v>
      </c>
      <c r="C4" s="3202">
        <v>43849</v>
      </c>
      <c r="D4" s="3201" t="s">
        <v>1970</v>
      </c>
      <c r="E4" s="1893">
        <f ca="1">IF(F4&lt;B2,"已过期",96010014)</f>
        <v>96010014</v>
      </c>
      <c r="F4" s="1902">
        <v>47118</v>
      </c>
    </row>
    <row r="5" spans="1:6" ht="24" customHeight="1">
      <c r="A5" s="3201" t="s">
        <v>1971</v>
      </c>
      <c r="B5" s="1893">
        <f ca="1">IF(C5&lt;B2,"已过期",1119970074)</f>
        <v>1119970074</v>
      </c>
      <c r="C5" s="3202">
        <v>43849</v>
      </c>
      <c r="D5" s="3201" t="s">
        <v>1971</v>
      </c>
      <c r="E5" s="1893">
        <f ca="1">IF(F5&lt;B2,"已过期",2002110027)</f>
        <v>2002110027</v>
      </c>
      <c r="F5" s="1902">
        <v>46752</v>
      </c>
    </row>
    <row r="6" spans="1:6" ht="24" customHeight="1">
      <c r="A6" s="3201" t="s">
        <v>1972</v>
      </c>
      <c r="B6" s="1893">
        <f ca="1">IF(C6&lt;B2,"已过期",1119970111)</f>
        <v>1119970111</v>
      </c>
      <c r="C6" s="3202">
        <v>43849</v>
      </c>
      <c r="D6" s="3201" t="s">
        <v>1972</v>
      </c>
      <c r="E6" s="1893">
        <f ca="1">IF(F6&lt;B2,"已过期",94010078)</f>
        <v>94010078</v>
      </c>
      <c r="F6" s="1902">
        <v>46387</v>
      </c>
    </row>
    <row r="7" spans="1:6" ht="24" customHeight="1">
      <c r="A7" s="3201" t="s">
        <v>1973</v>
      </c>
      <c r="B7" s="1893">
        <f ca="1">IF(C7&lt;B2,"已过期",1120050019)</f>
        <v>1120050019</v>
      </c>
      <c r="C7" s="3202">
        <v>43359</v>
      </c>
      <c r="D7" s="3201" t="s">
        <v>1973</v>
      </c>
      <c r="E7" s="1893">
        <f ca="1">IF(F7&lt;B2,"已过期",2002110030)</f>
        <v>2002110030</v>
      </c>
      <c r="F7" s="1902">
        <v>46387</v>
      </c>
    </row>
    <row r="8" spans="1:6" ht="24" customHeight="1">
      <c r="A8" s="3201" t="s">
        <v>1974</v>
      </c>
      <c r="B8" s="1893">
        <f ca="1">IF(C8&lt;B2,"已过期",1120000080)</f>
        <v>1120000080</v>
      </c>
      <c r="C8" s="3202">
        <v>43849</v>
      </c>
      <c r="D8" s="3201" t="s">
        <v>1974</v>
      </c>
      <c r="E8" s="1893">
        <f ca="1">IF(F8&lt;B2,"已过期",2000110082)</f>
        <v>2000110082</v>
      </c>
      <c r="F8" s="1902">
        <v>46387</v>
      </c>
    </row>
    <row r="9" spans="1:6" ht="24" customHeight="1">
      <c r="A9" s="3201" t="s">
        <v>1975</v>
      </c>
      <c r="B9" s="1893">
        <f ca="1">IF(C9&lt;B2,"已过期",1419970001)</f>
        <v>1419970001</v>
      </c>
      <c r="C9" s="3202">
        <v>43867</v>
      </c>
      <c r="D9" s="3201" t="s">
        <v>1975</v>
      </c>
      <c r="E9" s="1893">
        <f ca="1">IF(F9&lt;B2,"已过期",2002110125)</f>
        <v>2002110125</v>
      </c>
      <c r="F9" s="1902">
        <v>47118</v>
      </c>
    </row>
    <row r="10" spans="1:6" ht="24" customHeight="1">
      <c r="A10" s="3201" t="s">
        <v>1976</v>
      </c>
      <c r="B10" s="1893">
        <f ca="1">IF(C10&lt;B2,"已过期",1120060040)</f>
        <v>1120060040</v>
      </c>
      <c r="C10" s="3202">
        <v>43483</v>
      </c>
      <c r="D10" s="3201" t="s">
        <v>1976</v>
      </c>
      <c r="E10" s="1893">
        <f ca="1">IF(F10&lt;B2,"已过期",2004110096)</f>
        <v>2004110096</v>
      </c>
      <c r="F10" s="1902">
        <v>47118</v>
      </c>
    </row>
    <row r="11" spans="1:6" ht="24" customHeight="1">
      <c r="A11" s="3201" t="s">
        <v>1977</v>
      </c>
      <c r="B11" s="1893">
        <f ca="1">IF(C11&lt;B2,"已过期",1120100036)</f>
        <v>1120100036</v>
      </c>
      <c r="C11" s="3202">
        <v>43622</v>
      </c>
      <c r="D11" s="3201" t="s">
        <v>1977</v>
      </c>
      <c r="E11" s="1893">
        <f ca="1">IF(F11&lt;B2,"已过期",2010110070)</f>
        <v>2010110070</v>
      </c>
      <c r="F11" s="1902">
        <v>47907</v>
      </c>
    </row>
    <row r="12" spans="1:6" ht="24" customHeight="1">
      <c r="A12" s="3201"/>
      <c r="B12" s="1893"/>
      <c r="C12" s="3202"/>
      <c r="D12" s="3201"/>
      <c r="E12" s="1893"/>
      <c r="F12" s="1893"/>
    </row>
    <row r="13" spans="1:6" ht="24" customHeight="1">
      <c r="A13" s="3201" t="s">
        <v>1978</v>
      </c>
      <c r="B13" s="1893">
        <f ca="1">IF(C13&lt;B2,"已过期",1120070131)</f>
        <v>1120070131</v>
      </c>
      <c r="C13" s="3202">
        <v>43814</v>
      </c>
      <c r="D13" s="3201" t="s">
        <v>1978</v>
      </c>
      <c r="E13" s="1893">
        <v>2014110011</v>
      </c>
      <c r="F13" s="1902">
        <v>49302</v>
      </c>
    </row>
    <row r="14" spans="1:6" ht="24" customHeight="1">
      <c r="A14" s="3201" t="s">
        <v>1979</v>
      </c>
      <c r="B14" s="1893">
        <f ca="1">IF(C14&lt;B2,"已过期",1120130020)</f>
        <v>1120130020</v>
      </c>
      <c r="C14" s="3202">
        <v>43622</v>
      </c>
      <c r="D14" s="3201"/>
      <c r="E14" s="1893"/>
      <c r="F14" s="1893"/>
    </row>
    <row r="15" spans="1:6" ht="24" customHeight="1">
      <c r="A15" s="3203" t="s">
        <v>2700</v>
      </c>
      <c r="B15" s="1893">
        <v>1120070085</v>
      </c>
      <c r="C15" s="3202">
        <v>43814</v>
      </c>
      <c r="D15" s="3203" t="s">
        <v>2700</v>
      </c>
      <c r="E15" s="1893">
        <v>2004110128</v>
      </c>
      <c r="F15" s="1894">
        <v>47118</v>
      </c>
    </row>
    <row r="16" spans="1:6" ht="24" customHeight="1">
      <c r="A16" s="3201" t="s">
        <v>1980</v>
      </c>
      <c r="B16" s="1893">
        <f ca="1">IF(C16&lt;B2,"已过期",1120140022)</f>
        <v>1120140022</v>
      </c>
      <c r="C16" s="3202">
        <v>42987</v>
      </c>
      <c r="D16" s="3201" t="s">
        <v>1980</v>
      </c>
      <c r="E16" s="1893">
        <f ca="1">IF(F16&lt;B2,"已过期",2008110059)</f>
        <v>2008110059</v>
      </c>
      <c r="F16" s="1902">
        <v>47177</v>
      </c>
    </row>
    <row r="17" spans="1:7" ht="24" customHeight="1">
      <c r="A17" s="3201" t="s">
        <v>1981</v>
      </c>
      <c r="B17" s="1893">
        <f ca="1">IF(C17&lt;B2,"已过期",1120140020)</f>
        <v>1120140020</v>
      </c>
      <c r="C17" s="3202">
        <v>42987</v>
      </c>
      <c r="D17" s="3201"/>
      <c r="E17" s="1893"/>
      <c r="F17" s="1902"/>
    </row>
    <row r="18" spans="1:7" ht="24" customHeight="1">
      <c r="A18" s="3201" t="s">
        <v>1982</v>
      </c>
      <c r="B18" s="1893">
        <f ca="1">IF(C18&lt;B2,"已过期",1120140024)</f>
        <v>1120140024</v>
      </c>
      <c r="C18" s="3202">
        <v>42987</v>
      </c>
      <c r="D18" s="3201" t="s">
        <v>1982</v>
      </c>
      <c r="E18" s="1893">
        <f ca="1">IF(F18&lt;B2,"已过期",2011110048)</f>
        <v>2011110048</v>
      </c>
      <c r="F18" s="1902">
        <v>48302</v>
      </c>
    </row>
    <row r="19" spans="1:7" ht="24" customHeight="1">
      <c r="A19" s="3201" t="s">
        <v>1983</v>
      </c>
      <c r="B19" s="1893">
        <f ca="1">IF(C19&lt;B2,"已过期",1120140019)</f>
        <v>1120140019</v>
      </c>
      <c r="C19" s="3202">
        <v>42987</v>
      </c>
      <c r="D19" s="3201"/>
      <c r="E19" s="1893"/>
      <c r="F19" s="1893"/>
    </row>
    <row r="20" spans="1:7" ht="24" customHeight="1">
      <c r="A20" s="3201" t="s">
        <v>1984</v>
      </c>
      <c r="B20" s="1893">
        <f ca="1">IF(C20&lt;B2,"已过期",1120140023)</f>
        <v>1120140023</v>
      </c>
      <c r="C20" s="3202">
        <v>42987</v>
      </c>
      <c r="D20" s="3201"/>
      <c r="E20" s="1893"/>
      <c r="F20" s="1893"/>
    </row>
    <row r="21" spans="1:7" ht="24" customHeight="1">
      <c r="A21" s="3201"/>
      <c r="B21" s="1893"/>
      <c r="C21" s="3202"/>
      <c r="D21" s="3201" t="s">
        <v>1985</v>
      </c>
      <c r="E21" s="1893">
        <f ca="1">IF(F21&lt;B2,"已过期",2011110090)</f>
        <v>2011110090</v>
      </c>
      <c r="F21" s="1902">
        <v>48302</v>
      </c>
    </row>
    <row r="22" spans="1:7" ht="24" customHeight="1">
      <c r="A22" s="3201" t="s">
        <v>1986</v>
      </c>
      <c r="B22" s="1893">
        <f ca="1">IF(C22&lt;B2,"已过期",1120020033)</f>
        <v>1120020033</v>
      </c>
      <c r="C22" s="3202">
        <v>43304</v>
      </c>
      <c r="D22" s="3201" t="s">
        <v>1986</v>
      </c>
      <c r="E22" s="1893">
        <f ca="1">IF(F22&lt;B2,"已过期",2000110137)</f>
        <v>2000110137</v>
      </c>
      <c r="F22" s="1902">
        <v>46387</v>
      </c>
    </row>
    <row r="23" spans="1:7" ht="24" customHeight="1">
      <c r="A23" s="3201" t="s">
        <v>1987</v>
      </c>
      <c r="B23" s="1893">
        <f ca="1">IF(C23&lt;B2,"已过期",1120130048)</f>
        <v>1120130048</v>
      </c>
      <c r="C23" s="3202">
        <v>43686</v>
      </c>
      <c r="D23" s="3201"/>
      <c r="E23" s="1893"/>
      <c r="F23" s="1893"/>
    </row>
    <row r="24" spans="1:7" s="1895" customFormat="1" ht="24" customHeight="1">
      <c r="A24" s="3203" t="s">
        <v>2934</v>
      </c>
      <c r="B24" s="3203" t="s">
        <v>2934</v>
      </c>
      <c r="C24" s="3203" t="s">
        <v>2934</v>
      </c>
      <c r="D24" s="3203" t="s">
        <v>2934</v>
      </c>
      <c r="E24" s="3203" t="s">
        <v>2934</v>
      </c>
      <c r="F24" s="3203" t="s">
        <v>2934</v>
      </c>
    </row>
    <row r="25" spans="1:7" ht="24" customHeight="1">
      <c r="A25" s="3463" t="s">
        <v>1988</v>
      </c>
      <c r="B25" s="3463"/>
      <c r="C25" s="3463"/>
      <c r="D25" s="3463"/>
      <c r="E25" s="3463"/>
      <c r="F25" s="3463"/>
      <c r="G25" s="3463"/>
    </row>
    <row r="26" spans="1:7" s="1897" customFormat="1" ht="24" customHeight="1">
      <c r="A26" s="3464" t="s">
        <v>1989</v>
      </c>
      <c r="B26" s="3464"/>
      <c r="C26" s="3464"/>
      <c r="D26" s="1896"/>
      <c r="E26" s="3464" t="s">
        <v>1990</v>
      </c>
      <c r="F26" s="3464"/>
      <c r="G26" s="3464"/>
    </row>
    <row r="27" spans="1:7" s="1899" customFormat="1" ht="24" customHeight="1">
      <c r="A27" s="1898" t="s">
        <v>1991</v>
      </c>
      <c r="B27" s="1891" t="s">
        <v>1992</v>
      </c>
      <c r="C27" s="1891" t="s">
        <v>1993</v>
      </c>
      <c r="D27" s="1891"/>
      <c r="E27" s="1893" t="s">
        <v>1991</v>
      </c>
      <c r="F27" s="1891" t="s">
        <v>1992</v>
      </c>
      <c r="G27" s="1891" t="s">
        <v>1993</v>
      </c>
    </row>
    <row r="28" spans="1:7" s="1899" customFormat="1" ht="24" customHeight="1">
      <c r="A28" s="1900" t="s">
        <v>1994</v>
      </c>
      <c r="B28" s="1901" t="s">
        <v>1995</v>
      </c>
      <c r="C28" s="1902">
        <v>43725</v>
      </c>
      <c r="D28" s="1902"/>
      <c r="E28" s="1900" t="s">
        <v>1996</v>
      </c>
      <c r="F28" s="1900" t="s">
        <v>1997</v>
      </c>
      <c r="G28" s="2109">
        <v>44377</v>
      </c>
    </row>
    <row r="29" spans="1:7" s="1899" customFormat="1" ht="24" customHeight="1">
      <c r="A29" s="1900"/>
      <c r="B29" s="1900"/>
      <c r="C29" s="1903"/>
      <c r="D29" s="1903"/>
      <c r="E29" s="1900" t="s">
        <v>1998</v>
      </c>
      <c r="F29" s="2435" t="s">
        <v>3047</v>
      </c>
      <c r="G29" s="2436">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210" priority="55">
      <formula>AND($C28-TODAY()&lt;30,TODAY()&lt;$C28)</formula>
    </cfRule>
  </conditionalFormatting>
  <conditionalFormatting sqref="C28:D28 F4">
    <cfRule type="cellIs" dxfId="209" priority="57" stopIfTrue="1" operator="lessThan">
      <formula>$B$2</formula>
    </cfRule>
  </conditionalFormatting>
  <conditionalFormatting sqref="C5">
    <cfRule type="expression" dxfId="208" priority="52">
      <formula>AND($C5-TODAY()&lt;30,TODAY()&lt;$C5)</formula>
    </cfRule>
  </conditionalFormatting>
  <conditionalFormatting sqref="C5 F5">
    <cfRule type="cellIs" dxfId="207" priority="53" stopIfTrue="1" operator="lessThan">
      <formula>$B$2</formula>
    </cfRule>
  </conditionalFormatting>
  <conditionalFormatting sqref="F6 F8 F10">
    <cfRule type="cellIs" dxfId="206" priority="51" stopIfTrue="1" operator="lessThan">
      <formula>$B$2</formula>
    </cfRule>
  </conditionalFormatting>
  <conditionalFormatting sqref="C4:C23">
    <cfRule type="expression" dxfId="205" priority="49">
      <formula>AND($C4-TODAY()&lt;30,TODAY()&lt;$C4)</formula>
    </cfRule>
  </conditionalFormatting>
  <conditionalFormatting sqref="F7 F9 F11 C4:C23">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4">
    <cfRule type="expression" dxfId="201" priority="43">
      <formula>AND($C14-TODAY()&lt;30,TODAY()&lt;$C14)</formula>
    </cfRule>
  </conditionalFormatting>
  <conditionalFormatting sqref="C14">
    <cfRule type="cellIs" dxfId="200" priority="44" stopIfTrue="1" operator="lessThan">
      <formula>$B$2</formula>
    </cfRule>
  </conditionalFormatting>
  <conditionalFormatting sqref="C16">
    <cfRule type="expression" dxfId="199" priority="41">
      <formula>AND($C16-TODAY()&lt;30,TODAY()&lt;$C16)</formula>
    </cfRule>
  </conditionalFormatting>
  <conditionalFormatting sqref="C16">
    <cfRule type="cellIs" dxfId="198" priority="42" stopIfTrue="1" operator="lessThan">
      <formula>$B$2</formula>
    </cfRule>
  </conditionalFormatting>
  <conditionalFormatting sqref="C18">
    <cfRule type="expression" dxfId="197" priority="39">
      <formula>AND($C18-TODAY()&lt;30,TODAY()&lt;$C18)</formula>
    </cfRule>
  </conditionalFormatting>
  <conditionalFormatting sqref="C18">
    <cfRule type="cellIs" dxfId="196" priority="40" stopIfTrue="1" operator="lessThan">
      <formula>$B$2</formula>
    </cfRule>
  </conditionalFormatting>
  <conditionalFormatting sqref="C20">
    <cfRule type="expression" dxfId="195" priority="37">
      <formula>AND($C20-TODAY()&lt;30,TODAY()&lt;$C20)</formula>
    </cfRule>
  </conditionalFormatting>
  <conditionalFormatting sqref="C20">
    <cfRule type="cellIs" dxfId="194" priority="38" stopIfTrue="1" operator="lessThan">
      <formula>$B$2</formula>
    </cfRule>
  </conditionalFormatting>
  <conditionalFormatting sqref="C22">
    <cfRule type="expression" dxfId="193" priority="35">
      <formula>AND($C22-TODAY()&lt;30,TODAY()&lt;$C22)</formula>
    </cfRule>
  </conditionalFormatting>
  <conditionalFormatting sqref="C22">
    <cfRule type="cellIs" dxfId="192" priority="36" stopIfTrue="1" operator="lessThan">
      <formula>$B$2</formula>
    </cfRule>
  </conditionalFormatting>
  <conditionalFormatting sqref="C15">
    <cfRule type="expression" dxfId="191" priority="33">
      <formula>AND($C15-TODAY()&lt;30,TODAY()&lt;$C15)</formula>
    </cfRule>
  </conditionalFormatting>
  <conditionalFormatting sqref="C15">
    <cfRule type="cellIs" dxfId="190" priority="34" stopIfTrue="1" operator="lessThan">
      <formula>$B$2</formula>
    </cfRule>
  </conditionalFormatting>
  <conditionalFormatting sqref="C17">
    <cfRule type="expression" dxfId="189" priority="31">
      <formula>AND($C17-TODAY()&lt;30,TODAY()&lt;$C17)</formula>
    </cfRule>
  </conditionalFormatting>
  <conditionalFormatting sqref="C17">
    <cfRule type="cellIs" dxfId="188" priority="32" stopIfTrue="1" operator="lessThan">
      <formula>$B$2</formula>
    </cfRule>
  </conditionalFormatting>
  <conditionalFormatting sqref="C19">
    <cfRule type="expression" dxfId="187" priority="29">
      <formula>AND($C19-TODAY()&lt;30,TODAY()&lt;$C19)</formula>
    </cfRule>
  </conditionalFormatting>
  <conditionalFormatting sqref="C19">
    <cfRule type="cellIs" dxfId="186" priority="30" stopIfTrue="1" operator="lessThan">
      <formula>$B$2</formula>
    </cfRule>
  </conditionalFormatting>
  <conditionalFormatting sqref="C21">
    <cfRule type="expression" dxfId="185" priority="27">
      <formula>AND($C21-TODAY()&lt;30,TODAY()&lt;$C21)</formula>
    </cfRule>
  </conditionalFormatting>
  <conditionalFormatting sqref="C21">
    <cfRule type="cellIs" dxfId="184" priority="28" stopIfTrue="1" operator="lessThan">
      <formula>$B$2</formula>
    </cfRule>
  </conditionalFormatting>
  <conditionalFormatting sqref="C23">
    <cfRule type="expression" dxfId="183" priority="25">
      <formula>AND($C23-TODAY()&lt;30,TODAY()&lt;$C23)</formula>
    </cfRule>
  </conditionalFormatting>
  <conditionalFormatting sqref="C23">
    <cfRule type="cellIs" dxfId="182" priority="26" stopIfTrue="1" operator="lessThan">
      <formula>$B$2</formula>
    </cfRule>
  </conditionalFormatting>
  <conditionalFormatting sqref="F16">
    <cfRule type="cellIs" dxfId="181" priority="23" stopIfTrue="1" operator="lessThan">
      <formula>$B$2</formula>
    </cfRule>
  </conditionalFormatting>
  <conditionalFormatting sqref="F18">
    <cfRule type="cellIs" dxfId="180" priority="22" stopIfTrue="1" operator="lessThan">
      <formula>$B$2</formula>
    </cfRule>
  </conditionalFormatting>
  <conditionalFormatting sqref="F22">
    <cfRule type="cellIs" dxfId="179" priority="21" stopIfTrue="1" operator="lessThan">
      <formula>$B$2</formula>
    </cfRule>
  </conditionalFormatting>
  <conditionalFormatting sqref="F21">
    <cfRule type="cellIs" dxfId="178" priority="20" stopIfTrue="1" operator="lessThan">
      <formula>$B$2</formula>
    </cfRule>
  </conditionalFormatting>
  <conditionalFormatting sqref="F17">
    <cfRule type="cellIs" dxfId="177" priority="19" stopIfTrue="1" operator="lessThan">
      <formula>$B$2</formula>
    </cfRule>
  </conditionalFormatting>
  <conditionalFormatting sqref="B4:B14 E4:E14 B16:B23 E16:E23">
    <cfRule type="cellIs" dxfId="176" priority="18" stopIfTrue="1" operator="equal">
      <formula>"已过期"</formula>
    </cfRule>
  </conditionalFormatting>
  <conditionalFormatting sqref="A24:F24">
    <cfRule type="cellIs" dxfId="175" priority="14" stopIfTrue="1" operator="equal">
      <formula>"已过期"</formula>
    </cfRule>
  </conditionalFormatting>
  <conditionalFormatting sqref="G28">
    <cfRule type="expression" dxfId="174" priority="12">
      <formula>AND($F28-TODAY()&lt;30,TODAY()&lt;$F28)</formula>
    </cfRule>
  </conditionalFormatting>
  <conditionalFormatting sqref="G28">
    <cfRule type="cellIs" dxfId="173" priority="13" stopIfTrue="1" operator="lessThan">
      <formula>$B$2</formula>
    </cfRule>
  </conditionalFormatting>
  <conditionalFormatting sqref="G29">
    <cfRule type="expression" dxfId="172" priority="8" stopIfTrue="1">
      <formula>AND($F29-TODAY()&lt;30,TODAY()&lt;$F29)</formula>
    </cfRule>
  </conditionalFormatting>
  <conditionalFormatting sqref="G29">
    <cfRule type="cellIs" dxfId="171" priority="9" stopIfTrue="1" operator="lessThan">
      <formula>$B$2</formula>
    </cfRule>
  </conditionalFormatting>
  <conditionalFormatting sqref="B15">
    <cfRule type="cellIs" dxfId="170" priority="6" stopIfTrue="1" operator="equal">
      <formula>"已过期"</formula>
    </cfRule>
  </conditionalFormatting>
  <conditionalFormatting sqref="A15">
    <cfRule type="cellIs" dxfId="169" priority="5" stopIfTrue="1" operator="equal">
      <formula>"已过期"</formula>
    </cfRule>
  </conditionalFormatting>
  <conditionalFormatting sqref="C15">
    <cfRule type="expression" dxfId="168" priority="4">
      <formula>AND($C15-TODAY()&lt;30,TODAY()&lt;$C15)</formula>
    </cfRule>
  </conditionalFormatting>
  <conditionalFormatting sqref="E15">
    <cfRule type="cellIs" dxfId="167" priority="3" stopIfTrue="1" operator="equal">
      <formula>"已过期"</formula>
    </cfRule>
  </conditionalFormatting>
  <conditionalFormatting sqref="D15">
    <cfRule type="cellIs" dxfId="166" priority="2" stopIfTrue="1" operator="equal">
      <formula>"已过期"</formula>
    </cfRule>
  </conditionalFormatting>
  <conditionalFormatting sqref="F13">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比较法-洋房</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比较法-别墅</vt:lpstr>
      <vt:lpstr>收益法车</vt:lpstr>
      <vt:lpstr>收益法仓</vt:lpstr>
      <vt:lpstr>地价</vt:lpstr>
      <vt:lpstr>典型户型修正</vt:lpstr>
      <vt:lpstr>成本法（废）</vt:lpstr>
      <vt:lpstr>区片价</vt:lpstr>
      <vt:lpstr>因素修正幅度</vt:lpstr>
      <vt:lpstr>存贷款利率</vt:lpstr>
      <vt:lpstr>区片价（范围）</vt:lpstr>
      <vt:lpstr>土地</vt:lpstr>
      <vt:lpstr>Sheet1</vt:lpstr>
      <vt:lpstr>'收益法 (元)'!Print_Area</vt:lpstr>
      <vt:lpstr>收益法仓!Print_Area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住宅朝向</vt:lpstr>
      <vt:lpstr>'比较法-别墅'!住宅房型</vt:lpstr>
      <vt:lpstr>住宅房型</vt:lpstr>
      <vt:lpstr>'比较法-别墅'!住宅公共部分装修</vt:lpstr>
      <vt:lpstr>住宅公共部分装修</vt:lpstr>
      <vt:lpstr>'比较法-别墅'!住宅基础设施水平</vt:lpstr>
      <vt:lpstr>住宅基础设施水平</vt:lpstr>
      <vt:lpstr>'比较法-别墅'!住宅建筑结构</vt:lpstr>
      <vt:lpstr>住宅建筑结构</vt:lpstr>
      <vt:lpstr>'比较法-别墅'!住宅建筑类型</vt:lpstr>
      <vt:lpstr>住宅建筑类型</vt:lpstr>
      <vt:lpstr>'比较法-别墅'!住宅建筑品质</vt:lpstr>
      <vt:lpstr>住宅建筑品质</vt:lpstr>
      <vt:lpstr>'比较法-别墅'!住宅交易情况</vt:lpstr>
      <vt:lpstr>住宅交易情况</vt:lpstr>
      <vt:lpstr>'比较法-别墅'!住宅楼层</vt:lpstr>
      <vt:lpstr>住宅楼层</vt:lpstr>
      <vt:lpstr>'比较法-别墅'!住宅内部装修</vt:lpstr>
      <vt:lpstr>住宅内部装修</vt:lpstr>
      <vt:lpstr>'比较法-别墅'!住宅物业管理</vt:lpstr>
      <vt:lpstr>住宅物业管理</vt:lpstr>
      <vt:lpstr>'比较法-别墅'!住宅用途</vt:lpstr>
      <vt:lpstr>住宅用途</vt:lpstr>
      <vt:lpstr>'比较法-别墅'!住宅主力户型面积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2017-08-30T06:40:12Z</dcterms:modified>
</cp:coreProperties>
</file>