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 windowWidth="9315" windowHeight="11790" tabRatio="899" firstSheet="8"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土地案例" sheetId="7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3" i="78" l="1"/>
  <c r="N12" i="78"/>
  <c r="M13" i="78"/>
  <c r="M12" i="78"/>
  <c r="K21" i="78"/>
  <c r="K22" i="78"/>
  <c r="K23" i="78"/>
  <c r="K24" i="78"/>
  <c r="K25" i="78"/>
  <c r="K26" i="78"/>
  <c r="K20" i="78"/>
  <c r="K13" i="78"/>
  <c r="K14" i="78"/>
  <c r="K15" i="78"/>
  <c r="K16" i="78"/>
  <c r="K17" i="78"/>
  <c r="K18" i="78"/>
  <c r="K12" i="78"/>
  <c r="K5" i="78"/>
  <c r="K6" i="78"/>
  <c r="K7" i="78"/>
  <c r="K8" i="78"/>
  <c r="K4" i="78"/>
  <c r="I9" i="78"/>
  <c r="K27" i="78"/>
  <c r="F28" i="78"/>
  <c r="J27" i="78"/>
  <c r="H27" i="78"/>
  <c r="G27" i="78"/>
  <c r="F27" i="78"/>
  <c r="I26" i="78"/>
  <c r="I25" i="78"/>
  <c r="I24" i="78"/>
  <c r="I23" i="78"/>
  <c r="I22" i="78"/>
  <c r="I21" i="78"/>
  <c r="I20" i="78"/>
  <c r="I27" i="78" s="1"/>
  <c r="J19" i="78"/>
  <c r="H19" i="78"/>
  <c r="G19" i="78"/>
  <c r="F19" i="78"/>
  <c r="I18" i="78"/>
  <c r="I17" i="78"/>
  <c r="I16" i="78"/>
  <c r="I15" i="78"/>
  <c r="I14" i="78"/>
  <c r="I13" i="78"/>
  <c r="I12" i="78"/>
  <c r="I19" i="78" s="1"/>
  <c r="J11" i="78"/>
  <c r="J28" i="78" s="1"/>
  <c r="H11" i="78"/>
  <c r="G11" i="78"/>
  <c r="G28" i="78" s="1"/>
  <c r="F11" i="78"/>
  <c r="I10" i="78"/>
  <c r="I11" i="78" s="1"/>
  <c r="I28" i="78" l="1"/>
  <c r="K28" i="78" l="1"/>
  <c r="P41" i="1" l="1"/>
  <c r="Q40" i="1"/>
  <c r="Q24" i="1"/>
  <c r="Q25" i="1"/>
  <c r="Q26" i="1"/>
  <c r="Q27" i="1"/>
  <c r="Q28" i="1"/>
  <c r="Q29" i="1"/>
  <c r="Q30" i="1"/>
  <c r="Q31" i="1"/>
  <c r="Q41" i="1" s="1"/>
  <c r="R41" i="1" s="1"/>
  <c r="S41" i="1" s="1"/>
  <c r="Q32" i="1"/>
  <c r="Q33" i="1"/>
  <c r="Q34" i="1"/>
  <c r="Q35" i="1"/>
  <c r="Q36" i="1"/>
  <c r="Q37" i="1"/>
  <c r="Q38" i="1"/>
  <c r="Q39" i="1"/>
  <c r="Q23" i="1"/>
  <c r="O24" i="1"/>
  <c r="O25" i="1"/>
  <c r="O26" i="1"/>
  <c r="O27" i="1"/>
  <c r="O28" i="1"/>
  <c r="O29" i="1"/>
  <c r="O30" i="1"/>
  <c r="O23" i="1"/>
  <c r="K26" i="1" l="1"/>
  <c r="K25" i="1"/>
  <c r="E46" i="39"/>
  <c r="E38" i="39"/>
  <c r="F19" i="6" l="1"/>
  <c r="I21" i="3"/>
  <c r="G46" i="39" l="1"/>
  <c r="G38" i="39"/>
  <c r="C38" i="39"/>
  <c r="D3" i="4" l="1"/>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B65" i="72" s="1"/>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59" i="72"/>
  <c r="B66" i="72"/>
  <c r="B12" i="72"/>
  <c r="B10" i="72"/>
  <c r="C53" i="10"/>
  <c r="B51" i="10"/>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s="1"/>
  <c r="Q12" i="39"/>
  <c r="Z12" i="39"/>
  <c r="Q11" i="39"/>
  <c r="Z11" i="39"/>
  <c r="Q10" i="39"/>
  <c r="Z10" i="39"/>
  <c r="Q9" i="39"/>
  <c r="Z9" i="39"/>
  <c r="J9" i="39"/>
  <c r="AC9" i="39" s="1"/>
  <c r="H9" i="39"/>
  <c r="AB9" i="39" s="1"/>
  <c r="F9" i="39"/>
  <c r="AA9" i="39" s="1"/>
  <c r="J8" i="39"/>
  <c r="AC8" i="39" s="1"/>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s="1"/>
  <c r="J19" i="39"/>
  <c r="AC19" i="39" s="1"/>
  <c r="J17" i="39"/>
  <c r="AC17" i="39" s="1"/>
  <c r="J27" i="39"/>
  <c r="AC27" i="39" s="1"/>
  <c r="F27" i="39"/>
  <c r="S27"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H41" i="39"/>
  <c r="AB34" i="39"/>
  <c r="U40" i="39"/>
  <c r="S42" i="39"/>
  <c r="W14" i="39"/>
  <c r="AA41" i="39"/>
  <c r="W9" i="39"/>
  <c r="W8" i="39"/>
  <c r="J19" i="40"/>
  <c r="AC19" i="40"/>
  <c r="J50" i="40"/>
  <c r="H103" i="9"/>
  <c r="D8" i="53"/>
  <c r="B16" i="53"/>
  <c r="B33" i="72" s="1"/>
  <c r="C7" i="37"/>
  <c r="C7" i="34"/>
  <c r="C7" i="36"/>
  <c r="W35" i="40"/>
  <c r="A118" i="9"/>
  <c r="A4" i="52"/>
  <c r="B41" i="72"/>
  <c r="J11" i="39"/>
  <c r="W11" i="39" s="1"/>
  <c r="F11" i="39"/>
  <c r="AA11" i="39" s="1"/>
  <c r="A12" i="52"/>
  <c r="B56" i="72" s="1"/>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AC21" i="39" s="1"/>
  <c r="F21" i="39"/>
  <c r="AA21" i="39" s="1"/>
  <c r="H21" i="39"/>
  <c r="U21" i="39" s="1"/>
  <c r="U19" i="39"/>
  <c r="AC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BL17" i="3"/>
  <c r="AZ17" i="3" s="1"/>
  <c r="BL13" i="3"/>
  <c r="J56" i="9"/>
  <c r="J57" i="9"/>
  <c r="A24" i="51"/>
  <c r="B18" i="72"/>
  <c r="U29" i="34"/>
  <c r="E14" i="6"/>
  <c r="E64" i="39" s="1"/>
  <c r="E5" i="6"/>
  <c r="D9" i="11" s="1"/>
  <c r="C9" i="11" s="1"/>
  <c r="P10" i="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c r="C46" i="36"/>
  <c r="D46" i="36" s="1"/>
  <c r="C59" i="34"/>
  <c r="D59" i="34" s="1"/>
  <c r="E59" i="34" s="1"/>
  <c r="F59" i="34" s="1"/>
  <c r="G59" i="34" s="1"/>
  <c r="H59" i="34" s="1"/>
  <c r="I59" i="34" s="1"/>
  <c r="C52" i="37"/>
  <c r="D52" i="37" s="1"/>
  <c r="E52" i="37" s="1"/>
  <c r="F52" i="37" s="1"/>
  <c r="G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A13" i="39"/>
  <c r="S13" i="39"/>
  <c r="S14" i="39"/>
  <c r="AA14" i="39"/>
  <c r="U43" i="39"/>
  <c r="AB43" i="39"/>
  <c r="AB11" i="39"/>
  <c r="U11" i="39"/>
  <c r="AA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T11" i="1"/>
  <c r="AQ9" i="1"/>
  <c r="AR11" i="1"/>
  <c r="E59" i="40"/>
  <c r="T13" i="1"/>
  <c r="C77" i="9"/>
  <c r="C74" i="9" s="1"/>
  <c r="S7" i="1"/>
  <c r="T7" i="1" s="1"/>
  <c r="E7" i="70"/>
  <c r="C24" i="12"/>
  <c r="AA39" i="40"/>
  <c r="S39" i="40"/>
  <c r="S12" i="33"/>
  <c r="AA12" i="33"/>
  <c r="C16" i="43"/>
  <c r="J32" i="39"/>
  <c r="H107" i="39"/>
  <c r="I107" i="39"/>
  <c r="J107" i="39"/>
  <c r="K107" i="39"/>
  <c r="L107" i="39"/>
  <c r="M107" i="39"/>
  <c r="H32" i="39"/>
  <c r="AA32" i="39"/>
  <c r="S32"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59" i="9"/>
  <c r="J61" i="9"/>
  <c r="R22" i="31"/>
  <c r="B21" i="31"/>
  <c r="O19" i="43"/>
  <c r="C5" i="43"/>
  <c r="B5" i="62"/>
  <c r="B73" i="72"/>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F1" i="67"/>
  <c r="Q52" i="67"/>
  <c r="AC11" i="37"/>
  <c r="W11" i="37"/>
  <c r="W11" i="34"/>
  <c r="AC11" i="34"/>
  <c r="R7" i="1"/>
  <c r="R8" i="1"/>
  <c r="AE7" i="1"/>
  <c r="AE8" i="1"/>
  <c r="AE6" i="1"/>
  <c r="AG6" i="1"/>
  <c r="H109" i="9"/>
  <c r="D124" i="9" s="1"/>
  <c r="H110" i="9"/>
  <c r="D18" i="53" s="1"/>
  <c r="B35" i="72" s="1"/>
  <c r="D16" i="53"/>
  <c r="B34" i="72" s="1"/>
  <c r="J7" i="33"/>
  <c r="W7" i="33" s="1"/>
  <c r="F7" i="33"/>
  <c r="S7" i="33" s="1"/>
  <c r="H7" i="33"/>
  <c r="AB7" i="33" s="1"/>
  <c r="T48" i="33" s="1"/>
  <c r="G48" i="33" s="1"/>
  <c r="AC7" i="33"/>
  <c r="V48" i="33"/>
  <c r="I48" i="33" s="1"/>
  <c r="H112" i="9"/>
  <c r="D21" i="53" s="1"/>
  <c r="B39" i="72" s="1"/>
  <c r="H111" i="9"/>
  <c r="D126" i="9"/>
  <c r="I14" i="74" s="1"/>
  <c r="B8" i="74" s="1"/>
  <c r="D19" i="53"/>
  <c r="D59" i="9"/>
  <c r="M55" i="9"/>
  <c r="B38" i="72"/>
  <c r="D20" i="53"/>
  <c r="B40" i="72"/>
  <c r="AD3" i="71"/>
  <c r="B4" i="62"/>
  <c r="B71" i="72"/>
  <c r="C13" i="12"/>
  <c r="E10" i="76"/>
  <c r="M26" i="15"/>
  <c r="F11" i="12"/>
  <c r="D2" i="33"/>
  <c r="M9" i="67"/>
  <c r="M24" i="67"/>
  <c r="F26" i="67"/>
  <c r="F16" i="15"/>
  <c r="AO11" i="1"/>
  <c r="F6" i="67"/>
  <c r="F43" i="15"/>
  <c r="J15" i="67"/>
  <c r="M8" i="15"/>
  <c r="D4" i="73"/>
  <c r="F5" i="73"/>
  <c r="E7" i="76"/>
  <c r="M27" i="67"/>
  <c r="L47" i="15"/>
  <c r="F6" i="15"/>
  <c r="F7" i="15"/>
  <c r="F13" i="67"/>
  <c r="D3" i="73"/>
  <c r="D6" i="73"/>
  <c r="M21" i="15"/>
  <c r="M8" i="67"/>
  <c r="F37" i="15"/>
  <c r="E9" i="76"/>
  <c r="L48" i="67"/>
  <c r="F43" i="67"/>
  <c r="B11" i="76"/>
  <c r="F7" i="67"/>
  <c r="D7" i="73"/>
  <c r="B9" i="76"/>
  <c r="E13" i="76"/>
  <c r="M6" i="67"/>
  <c r="M9" i="15"/>
  <c r="F35" i="67"/>
  <c r="M29" i="67"/>
  <c r="F42" i="67"/>
  <c r="F40" i="67"/>
  <c r="B8" i="76"/>
  <c r="M23" i="15"/>
  <c r="D34" i="9"/>
  <c r="D2" i="36"/>
  <c r="F36" i="67"/>
  <c r="F9" i="15"/>
  <c r="M28" i="15"/>
  <c r="AO8" i="1"/>
  <c r="B12" i="76"/>
  <c r="F9" i="67"/>
  <c r="D2" i="37"/>
  <c r="F26" i="15"/>
  <c r="AO12" i="1"/>
  <c r="B7" i="76"/>
  <c r="F41" i="67"/>
  <c r="F20" i="31"/>
  <c r="M23" i="67"/>
  <c r="F35" i="15"/>
  <c r="L47" i="67"/>
  <c r="F42" i="15"/>
  <c r="AO9" i="1"/>
  <c r="B13" i="76"/>
  <c r="M28" i="67"/>
  <c r="M21" i="67"/>
  <c r="F16" i="67"/>
  <c r="C76" i="67"/>
  <c r="F7" i="73"/>
  <c r="E12" i="76"/>
  <c r="E2" i="69"/>
  <c r="M29" i="15"/>
  <c r="J15" i="15"/>
  <c r="M26" i="67"/>
  <c r="AO13" i="1"/>
  <c r="M6" i="15"/>
  <c r="F37" i="67"/>
  <c r="D5" i="73"/>
  <c r="F38" i="67"/>
  <c r="E2" i="68"/>
  <c r="F13" i="15"/>
  <c r="L48" i="15"/>
  <c r="F36" i="15"/>
  <c r="D2" i="34"/>
  <c r="D2" i="35"/>
  <c r="D2" i="21"/>
  <c r="AO7" i="1"/>
  <c r="F40" i="15"/>
  <c r="E8" i="76"/>
  <c r="F8" i="67"/>
  <c r="M22" i="15"/>
  <c r="E11" i="76"/>
  <c r="AO10" i="1"/>
  <c r="M22" i="67"/>
  <c r="F3" i="73"/>
  <c r="M27" i="15"/>
  <c r="F6" i="73"/>
  <c r="F41" i="15"/>
  <c r="F8" i="15"/>
  <c r="F38" i="15"/>
  <c r="C76" i="15"/>
  <c r="D35" i="9"/>
  <c r="M24" i="15"/>
  <c r="B10" i="76"/>
  <c r="AO6" i="1"/>
  <c r="F4" i="73"/>
  <c r="G30" i="6" l="1"/>
  <c r="G31" i="6" s="1"/>
  <c r="E28" i="6"/>
  <c r="K14" i="1" s="1"/>
  <c r="M14" i="1" s="1"/>
  <c r="O14" i="1" s="1"/>
  <c r="T9" i="1"/>
  <c r="D9" i="69"/>
  <c r="C9" i="69" s="1"/>
  <c r="BL31" i="3"/>
  <c r="AZ31" i="3" s="1"/>
  <c r="G21" i="3"/>
  <c r="G20" i="3"/>
  <c r="G29" i="3"/>
  <c r="G30" i="3"/>
  <c r="G23" i="3"/>
  <c r="G24" i="3"/>
  <c r="G25" i="3"/>
  <c r="G26" i="3"/>
  <c r="G27" i="3"/>
  <c r="G28" i="3"/>
  <c r="G22" i="3"/>
  <c r="BL19" i="3"/>
  <c r="G19" i="3"/>
  <c r="G18" i="3"/>
  <c r="F29" i="6"/>
  <c r="E29" i="6" s="1"/>
  <c r="L19" i="6" s="1"/>
  <c r="L27" i="6" s="1"/>
  <c r="AC25" i="39"/>
  <c r="W21" i="39"/>
  <c r="AZ19" i="3"/>
  <c r="E2" i="70"/>
  <c r="AC13" i="39"/>
  <c r="AB13" i="39"/>
  <c r="W29" i="39"/>
  <c r="U29" i="39"/>
  <c r="U25" i="39"/>
  <c r="S23" i="39"/>
  <c r="S29" i="39"/>
  <c r="W27" i="39"/>
  <c r="W23" i="39"/>
  <c r="AB21" i="39"/>
  <c r="W19" i="39"/>
  <c r="S19" i="39"/>
  <c r="W17" i="39"/>
  <c r="S17" i="39"/>
  <c r="S15" i="39"/>
  <c r="AC11" i="39"/>
  <c r="S11" i="39"/>
  <c r="C94" i="9"/>
  <c r="C92" i="9"/>
  <c r="F32" i="15"/>
  <c r="F60" i="15" s="1"/>
  <c r="F31" i="12"/>
  <c r="C31" i="12" s="1"/>
  <c r="F32" i="67"/>
  <c r="F60" i="67" s="1"/>
  <c r="F30" i="11"/>
  <c r="C48" i="11" s="1"/>
  <c r="D68" i="9"/>
  <c r="M18" i="15"/>
  <c r="F30" i="69"/>
  <c r="C48" i="69" s="1"/>
  <c r="F28" i="67"/>
  <c r="C28" i="67" s="1"/>
  <c r="F30" i="68"/>
  <c r="C30" i="68" s="1"/>
  <c r="D23" i="67"/>
  <c r="F54" i="9"/>
  <c r="C30" i="69"/>
  <c r="F28" i="15"/>
  <c r="C28" i="15" s="1"/>
  <c r="M18" i="67"/>
  <c r="F52" i="9"/>
  <c r="C40" i="68"/>
  <c r="C40" i="69"/>
  <c r="E12" i="6"/>
  <c r="C36" i="69"/>
  <c r="F30" i="6"/>
  <c r="F31" i="6" s="1"/>
  <c r="F27" i="6"/>
  <c r="E51" i="40"/>
  <c r="E56" i="39"/>
  <c r="AR7" i="1"/>
  <c r="C34" i="69"/>
  <c r="C38" i="69" s="1"/>
  <c r="AQ7" i="1"/>
  <c r="E13" i="6"/>
  <c r="E15" i="6"/>
  <c r="AZ18" i="3"/>
  <c r="BA5" i="3"/>
  <c r="E27" i="6" s="1"/>
  <c r="K24" i="6" s="1"/>
  <c r="M24" i="6" s="1"/>
  <c r="I24" i="6" s="1"/>
  <c r="S24" i="6" s="1"/>
  <c r="BL15" i="3"/>
  <c r="AZ15" i="3" s="1"/>
  <c r="P14" i="1"/>
  <c r="AR8" i="1"/>
  <c r="T8" i="1"/>
  <c r="E61" i="39"/>
  <c r="E56" i="40"/>
  <c r="O12" i="1"/>
  <c r="P12" i="1" s="1"/>
  <c r="M7" i="1"/>
  <c r="Q16" i="1"/>
  <c r="H16" i="1"/>
  <c r="P11" i="1"/>
  <c r="O9" i="1"/>
  <c r="P9" i="1" s="1"/>
  <c r="O8" i="1"/>
  <c r="P8"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10" i="52"/>
  <c r="D125" i="9"/>
  <c r="D11" i="52" s="1"/>
  <c r="H14" i="74"/>
  <c r="B7" i="74" s="1"/>
  <c r="D12" i="52"/>
  <c r="D127" i="9"/>
  <c r="D13" i="52" s="1"/>
  <c r="D17" i="53"/>
  <c r="B36" i="72" s="1"/>
  <c r="C65" i="40"/>
  <c r="D63" i="40"/>
  <c r="U7" i="33"/>
  <c r="AA7" i="33"/>
  <c r="R48" i="33" s="1"/>
  <c r="R49" i="33" s="1"/>
  <c r="G16" i="1"/>
  <c r="J10" i="39" s="1"/>
  <c r="E48" i="33"/>
  <c r="I53" i="33" s="1"/>
  <c r="J53" i="33" s="1"/>
  <c r="I52" i="33"/>
  <c r="J52" i="33" s="1"/>
  <c r="G52" i="33"/>
  <c r="H52" i="33" s="1"/>
  <c r="G53" i="33"/>
  <c r="H53" i="33" s="1"/>
  <c r="J59" i="34"/>
  <c r="K59" i="34" s="1"/>
  <c r="L59" i="34" s="1"/>
  <c r="M59" i="34" s="1"/>
  <c r="N59" i="34" s="1"/>
  <c r="O59" i="34" s="1"/>
  <c r="J7" i="34"/>
  <c r="G48" i="35"/>
  <c r="H48" i="35" s="1"/>
  <c r="I48" i="35" s="1"/>
  <c r="J48" i="35" s="1"/>
  <c r="K48" i="35" s="1"/>
  <c r="L48" i="35" s="1"/>
  <c r="M48" i="35" s="1"/>
  <c r="N48" i="35" s="1"/>
  <c r="O48"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H52" i="37"/>
  <c r="I52" i="37" s="1"/>
  <c r="J52" i="37" s="1"/>
  <c r="K52" i="37" s="1"/>
  <c r="L52" i="37" s="1"/>
  <c r="M52" i="37" s="1"/>
  <c r="N52" i="37" s="1"/>
  <c r="O52" i="37" s="1"/>
  <c r="H7" i="37"/>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67"/>
  <c r="F59" i="67"/>
  <c r="F31" i="15"/>
  <c r="F31" i="67"/>
  <c r="M17" i="15"/>
  <c r="F59" i="15"/>
  <c r="D9" i="68"/>
  <c r="C16" i="67"/>
  <c r="C14" i="15"/>
  <c r="C16" i="15"/>
  <c r="D19" i="12"/>
  <c r="C17" i="67"/>
  <c r="C17" i="15"/>
  <c r="C14" i="67"/>
  <c r="G1" i="73"/>
  <c r="G5" i="3" l="1"/>
  <c r="B3" i="3" s="1"/>
  <c r="E488" i="3" s="1"/>
  <c r="C9" i="68"/>
  <c r="E18" i="3"/>
  <c r="E238" i="3"/>
  <c r="E50" i="3"/>
  <c r="E326" i="3"/>
  <c r="E131" i="3"/>
  <c r="E48" i="3"/>
  <c r="E373" i="3"/>
  <c r="E16" i="6"/>
  <c r="C19" i="12"/>
  <c r="C30" i="11"/>
  <c r="C48" i="68"/>
  <c r="D22" i="43"/>
  <c r="C35" i="69"/>
  <c r="E57" i="40"/>
  <c r="E62" i="39"/>
  <c r="K26" i="6"/>
  <c r="M26" i="6" s="1"/>
  <c r="I26" i="6" s="1"/>
  <c r="S26" i="6" s="1"/>
  <c r="K20" i="6"/>
  <c r="M20" i="6" s="1"/>
  <c r="I20" i="6" s="1"/>
  <c r="S20" i="6" s="1"/>
  <c r="K15" i="1"/>
  <c r="K16" i="1" s="1"/>
  <c r="E30" i="6"/>
  <c r="E31" i="6" s="1"/>
  <c r="E58" i="40"/>
  <c r="E63" i="39"/>
  <c r="E60" i="40"/>
  <c r="E65" i="39"/>
  <c r="K19" i="6"/>
  <c r="AZ5" i="3"/>
  <c r="K22" i="6"/>
  <c r="M22" i="6" s="1"/>
  <c r="I22" i="6" s="1"/>
  <c r="S22" i="6" s="1"/>
  <c r="K25" i="6"/>
  <c r="M25" i="6" s="1"/>
  <c r="I25" i="6" s="1"/>
  <c r="S25" i="6" s="1"/>
  <c r="K21" i="6"/>
  <c r="M21" i="6" s="1"/>
  <c r="I21" i="6" s="1"/>
  <c r="S21" i="6" s="1"/>
  <c r="K23" i="6"/>
  <c r="M23" i="6" s="1"/>
  <c r="I23" i="6" s="1"/>
  <c r="S23" i="6" s="1"/>
  <c r="BL5" i="3"/>
  <c r="H10" i="40"/>
  <c r="U10" i="40" s="1"/>
  <c r="J10" i="40"/>
  <c r="W10" i="40" s="1"/>
  <c r="F10" i="40"/>
  <c r="AA10" i="40" s="1"/>
  <c r="C18" i="15"/>
  <c r="C15" i="15"/>
  <c r="O7" i="1"/>
  <c r="O16" i="1" s="1"/>
  <c r="M16" i="1"/>
  <c r="F27" i="69"/>
  <c r="F27" i="1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39"/>
  <c r="AB10" i="39" s="1"/>
  <c r="F10" i="39"/>
  <c r="AA10" i="39" s="1"/>
  <c r="F7" i="37"/>
  <c r="J7" i="37"/>
  <c r="F7" i="21"/>
  <c r="J7" i="21"/>
  <c r="J7" i="36"/>
  <c r="AC7" i="36" s="1"/>
  <c r="V36" i="36" s="1"/>
  <c r="I36" i="36" s="1"/>
  <c r="H7" i="36"/>
  <c r="J7" i="35"/>
  <c r="W7" i="35" s="1"/>
  <c r="H7" i="35"/>
  <c r="H7" i="34"/>
  <c r="AB7" i="34" s="1"/>
  <c r="T49" i="34" s="1"/>
  <c r="G49" i="34" s="1"/>
  <c r="F7" i="34"/>
  <c r="E63" i="40"/>
  <c r="D65" i="40"/>
  <c r="U7" i="37"/>
  <c r="AB7" i="37"/>
  <c r="T42" i="37" s="1"/>
  <c r="G42" i="37" s="1"/>
  <c r="AB7" i="21"/>
  <c r="T48" i="21" s="1"/>
  <c r="G48" i="21" s="1"/>
  <c r="U7" i="21"/>
  <c r="S7" i="36"/>
  <c r="AA7" i="36"/>
  <c r="R36" i="36" s="1"/>
  <c r="AA7" i="35"/>
  <c r="R38" i="35" s="1"/>
  <c r="S7" i="35"/>
  <c r="W7" i="34"/>
  <c r="AC7" i="34"/>
  <c r="V49" i="34" s="1"/>
  <c r="I49" i="34" s="1"/>
  <c r="C49" i="33"/>
  <c r="C48" i="33"/>
  <c r="W10" i="39"/>
  <c r="AC10" i="39"/>
  <c r="E68" i="39"/>
  <c r="D70" i="39"/>
  <c r="S7" i="37"/>
  <c r="AA7" i="37"/>
  <c r="R42" i="37" s="1"/>
  <c r="W7" i="37"/>
  <c r="AC7" i="37"/>
  <c r="V42" i="37" s="1"/>
  <c r="I42" i="37" s="1"/>
  <c r="S7" i="21"/>
  <c r="AA7" i="21"/>
  <c r="R48" i="21" s="1"/>
  <c r="AC7" i="21"/>
  <c r="V48" i="21" s="1"/>
  <c r="I48" i="21" s="1"/>
  <c r="W7" i="21"/>
  <c r="W7" i="36"/>
  <c r="AB7" i="36"/>
  <c r="T36" i="36" s="1"/>
  <c r="G36" i="36" s="1"/>
  <c r="U7" i="36"/>
  <c r="AC7" i="35"/>
  <c r="V38" i="35" s="1"/>
  <c r="I38" i="35" s="1"/>
  <c r="AB7" i="35"/>
  <c r="T38" i="35" s="1"/>
  <c r="G38" i="35" s="1"/>
  <c r="U7" i="35"/>
  <c r="U7" i="34"/>
  <c r="S7" i="34"/>
  <c r="AA7" i="34"/>
  <c r="R49" i="34" s="1"/>
  <c r="E53" i="33"/>
  <c r="F53" i="33" s="1"/>
  <c r="E52" i="33"/>
  <c r="F52" i="33" s="1"/>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28" i="12"/>
  <c r="F27" i="68"/>
  <c r="E19" i="3" l="1"/>
  <c r="E195" i="3"/>
  <c r="E427" i="3"/>
  <c r="E371" i="3"/>
  <c r="E462" i="3"/>
  <c r="E295" i="3"/>
  <c r="E222" i="3"/>
  <c r="E284" i="3"/>
  <c r="E354" i="3"/>
  <c r="E375" i="3"/>
  <c r="E582" i="3"/>
  <c r="E426" i="3"/>
  <c r="E63" i="3"/>
  <c r="E374" i="3"/>
  <c r="E52" i="3"/>
  <c r="E479" i="3"/>
  <c r="E44" i="3"/>
  <c r="E551" i="3"/>
  <c r="AY6" i="3"/>
  <c r="AY297" i="3" s="1"/>
  <c r="E82" i="3"/>
  <c r="E323" i="3"/>
  <c r="E179" i="3"/>
  <c r="Y6" i="3"/>
  <c r="E127" i="3"/>
  <c r="E66" i="3"/>
  <c r="E300" i="3"/>
  <c r="E540" i="3"/>
  <c r="E297" i="3"/>
  <c r="E436" i="3"/>
  <c r="E459" i="3"/>
  <c r="E85" i="3"/>
  <c r="E101" i="3"/>
  <c r="E287" i="3"/>
  <c r="E184" i="3"/>
  <c r="E259" i="3"/>
  <c r="E53" i="3"/>
  <c r="E147" i="3"/>
  <c r="E307" i="3"/>
  <c r="E241" i="3"/>
  <c r="E255" i="3"/>
  <c r="E319" i="3"/>
  <c r="E476" i="3"/>
  <c r="E527" i="3"/>
  <c r="E61" i="3"/>
  <c r="E21" i="3"/>
  <c r="E513" i="3"/>
  <c r="E309" i="3"/>
  <c r="E283" i="3"/>
  <c r="E264" i="3"/>
  <c r="E154" i="3"/>
  <c r="E51" i="3"/>
  <c r="E341" i="3"/>
  <c r="E250" i="3"/>
  <c r="E87" i="3"/>
  <c r="E24" i="3"/>
  <c r="E584" i="3"/>
  <c r="E386" i="3"/>
  <c r="E267" i="3"/>
  <c r="E47" i="3"/>
  <c r="E58" i="3"/>
  <c r="E348" i="3"/>
  <c r="E155" i="3"/>
  <c r="E90" i="3"/>
  <c r="E460" i="3"/>
  <c r="E566" i="3"/>
  <c r="E398" i="3"/>
  <c r="E393" i="3"/>
  <c r="E380" i="3"/>
  <c r="E83" i="3"/>
  <c r="E22" i="3"/>
  <c r="E308" i="3"/>
  <c r="E118" i="3"/>
  <c r="E381" i="3"/>
  <c r="E84" i="3"/>
  <c r="E521" i="3"/>
  <c r="E39" i="3"/>
  <c r="E116" i="3"/>
  <c r="E62" i="3"/>
  <c r="E340" i="3"/>
  <c r="E112" i="3"/>
  <c r="E392" i="3"/>
  <c r="E163" i="3"/>
  <c r="E389" i="3"/>
  <c r="E152" i="3"/>
  <c r="E517" i="3"/>
  <c r="E486" i="3"/>
  <c r="E270" i="3"/>
  <c r="E142" i="3"/>
  <c r="E186" i="3"/>
  <c r="E299" i="3"/>
  <c r="E443" i="3"/>
  <c r="E508" i="3"/>
  <c r="E182" i="3"/>
  <c r="E242" i="3"/>
  <c r="E524" i="3"/>
  <c r="E365" i="3"/>
  <c r="E265" i="3"/>
  <c r="E218" i="3"/>
  <c r="E81" i="3"/>
  <c r="E68" i="3"/>
  <c r="E355" i="3"/>
  <c r="E33" i="3"/>
  <c r="E492" i="3"/>
  <c r="E200" i="3"/>
  <c r="E504" i="3"/>
  <c r="E187" i="3"/>
  <c r="E413" i="3"/>
  <c r="E487" i="3"/>
  <c r="AR6" i="3"/>
  <c r="E176" i="3"/>
  <c r="E20" i="3"/>
  <c r="E364" i="3"/>
  <c r="E289" i="3"/>
  <c r="E123" i="3"/>
  <c r="E36" i="3"/>
  <c r="AQ6" i="3"/>
  <c r="E325" i="3"/>
  <c r="E209" i="3"/>
  <c r="E98" i="3"/>
  <c r="E76" i="3"/>
  <c r="E363" i="3"/>
  <c r="E192" i="3"/>
  <c r="E37" i="3"/>
  <c r="E491" i="3"/>
  <c r="AP6" i="3"/>
  <c r="E430" i="3"/>
  <c r="E493" i="3"/>
  <c r="E216" i="3"/>
  <c r="E545" i="3"/>
  <c r="E275" i="3"/>
  <c r="E64" i="3"/>
  <c r="E331" i="3"/>
  <c r="E27" i="3"/>
  <c r="E505" i="3"/>
  <c r="E480" i="3"/>
  <c r="E404" i="3"/>
  <c r="E525" i="3"/>
  <c r="E313" i="3"/>
  <c r="E164" i="3"/>
  <c r="E561" i="3"/>
  <c r="E91" i="3"/>
  <c r="E497" i="3"/>
  <c r="E409" i="3"/>
  <c r="E233" i="3"/>
  <c r="E144" i="3"/>
  <c r="E67" i="3"/>
  <c r="E23" i="3"/>
  <c r="E310" i="3"/>
  <c r="E249" i="3"/>
  <c r="E65" i="3"/>
  <c r="E110" i="3"/>
  <c r="E378" i="3"/>
  <c r="E240" i="3"/>
  <c r="E57" i="3"/>
  <c r="E520" i="3"/>
  <c r="E500" i="3"/>
  <c r="E416" i="3"/>
  <c r="E564" i="3"/>
  <c r="E135" i="3"/>
  <c r="E352" i="3"/>
  <c r="E158" i="3"/>
  <c r="E113" i="3"/>
  <c r="E80" i="3"/>
  <c r="E102" i="3"/>
  <c r="AF6" i="3"/>
  <c r="E370" i="3"/>
  <c r="E251" i="3"/>
  <c r="E232" i="3"/>
  <c r="E206" i="3"/>
  <c r="E49" i="3"/>
  <c r="E34" i="3"/>
  <c r="E86" i="3"/>
  <c r="E35" i="3"/>
  <c r="E522" i="3"/>
  <c r="E342" i="3"/>
  <c r="E383" i="3"/>
  <c r="E266" i="3"/>
  <c r="E248" i="3"/>
  <c r="E138" i="3"/>
  <c r="E446" i="3"/>
  <c r="E59" i="3"/>
  <c r="E544" i="3"/>
  <c r="E349" i="3"/>
  <c r="E292" i="3"/>
  <c r="E258" i="3"/>
  <c r="E132" i="3"/>
  <c r="E95" i="3"/>
  <c r="E56" i="3"/>
  <c r="E417" i="3"/>
  <c r="E435" i="3"/>
  <c r="E554" i="3"/>
  <c r="I3" i="6"/>
  <c r="E449" i="3"/>
  <c r="E541" i="3"/>
  <c r="E543" i="3"/>
  <c r="E105" i="3"/>
  <c r="E122" i="3"/>
  <c r="E538" i="3"/>
  <c r="E128" i="3"/>
  <c r="E501" i="3"/>
  <c r="E235" i="3"/>
  <c r="E220" i="3"/>
  <c r="E103" i="3"/>
  <c r="E441" i="3"/>
  <c r="E384" i="3"/>
  <c r="E210" i="3"/>
  <c r="E162" i="3"/>
  <c r="E447" i="3"/>
  <c r="AS6" i="3"/>
  <c r="E477" i="3"/>
  <c r="E160" i="3"/>
  <c r="E334" i="3"/>
  <c r="E121" i="3"/>
  <c r="E581" i="3"/>
  <c r="E548" i="3"/>
  <c r="E185" i="3"/>
  <c r="E529" i="3"/>
  <c r="E228" i="3"/>
  <c r="AG6" i="3"/>
  <c r="E290" i="3"/>
  <c r="AJ6" i="3"/>
  <c r="E70" i="3"/>
  <c r="N6" i="3"/>
  <c r="R6" i="3"/>
  <c r="E408" i="3"/>
  <c r="E401" i="3"/>
  <c r="E530" i="3"/>
  <c r="E528" i="3"/>
  <c r="E425" i="3"/>
  <c r="E29" i="3"/>
  <c r="AM6" i="3"/>
  <c r="E317" i="3"/>
  <c r="E291" i="3"/>
  <c r="E272" i="3"/>
  <c r="E126" i="3"/>
  <c r="E92" i="3"/>
  <c r="E71" i="3"/>
  <c r="E546" i="3"/>
  <c r="E403" i="3"/>
  <c r="E547" i="3"/>
  <c r="E367" i="3"/>
  <c r="E432" i="3"/>
  <c r="E234" i="3"/>
  <c r="E467" i="3"/>
  <c r="E30" i="3"/>
  <c r="E316" i="3"/>
  <c r="E166" i="3"/>
  <c r="E88" i="3"/>
  <c r="E444" i="3"/>
  <c r="E558" i="3"/>
  <c r="E414" i="3"/>
  <c r="E456" i="3"/>
  <c r="E223" i="3"/>
  <c r="E438" i="3"/>
  <c r="E474" i="3"/>
  <c r="E532" i="3"/>
  <c r="E224" i="3"/>
  <c r="E523" i="3"/>
  <c r="E448" i="3"/>
  <c r="E576" i="3"/>
  <c r="E252" i="3"/>
  <c r="E294" i="3"/>
  <c r="E246" i="3"/>
  <c r="E217" i="3"/>
  <c r="E485" i="3"/>
  <c r="E46" i="3"/>
  <c r="E231" i="3"/>
  <c r="E570" i="3"/>
  <c r="E199" i="3"/>
  <c r="E305" i="3"/>
  <c r="Q6" i="3"/>
  <c r="E360" i="3"/>
  <c r="E494" i="3"/>
  <c r="E108" i="3"/>
  <c r="AD6" i="3"/>
  <c r="E208" i="3"/>
  <c r="E385" i="3"/>
  <c r="E237" i="3"/>
  <c r="T6" i="3"/>
  <c r="E173" i="3"/>
  <c r="E89" i="3"/>
  <c r="E439" i="3"/>
  <c r="E406" i="3"/>
  <c r="E481" i="3"/>
  <c r="E458" i="3"/>
  <c r="E573" i="3"/>
  <c r="E519" i="3"/>
  <c r="E193" i="3"/>
  <c r="E45" i="3"/>
  <c r="E321" i="3"/>
  <c r="E227" i="3"/>
  <c r="E175" i="3"/>
  <c r="AO6" i="3"/>
  <c r="Z6" i="3"/>
  <c r="E327" i="3"/>
  <c r="E204" i="3"/>
  <c r="E117" i="3"/>
  <c r="E130" i="3"/>
  <c r="E407" i="3"/>
  <c r="E358" i="3"/>
  <c r="X6" i="3"/>
  <c r="E268" i="3"/>
  <c r="E329" i="3"/>
  <c r="E197" i="3"/>
  <c r="E557" i="3"/>
  <c r="E377" i="3"/>
  <c r="E324" i="3"/>
  <c r="P6" i="3"/>
  <c r="E125" i="3"/>
  <c r="E280" i="3"/>
  <c r="E335" i="3"/>
  <c r="E77" i="3"/>
  <c r="E575" i="3"/>
  <c r="E442" i="3"/>
  <c r="S6" i="3"/>
  <c r="E177" i="3"/>
  <c r="E469" i="3"/>
  <c r="E451" i="3"/>
  <c r="E556" i="3"/>
  <c r="E13" i="3"/>
  <c r="E452" i="3"/>
  <c r="E40" i="3"/>
  <c r="E119" i="3"/>
  <c r="E366" i="3"/>
  <c r="E507" i="3"/>
  <c r="E571" i="3"/>
  <c r="E203" i="3"/>
  <c r="E260" i="3"/>
  <c r="E468" i="3"/>
  <c r="E263" i="3"/>
  <c r="E302" i="3"/>
  <c r="E577" i="3"/>
  <c r="E306" i="3"/>
  <c r="E465" i="3"/>
  <c r="E143" i="3"/>
  <c r="E60" i="3"/>
  <c r="E423" i="3"/>
  <c r="E569" i="3"/>
  <c r="E137" i="3"/>
  <c r="E362" i="3"/>
  <c r="E277" i="3"/>
  <c r="E433" i="3"/>
  <c r="E457" i="3"/>
  <c r="E514" i="3"/>
  <c r="E506" i="3"/>
  <c r="E215" i="3"/>
  <c r="E484" i="3"/>
  <c r="E202" i="3"/>
  <c r="E178" i="3"/>
  <c r="E25" i="3"/>
  <c r="E463" i="3"/>
  <c r="E483" i="3"/>
  <c r="E419" i="3"/>
  <c r="E498" i="3"/>
  <c r="J6" i="3"/>
  <c r="AH6" i="3"/>
  <c r="E376" i="3"/>
  <c r="E490" i="3"/>
  <c r="E440" i="3"/>
  <c r="E512" i="3"/>
  <c r="E437" i="3"/>
  <c r="E330" i="3"/>
  <c r="E120" i="3"/>
  <c r="E338" i="3"/>
  <c r="E461" i="3"/>
  <c r="E466" i="3"/>
  <c r="E502" i="3"/>
  <c r="E499" i="3"/>
  <c r="E286" i="3"/>
  <c r="E253" i="3"/>
  <c r="E180" i="3"/>
  <c r="E189" i="3"/>
  <c r="AB6" i="3"/>
  <c r="E311" i="3"/>
  <c r="AA6" i="3"/>
  <c r="E553" i="3"/>
  <c r="E510" i="3"/>
  <c r="E369" i="3"/>
  <c r="E531" i="3"/>
  <c r="E572" i="3"/>
  <c r="E219" i="3"/>
  <c r="E109" i="3"/>
  <c r="E211" i="3"/>
  <c r="E489" i="3"/>
  <c r="E400" i="3"/>
  <c r="E534" i="3"/>
  <c r="E269" i="3"/>
  <c r="E205" i="3"/>
  <c r="E153" i="3"/>
  <c r="E526" i="3"/>
  <c r="E322" i="3"/>
  <c r="E583" i="3"/>
  <c r="E336" i="3"/>
  <c r="E293" i="3"/>
  <c r="E559" i="3"/>
  <c r="V6" i="3"/>
  <c r="E320" i="3"/>
  <c r="E230" i="3"/>
  <c r="E254" i="3"/>
  <c r="E161" i="3"/>
  <c r="E207" i="3"/>
  <c r="E271" i="3"/>
  <c r="E145" i="3"/>
  <c r="E107" i="3"/>
  <c r="E379" i="3"/>
  <c r="E585" i="3"/>
  <c r="U6" i="3"/>
  <c r="E515" i="3"/>
  <c r="E411" i="3"/>
  <c r="E478" i="3"/>
  <c r="E343" i="3"/>
  <c r="E567" i="3"/>
  <c r="E390" i="3"/>
  <c r="E418" i="3"/>
  <c r="E169" i="3"/>
  <c r="E157" i="3"/>
  <c r="E470" i="3"/>
  <c r="E420" i="3"/>
  <c r="E26" i="3"/>
  <c r="E104" i="3"/>
  <c r="E41" i="3"/>
  <c r="E115" i="3"/>
  <c r="E198" i="3"/>
  <c r="E139" i="3"/>
  <c r="E225" i="3"/>
  <c r="E281" i="3"/>
  <c r="E405" i="3"/>
  <c r="E124" i="3"/>
  <c r="E212" i="3"/>
  <c r="E464" i="3"/>
  <c r="E133" i="3"/>
  <c r="E140" i="3"/>
  <c r="E167" i="3"/>
  <c r="K6" i="3"/>
  <c r="E562" i="3"/>
  <c r="E450" i="3"/>
  <c r="E54" i="3"/>
  <c r="E345" i="3"/>
  <c r="E429" i="3"/>
  <c r="E315" i="3"/>
  <c r="E74" i="3"/>
  <c r="E79" i="3"/>
  <c r="E415" i="3"/>
  <c r="E239" i="3"/>
  <c r="E229" i="3"/>
  <c r="AI6" i="3"/>
  <c r="E328" i="3"/>
  <c r="E346" i="3"/>
  <c r="E96" i="3"/>
  <c r="E388" i="3"/>
  <c r="E536" i="3"/>
  <c r="E191" i="3"/>
  <c r="AL6" i="3"/>
  <c r="E359" i="3"/>
  <c r="E148" i="3"/>
  <c r="E314" i="3"/>
  <c r="E296" i="3"/>
  <c r="E226" i="3"/>
  <c r="E28" i="3"/>
  <c r="E533" i="3"/>
  <c r="E347" i="3"/>
  <c r="M6" i="3"/>
  <c r="E221" i="3"/>
  <c r="E141" i="3"/>
  <c r="E552" i="3"/>
  <c r="E539" i="3"/>
  <c r="E181" i="3"/>
  <c r="E560" i="3"/>
  <c r="E273" i="3"/>
  <c r="E282" i="3"/>
  <c r="E134" i="3"/>
  <c r="E542" i="3"/>
  <c r="E298" i="3"/>
  <c r="E422" i="3"/>
  <c r="E288" i="3"/>
  <c r="W6" i="3"/>
  <c r="E537" i="3"/>
  <c r="E471" i="3"/>
  <c r="E475" i="3"/>
  <c r="E168" i="3"/>
  <c r="E257" i="3"/>
  <c r="E149" i="3"/>
  <c r="E344" i="3"/>
  <c r="E55" i="3"/>
  <c r="E243" i="3"/>
  <c r="E394" i="3"/>
  <c r="E580" i="3"/>
  <c r="E32" i="3"/>
  <c r="E15" i="3"/>
  <c r="E100" i="3"/>
  <c r="E114" i="3"/>
  <c r="E395" i="3"/>
  <c r="E550" i="3"/>
  <c r="E516" i="3"/>
  <c r="E396" i="3"/>
  <c r="E151" i="3"/>
  <c r="E518" i="3"/>
  <c r="E578" i="3"/>
  <c r="E382" i="3"/>
  <c r="E472" i="3"/>
  <c r="E171" i="3"/>
  <c r="E372" i="3"/>
  <c r="E428" i="3"/>
  <c r="E174" i="3"/>
  <c r="E361" i="3"/>
  <c r="E410" i="3"/>
  <c r="E568" i="3"/>
  <c r="E453" i="3"/>
  <c r="E245" i="3"/>
  <c r="E188" i="3"/>
  <c r="E214" i="3"/>
  <c r="E482" i="3"/>
  <c r="E17" i="3"/>
  <c r="E511" i="3"/>
  <c r="E196" i="3"/>
  <c r="E146" i="3"/>
  <c r="E213" i="3"/>
  <c r="E262" i="3"/>
  <c r="E304" i="3"/>
  <c r="E194" i="3"/>
  <c r="E339" i="3"/>
  <c r="E16" i="3"/>
  <c r="E136" i="3"/>
  <c r="E332" i="3"/>
  <c r="E285" i="3"/>
  <c r="E42" i="3"/>
  <c r="E236" i="3"/>
  <c r="E434" i="3"/>
  <c r="E574" i="3"/>
  <c r="E190" i="3"/>
  <c r="E356" i="3"/>
  <c r="E165" i="3"/>
  <c r="E156" i="3"/>
  <c r="E244" i="3"/>
  <c r="AK6" i="3"/>
  <c r="E97" i="3"/>
  <c r="O6" i="3"/>
  <c r="E565" i="3"/>
  <c r="E78" i="3"/>
  <c r="E94" i="3"/>
  <c r="E391" i="3"/>
  <c r="E454" i="3"/>
  <c r="E387" i="3"/>
  <c r="E99" i="3"/>
  <c r="E159" i="3"/>
  <c r="E301" i="3"/>
  <c r="E368" i="3"/>
  <c r="E549" i="3"/>
  <c r="I6" i="3"/>
  <c r="H6" i="3" s="1"/>
  <c r="E397" i="3"/>
  <c r="E337" i="3"/>
  <c r="E555" i="3"/>
  <c r="E503" i="3"/>
  <c r="E183" i="3"/>
  <c r="E261" i="3"/>
  <c r="E129" i="3"/>
  <c r="E412" i="3"/>
  <c r="E43" i="3"/>
  <c r="L6" i="3"/>
  <c r="E333" i="3"/>
  <c r="E276" i="3"/>
  <c r="E106" i="3"/>
  <c r="E587" i="3"/>
  <c r="E312" i="3"/>
  <c r="E303" i="3"/>
  <c r="E350" i="3"/>
  <c r="E402" i="3"/>
  <c r="E586" i="3"/>
  <c r="AN6" i="3"/>
  <c r="E495" i="3"/>
  <c r="E353" i="3"/>
  <c r="E201" i="3"/>
  <c r="E247" i="3"/>
  <c r="E431" i="3"/>
  <c r="E579" i="3"/>
  <c r="E509" i="3"/>
  <c r="E535" i="3"/>
  <c r="E445" i="3"/>
  <c r="E172" i="3"/>
  <c r="E563" i="3"/>
  <c r="E278" i="3"/>
  <c r="E69" i="3"/>
  <c r="E170" i="3"/>
  <c r="E38" i="3"/>
  <c r="E455" i="3"/>
  <c r="E473" i="3"/>
  <c r="E75" i="3"/>
  <c r="E93" i="3"/>
  <c r="E31" i="3"/>
  <c r="E14" i="3"/>
  <c r="E318" i="3"/>
  <c r="E357" i="3"/>
  <c r="E351" i="3"/>
  <c r="E256" i="3"/>
  <c r="E73" i="3"/>
  <c r="E496" i="3"/>
  <c r="AE6" i="3"/>
  <c r="E424" i="3"/>
  <c r="E421" i="3"/>
  <c r="E399" i="3"/>
  <c r="E274" i="3"/>
  <c r="E279" i="3"/>
  <c r="E150" i="3"/>
  <c r="E111" i="3"/>
  <c r="E72" i="3"/>
  <c r="AY159" i="3"/>
  <c r="AC6" i="3"/>
  <c r="AY434" i="3"/>
  <c r="BT6" i="3"/>
  <c r="AY359" i="3"/>
  <c r="AY153" i="3"/>
  <c r="AY438" i="3"/>
  <c r="AY477" i="3"/>
  <c r="AY547" i="3"/>
  <c r="AY493" i="3"/>
  <c r="AY337" i="3"/>
  <c r="AY21" i="3"/>
  <c r="AY213" i="3"/>
  <c r="AY331" i="3"/>
  <c r="AY14" i="3"/>
  <c r="AY464" i="3"/>
  <c r="AY561" i="3"/>
  <c r="AC10" i="40"/>
  <c r="K27" i="6"/>
  <c r="S6" i="1"/>
  <c r="C29" i="12"/>
  <c r="D28" i="12" s="1"/>
  <c r="C19" i="15"/>
  <c r="C20" i="15" s="1"/>
  <c r="C26" i="15" s="1"/>
  <c r="S10" i="40"/>
  <c r="AB10" i="40"/>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49" i="3"/>
  <c r="AY406" i="3"/>
  <c r="AY550" i="3"/>
  <c r="AY323" i="3"/>
  <c r="AY273" i="3"/>
  <c r="AY27" i="3"/>
  <c r="AY512" i="3"/>
  <c r="AY466" i="3"/>
  <c r="AY221" i="3"/>
  <c r="AY167" i="3"/>
  <c r="AY94" i="3"/>
  <c r="AY509" i="3"/>
  <c r="AY426" i="3"/>
  <c r="AY380" i="3"/>
  <c r="AY65" i="3"/>
  <c r="AY527" i="3"/>
  <c r="AY40" i="3"/>
  <c r="AY481" i="3"/>
  <c r="AY181" i="3"/>
  <c r="AY343" i="3"/>
  <c r="AY219"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101" i="3"/>
  <c r="AY572" i="3"/>
  <c r="AY498" i="3"/>
  <c r="BC6" i="3"/>
  <c r="AY416" i="3"/>
  <c r="AY306" i="3"/>
  <c r="AY367" i="3"/>
  <c r="AY256" i="3"/>
  <c r="AY119" i="3"/>
  <c r="AY179" i="3"/>
  <c r="AY70" i="3"/>
  <c r="AY587" i="3"/>
  <c r="AY517" i="3"/>
  <c r="AY424" i="3"/>
  <c r="AY314" i="3"/>
  <c r="AY376" i="3"/>
  <c r="AY264" i="3"/>
  <c r="AY127" i="3"/>
  <c r="AY187" i="3"/>
  <c r="AY78" i="3"/>
  <c r="BA6" i="3"/>
  <c r="BR6" i="3"/>
  <c r="AY502" i="3"/>
  <c r="AY407" i="3"/>
  <c r="AY468" i="3"/>
  <c r="AY329" i="3"/>
  <c r="AY251" i="3"/>
  <c r="AY194" i="3"/>
  <c r="AY552" i="3"/>
  <c r="AY556" i="3"/>
  <c r="AY403" i="3"/>
  <c r="AY356" i="3"/>
  <c r="AY222" i="3"/>
  <c r="AY89" i="3"/>
  <c r="AY425" i="3"/>
  <c r="AY309" i="3"/>
  <c r="AY384" i="3"/>
  <c r="AY69" i="3"/>
  <c r="AY139" i="3"/>
  <c r="AY333" i="3"/>
  <c r="AY92" i="3"/>
  <c r="E3" i="6"/>
  <c r="L18" i="9" s="1"/>
  <c r="M19" i="6"/>
  <c r="I19" i="6" s="1"/>
  <c r="E66" i="39"/>
  <c r="AY188" i="3"/>
  <c r="AY176" i="3"/>
  <c r="AY292" i="3"/>
  <c r="AY463" i="3"/>
  <c r="AY165" i="3"/>
  <c r="AY202" i="3"/>
  <c r="AY414" i="3"/>
  <c r="AY16" i="3"/>
  <c r="AY455" i="3"/>
  <c r="AY540" i="3"/>
  <c r="AY198" i="3"/>
  <c r="AY255" i="3"/>
  <c r="BB6" i="3"/>
  <c r="AY258" i="3"/>
  <c r="AY103" i="3"/>
  <c r="AY350" i="3"/>
  <c r="AY244" i="3"/>
  <c r="AY562" i="3"/>
  <c r="AY36" i="3"/>
  <c r="AY302" i="3"/>
  <c r="BS6" i="3"/>
  <c r="AY279" i="3"/>
  <c r="AY308" i="3"/>
  <c r="AY422" i="3"/>
  <c r="AY516" i="3"/>
  <c r="AY559" i="3"/>
  <c r="AY523" i="3"/>
  <c r="AY580" i="3"/>
  <c r="AY519" i="3"/>
  <c r="AY48" i="3"/>
  <c r="AY158" i="3"/>
  <c r="AY287" i="3"/>
  <c r="AY234" i="3"/>
  <c r="AY364" i="3"/>
  <c r="AY344" i="3"/>
  <c r="AY471" i="3"/>
  <c r="AY458" i="3"/>
  <c r="AY439" i="3"/>
  <c r="AY506"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49" i="3"/>
  <c r="AY503" i="3"/>
  <c r="AY520" i="3"/>
  <c r="AY496" i="3"/>
  <c r="AY81" i="3"/>
  <c r="AY64" i="3"/>
  <c r="D3" i="6"/>
  <c r="AY499" i="3"/>
  <c r="AY579" i="3"/>
  <c r="AY423" i="3"/>
  <c r="AY410" i="3"/>
  <c r="AY442" i="3"/>
  <c r="AY453" i="3"/>
  <c r="AY484" i="3"/>
  <c r="AY487" i="3"/>
  <c r="AY328" i="3"/>
  <c r="AY313" i="3"/>
  <c r="AY345" i="3"/>
  <c r="AY369" i="3"/>
  <c r="AY223" i="3"/>
  <c r="AY266" i="3"/>
  <c r="AY282" i="3"/>
  <c r="AY129" i="3"/>
  <c r="AY169" i="3"/>
  <c r="AY189" i="3"/>
  <c r="AY37" i="3"/>
  <c r="AY80" i="3"/>
  <c r="AY96" i="3"/>
  <c r="AY532" i="3"/>
  <c r="AY536" i="3"/>
  <c r="AY419" i="3"/>
  <c r="AY112" i="3"/>
  <c r="AY577" i="3"/>
  <c r="AY508" i="3"/>
  <c r="AY518" i="3"/>
  <c r="BN6" i="3"/>
  <c r="AY525" i="3"/>
  <c r="AY435" i="3"/>
  <c r="AY454" i="3"/>
  <c r="AY467" i="3"/>
  <c r="AY340" i="3"/>
  <c r="AY226" i="3"/>
  <c r="AY150" i="3"/>
  <c r="AY93" i="3"/>
  <c r="AY389" i="3"/>
  <c r="AY239" i="3"/>
  <c r="AY126" i="3"/>
  <c r="AY182" i="3"/>
  <c r="AY53" i="3"/>
  <c r="BO6" i="3"/>
  <c r="AY404" i="3"/>
  <c r="AY355" i="3"/>
  <c r="AY199" i="3"/>
  <c r="AY486" i="3"/>
  <c r="AY284" i="3"/>
  <c r="AY160" i="3"/>
  <c r="AY483" i="3"/>
  <c r="AY370" i="3"/>
  <c r="AY121" i="3"/>
  <c r="AY72" i="3"/>
  <c r="AY368" i="3"/>
  <c r="AY238" i="3"/>
  <c r="AY291" i="3"/>
  <c r="AY162" i="3"/>
  <c r="AY52" i="3"/>
  <c r="AY105" i="3"/>
  <c r="AY417" i="3"/>
  <c r="AY116" i="3"/>
  <c r="AY252" i="3"/>
  <c r="AY514" i="3"/>
  <c r="AY546" i="3"/>
  <c r="AY581" i="3"/>
  <c r="AY472" i="3"/>
  <c r="AY259" i="3"/>
  <c r="BH6" i="3"/>
  <c r="AY278" i="3"/>
  <c r="AY33" i="3"/>
  <c r="AY544" i="3"/>
  <c r="AY217" i="3"/>
  <c r="AY303" i="3"/>
  <c r="AY82" i="3"/>
  <c r="D3" i="34"/>
  <c r="AY83" i="3"/>
  <c r="AY66" i="3"/>
  <c r="AY115" i="3"/>
  <c r="AY276" i="3"/>
  <c r="AY225" i="3"/>
  <c r="AY132" i="3"/>
  <c r="AY220" i="3"/>
  <c r="AY460" i="3"/>
  <c r="AY300" i="3"/>
  <c r="AY327" i="3"/>
  <c r="AY401" i="3"/>
  <c r="BE6" i="3"/>
  <c r="AY76" i="3"/>
  <c r="AY185" i="3"/>
  <c r="AY125" i="3"/>
  <c r="AY262" i="3"/>
  <c r="AY374" i="3"/>
  <c r="AY73" i="3"/>
  <c r="AY145" i="3"/>
  <c r="AY388" i="3"/>
  <c r="AY316" i="3"/>
  <c r="AY446" i="3"/>
  <c r="AY427" i="3"/>
  <c r="BM6" i="3"/>
  <c r="BF6" i="3"/>
  <c r="AY510" i="3"/>
  <c r="AY584" i="3"/>
  <c r="AY67" i="3"/>
  <c r="AY123" i="3"/>
  <c r="AY319" i="3"/>
  <c r="AY497" i="3"/>
  <c r="AY212" i="3"/>
  <c r="AY478" i="3"/>
  <c r="AY573" i="3"/>
  <c r="AY539" i="3"/>
  <c r="AY100" i="3"/>
  <c r="AY84" i="3"/>
  <c r="AY20" i="3"/>
  <c r="AY193" i="3"/>
  <c r="AY173" i="3"/>
  <c r="AY134" i="3"/>
  <c r="AY286" i="3"/>
  <c r="AY270" i="3"/>
  <c r="AY227" i="3"/>
  <c r="AY373" i="3"/>
  <c r="AY507" i="3"/>
  <c r="AY88" i="3"/>
  <c r="AY29" i="3"/>
  <c r="AY161" i="3"/>
  <c r="AY275" i="3"/>
  <c r="AY215" i="3"/>
  <c r="AY341" i="3"/>
  <c r="AY324" i="3"/>
  <c r="AY480" i="3"/>
  <c r="AY50" i="3"/>
  <c r="AY289" i="3"/>
  <c r="AY261" i="3"/>
  <c r="AY209"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557" i="3"/>
  <c r="AY436" i="3"/>
  <c r="AY326" i="3"/>
  <c r="AY379" i="3"/>
  <c r="AY229" i="3"/>
  <c r="AY43" i="3"/>
  <c r="AY412" i="3"/>
  <c r="AY489" i="3"/>
  <c r="AY363" i="3"/>
  <c r="AY204" i="3"/>
  <c r="AY74" i="3"/>
  <c r="AY196" i="3"/>
  <c r="AY582" i="3"/>
  <c r="AY494" i="3"/>
  <c r="AY501" i="3"/>
  <c r="BG6" i="3"/>
  <c r="AY495" i="3"/>
  <c r="AY571" i="3"/>
  <c r="AY534" i="3"/>
  <c r="AY585" i="3"/>
  <c r="BQ6" i="3"/>
  <c r="AY411" i="3"/>
  <c r="AY398" i="3"/>
  <c r="AY430"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147" i="3"/>
  <c r="AY31" i="3"/>
  <c r="AY191" i="3"/>
  <c r="AY371" i="3"/>
  <c r="AY268" i="3"/>
  <c r="AY58" i="3"/>
  <c r="AY131" i="3"/>
  <c r="AY59" i="3"/>
  <c r="AY155" i="3"/>
  <c r="AY23" i="3"/>
  <c r="D3" i="33"/>
  <c r="B2" i="33" s="1"/>
  <c r="B3" i="33" s="1"/>
  <c r="AY87" i="3"/>
  <c r="AY51" i="3"/>
  <c r="AY34" i="3"/>
  <c r="AY207" i="3"/>
  <c r="AY144" i="3"/>
  <c r="AY124" i="3"/>
  <c r="AY95" i="3"/>
  <c r="AY42" i="3"/>
  <c r="AY152" i="3"/>
  <c r="AY281" i="3"/>
  <c r="AY111" i="3"/>
  <c r="AY168" i="3"/>
  <c r="AY253" i="3"/>
  <c r="AY236" i="3"/>
  <c r="AY382" i="3"/>
  <c r="AY98" i="3"/>
  <c r="AY18" i="3"/>
  <c r="AY171" i="3"/>
  <c r="AY90" i="3"/>
  <c r="AY163" i="3"/>
  <c r="AY75" i="3"/>
  <c r="AY237" i="3"/>
  <c r="AY387"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M18" i="9"/>
  <c r="B118" i="9" s="1"/>
  <c r="B14" i="74" s="1"/>
  <c r="B1" i="74" s="1"/>
  <c r="U10" i="39"/>
  <c r="S10" i="39"/>
  <c r="M19" i="9"/>
  <c r="C118" i="9" s="1"/>
  <c r="C14" i="74" s="1"/>
  <c r="B2" i="74" s="1"/>
  <c r="L19" i="9"/>
  <c r="C18" i="4"/>
  <c r="E61" i="40"/>
  <c r="C29" i="68"/>
  <c r="D27" i="68" s="1"/>
  <c r="C47" i="68"/>
  <c r="D45" i="68" s="1"/>
  <c r="C47" i="69"/>
  <c r="D45" i="69" s="1"/>
  <c r="C29" i="69"/>
  <c r="D27" i="69" s="1"/>
  <c r="P7" i="1"/>
  <c r="P16" i="1" s="1"/>
  <c r="C29" i="11"/>
  <c r="D27" i="11" s="1"/>
  <c r="C47" i="11"/>
  <c r="D45" i="11" s="1"/>
  <c r="N16" i="1"/>
  <c r="L16" i="1"/>
  <c r="C115" i="43"/>
  <c r="D113" i="43" s="1"/>
  <c r="S2" i="43"/>
  <c r="C23" i="43"/>
  <c r="C21" i="43" s="1"/>
  <c r="S7" i="43"/>
  <c r="S3" i="43"/>
  <c r="S5" i="43"/>
  <c r="S4" i="43"/>
  <c r="S6" i="43"/>
  <c r="E65" i="40"/>
  <c r="F63" i="40"/>
  <c r="G53" i="34"/>
  <c r="H53" i="34" s="1"/>
  <c r="G54" i="34"/>
  <c r="H54" i="34" s="1"/>
  <c r="I40" i="36"/>
  <c r="J40" i="36" s="1"/>
  <c r="E48" i="21"/>
  <c r="R49" i="21"/>
  <c r="I46" i="37"/>
  <c r="J46" i="37" s="1"/>
  <c r="E42" i="37"/>
  <c r="R43" i="37"/>
  <c r="G42" i="35"/>
  <c r="H42" i="35" s="1"/>
  <c r="G43" i="35"/>
  <c r="H43" i="35" s="1"/>
  <c r="I42" i="35"/>
  <c r="J42" i="35" s="1"/>
  <c r="G40" i="36"/>
  <c r="H40" i="36" s="1"/>
  <c r="G41" i="36"/>
  <c r="H41" i="36" s="1"/>
  <c r="I52" i="21"/>
  <c r="J52" i="21" s="1"/>
  <c r="I53" i="21"/>
  <c r="J53" i="21" s="1"/>
  <c r="F68" i="39"/>
  <c r="E70" i="39"/>
  <c r="E38" i="35"/>
  <c r="R39" i="35"/>
  <c r="G52" i="21"/>
  <c r="H52" i="21" s="1"/>
  <c r="G53" i="21"/>
  <c r="H53" i="21" s="1"/>
  <c r="R50" i="34"/>
  <c r="E49" i="34"/>
  <c r="I53" i="34"/>
  <c r="J53" i="34" s="1"/>
  <c r="I54" i="34"/>
  <c r="J54" i="34" s="1"/>
  <c r="E36" i="36"/>
  <c r="R37" i="36"/>
  <c r="G46" i="37"/>
  <c r="H46" i="37" s="1"/>
  <c r="G47" i="37"/>
  <c r="H47" i="37" s="1"/>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D14" i="12"/>
  <c r="D21" i="6" l="1"/>
  <c r="AY415" i="3"/>
  <c r="AY248" i="3"/>
  <c r="AY293" i="3"/>
  <c r="AY566" i="3"/>
  <c r="AY405" i="3"/>
  <c r="AY538" i="3"/>
  <c r="AY240" i="3"/>
  <c r="AY280" i="3"/>
  <c r="AY164" i="3"/>
  <c r="AY396" i="3"/>
  <c r="AY545" i="3"/>
  <c r="AY183" i="3"/>
  <c r="AY137" i="3"/>
  <c r="AY35" i="3"/>
  <c r="AY86" i="3"/>
  <c r="AY504" i="3"/>
  <c r="AY267" i="3"/>
  <c r="AY476" i="3"/>
  <c r="AY515" i="3"/>
  <c r="AY172" i="3"/>
  <c r="AY485" i="3"/>
  <c r="AY54" i="3"/>
  <c r="AY351" i="3"/>
  <c r="AY400" i="3"/>
  <c r="AY141" i="3"/>
  <c r="AY531" i="3"/>
  <c r="AY459" i="3"/>
  <c r="AY320" i="3"/>
  <c r="AY62" i="3"/>
  <c r="AY107" i="3"/>
  <c r="AY443" i="3"/>
  <c r="AY146" i="3"/>
  <c r="AY543" i="3"/>
  <c r="AY301" i="3"/>
  <c r="AY521" i="3"/>
  <c r="AY312" i="3"/>
  <c r="AY408" i="3"/>
  <c r="AY307" i="3"/>
  <c r="AY529" i="3"/>
  <c r="M27" i="6"/>
  <c r="D5" i="6"/>
  <c r="H23" i="6"/>
  <c r="E6" i="3"/>
  <c r="H22" i="6"/>
  <c r="D28" i="6"/>
  <c r="H24" i="6"/>
  <c r="D11" i="6"/>
  <c r="D23" i="6"/>
  <c r="R23" i="6" s="1"/>
  <c r="D19" i="6"/>
  <c r="H21" i="6"/>
  <c r="D13" i="6"/>
  <c r="D12" i="6"/>
  <c r="D14" i="6"/>
  <c r="D8" i="6"/>
  <c r="D26" i="6"/>
  <c r="H26" i="6"/>
  <c r="H25" i="6"/>
  <c r="D9" i="6"/>
  <c r="D29" i="6"/>
  <c r="D10" i="6"/>
  <c r="D20" i="6"/>
  <c r="D15" i="6"/>
  <c r="C17" i="4"/>
  <c r="B4" i="52" s="1"/>
  <c r="B43" i="72" s="1"/>
  <c r="D24" i="6"/>
  <c r="R24" i="6" s="1"/>
  <c r="D22" i="6"/>
  <c r="D25" i="6"/>
  <c r="H20" i="6"/>
  <c r="D3" i="37"/>
  <c r="D37" i="11"/>
  <c r="D3" i="21"/>
  <c r="E6" i="6"/>
  <c r="D6" i="6" s="1"/>
  <c r="D19" i="11"/>
  <c r="C19" i="11" s="1"/>
  <c r="C20" i="11" s="1"/>
  <c r="C28" i="11" s="1"/>
  <c r="C27" i="11" s="1"/>
  <c r="AQ6" i="1"/>
  <c r="AR6" i="1"/>
  <c r="S16" i="1"/>
  <c r="T6" i="1"/>
  <c r="T16" i="1" s="1"/>
  <c r="F34" i="11"/>
  <c r="C14" i="12"/>
  <c r="D17" i="12"/>
  <c r="C17" i="12" s="1"/>
  <c r="C8" i="74"/>
  <c r="C7" i="74"/>
  <c r="F50" i="11"/>
  <c r="F50" i="68"/>
  <c r="F50" i="69"/>
  <c r="S19" i="6"/>
  <c r="S27" i="6" s="1"/>
  <c r="I27" i="6"/>
  <c r="H19" i="6"/>
  <c r="R21" i="6"/>
  <c r="D8" i="74"/>
  <c r="D7" i="74"/>
  <c r="A10" i="51"/>
  <c r="B9" i="72" s="1"/>
  <c r="C4" i="52"/>
  <c r="B45" i="72" s="1"/>
  <c r="G63" i="40"/>
  <c r="F65" i="40"/>
  <c r="C36" i="36"/>
  <c r="C37" i="36"/>
  <c r="B2" i="36" s="1"/>
  <c r="B3" i="36" s="1"/>
  <c r="E40" i="36"/>
  <c r="F40" i="36" s="1"/>
  <c r="E41" i="36"/>
  <c r="F41" i="36" s="1"/>
  <c r="E54" i="34"/>
  <c r="F54" i="34" s="1"/>
  <c r="E53" i="34"/>
  <c r="F53" i="34" s="1"/>
  <c r="E43" i="35"/>
  <c r="F43" i="35" s="1"/>
  <c r="E42" i="35"/>
  <c r="F42" i="35" s="1"/>
  <c r="I43" i="35"/>
  <c r="J43" i="35" s="1"/>
  <c r="C42" i="37"/>
  <c r="C43" i="37"/>
  <c r="C48" i="21"/>
  <c r="C49" i="21"/>
  <c r="C50" i="34"/>
  <c r="B2" i="34" s="1"/>
  <c r="B3" i="34" s="1"/>
  <c r="C49" i="34"/>
  <c r="C38" i="35"/>
  <c r="C39" i="35"/>
  <c r="B2" i="35" s="1"/>
  <c r="B3" i="35" s="1"/>
  <c r="G68" i="39"/>
  <c r="F70" i="39"/>
  <c r="E47" i="37"/>
  <c r="F47" i="37" s="1"/>
  <c r="E46" i="37"/>
  <c r="F46" i="37" s="1"/>
  <c r="I47" i="37"/>
  <c r="J47" i="37" s="1"/>
  <c r="E52" i="21"/>
  <c r="F52" i="21" s="1"/>
  <c r="E53" i="21"/>
  <c r="F53" i="21" s="1"/>
  <c r="I41" i="36"/>
  <c r="J41" i="36"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D20" i="12"/>
  <c r="F34" i="68"/>
  <c r="C11" i="12"/>
  <c r="H27" i="6" l="1"/>
  <c r="D27" i="6"/>
  <c r="D30" i="6"/>
  <c r="D16" i="6"/>
  <c r="R22" i="6"/>
  <c r="B2" i="37"/>
  <c r="B3" i="37" s="1"/>
  <c r="R25" i="6"/>
  <c r="R26" i="6"/>
  <c r="R20" i="6"/>
  <c r="C25" i="11"/>
  <c r="A7" i="51"/>
  <c r="B7" i="72" s="1"/>
  <c r="D10" i="11"/>
  <c r="C10" i="11" s="1"/>
  <c r="D10" i="69"/>
  <c r="D19" i="69" s="1"/>
  <c r="D37" i="69" s="1"/>
  <c r="C37" i="69" s="1"/>
  <c r="C33" i="69" s="1"/>
  <c r="C37" i="11"/>
  <c r="C24" i="11"/>
  <c r="B2" i="21"/>
  <c r="B3" i="21" s="1"/>
  <c r="C15" i="12"/>
  <c r="C12" i="12"/>
  <c r="C36" i="11"/>
  <c r="C34" i="11"/>
  <c r="C20" i="12"/>
  <c r="C18" i="12" s="1"/>
  <c r="R19" i="6"/>
  <c r="G65" i="40"/>
  <c r="H63" i="40"/>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34" i="68"/>
  <c r="D10" i="68"/>
  <c r="C36" i="68"/>
  <c r="D31" i="6" l="1"/>
  <c r="C10" i="69"/>
  <c r="C8" i="69" s="1"/>
  <c r="C5" i="69" s="1"/>
  <c r="C23" i="69" s="1"/>
  <c r="C10" i="68"/>
  <c r="C19" i="69"/>
  <c r="C24" i="69" s="1"/>
  <c r="C16" i="12"/>
  <c r="C21" i="12" s="1"/>
  <c r="C22" i="12" s="1"/>
  <c r="C30" i="12" s="1"/>
  <c r="C28" i="12" s="1"/>
  <c r="C22" i="11"/>
  <c r="C31" i="11" s="1"/>
  <c r="D19" i="68"/>
  <c r="C19" i="68" s="1"/>
  <c r="C24" i="68" s="1"/>
  <c r="C35" i="11"/>
  <c r="C38" i="11"/>
  <c r="C35" i="68"/>
  <c r="C38" i="68"/>
  <c r="R27" i="6"/>
  <c r="R6" i="1"/>
  <c r="R16" i="1" s="1"/>
  <c r="C20" i="69"/>
  <c r="C28" i="69" s="1"/>
  <c r="C27" i="69" s="1"/>
  <c r="C39" i="69"/>
  <c r="C42" i="69"/>
  <c r="I63" i="40"/>
  <c r="H65" i="40"/>
  <c r="I68" i="39"/>
  <c r="H70" i="39"/>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I5" i="6" l="1"/>
  <c r="I6" i="6"/>
  <c r="D37" i="68"/>
  <c r="C37" i="68" s="1"/>
  <c r="C33" i="68" s="1"/>
  <c r="C33" i="11"/>
  <c r="C39" i="11" s="1"/>
  <c r="C43" i="11" s="1"/>
  <c r="C27" i="12"/>
  <c r="C25" i="12" s="1"/>
  <c r="C32" i="12" s="1"/>
  <c r="B2" i="12" s="1"/>
  <c r="C25" i="69"/>
  <c r="C22" i="69" s="1"/>
  <c r="C31" i="69" s="1"/>
  <c r="C46" i="69"/>
  <c r="C45" i="69" s="1"/>
  <c r="C43" i="69"/>
  <c r="C41" i="69" s="1"/>
  <c r="J63" i="40"/>
  <c r="I65" i="40"/>
  <c r="J68" i="39"/>
  <c r="I70" i="39"/>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B3" i="12"/>
  <c r="D19" i="9"/>
  <c r="L51" i="67"/>
  <c r="L51" i="15"/>
  <c r="D102" i="9" l="1"/>
  <c r="D21" i="9"/>
  <c r="C42" i="11"/>
  <c r="C41" i="11" s="1"/>
  <c r="C42" i="68"/>
  <c r="C39" i="68"/>
  <c r="C43" i="68" s="1"/>
  <c r="C46" i="11"/>
  <c r="C45" i="11" s="1"/>
  <c r="C49" i="69"/>
  <c r="C51" i="69" s="1"/>
  <c r="C52" i="69" s="1"/>
  <c r="B2" i="69" s="1"/>
  <c r="B3" i="69" s="1"/>
  <c r="K63" i="40"/>
  <c r="J65" i="40"/>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D20" i="9"/>
  <c r="D103" i="9" l="1"/>
  <c r="C49" i="11"/>
  <c r="C51" i="11" s="1"/>
  <c r="C52" i="11" s="1"/>
  <c r="B2" i="11" s="1"/>
  <c r="B3" i="11" s="1"/>
  <c r="C46" i="68"/>
  <c r="C45" i="68" s="1"/>
  <c r="C41" i="68"/>
  <c r="C57" i="69"/>
  <c r="C56" i="69" s="1"/>
  <c r="L63" i="40"/>
  <c r="K65" i="40"/>
  <c r="L68" i="39"/>
  <c r="K70" i="39"/>
  <c r="Q57" i="15"/>
  <c r="Q62" i="15" s="1"/>
  <c r="Q66" i="15"/>
  <c r="Q75" i="15" s="1"/>
  <c r="Q66" i="67"/>
  <c r="Q75" i="67" s="1"/>
  <c r="Q57" i="67"/>
  <c r="Q62" i="67" s="1"/>
  <c r="B2" i="67"/>
  <c r="B3" i="67"/>
  <c r="C49" i="68" l="1"/>
  <c r="C51" i="68" s="1"/>
  <c r="C56" i="11"/>
  <c r="C57" i="11" s="1"/>
  <c r="M63" i="40"/>
  <c r="L65" i="40"/>
  <c r="M68" i="39"/>
  <c r="L70" i="39"/>
  <c r="N63" i="40" l="1"/>
  <c r="M65" i="40"/>
  <c r="N68" i="39"/>
  <c r="M70" i="39"/>
  <c r="O63" i="40" l="1"/>
  <c r="O65" i="40" s="1"/>
  <c r="N65" i="40"/>
  <c r="F7" i="40" s="1"/>
  <c r="O68" i="39"/>
  <c r="O70" i="39" s="1"/>
  <c r="N70" i="39"/>
  <c r="S7" i="40" l="1"/>
  <c r="AA7" i="40"/>
  <c r="R42" i="40" s="1"/>
  <c r="J7" i="40"/>
  <c r="H7" i="40"/>
  <c r="F7" i="39"/>
  <c r="J7" i="39"/>
  <c r="H7" i="39"/>
  <c r="AB7" i="40" l="1"/>
  <c r="T42" i="40" s="1"/>
  <c r="G42" i="40" s="1"/>
  <c r="U7" i="40"/>
  <c r="E42" i="40"/>
  <c r="R43" i="40"/>
  <c r="AC7" i="40"/>
  <c r="V42" i="40" s="1"/>
  <c r="I42" i="40" s="1"/>
  <c r="I46" i="40" s="1"/>
  <c r="J46" i="40" s="1"/>
  <c r="W7" i="40"/>
  <c r="AB7" i="39"/>
  <c r="T47" i="39" s="1"/>
  <c r="G47" i="39" s="1"/>
  <c r="U7" i="39"/>
  <c r="AC7" i="39"/>
  <c r="V47" i="39" s="1"/>
  <c r="I47" i="39" s="1"/>
  <c r="W7" i="39"/>
  <c r="S7" i="39"/>
  <c r="AA7" i="39"/>
  <c r="R47" i="39" s="1"/>
  <c r="I47" i="40" l="1"/>
  <c r="J47" i="40" s="1"/>
  <c r="E46" i="40"/>
  <c r="F46" i="40" s="1"/>
  <c r="E47" i="40"/>
  <c r="F47" i="40" s="1"/>
  <c r="G46" i="40"/>
  <c r="H46" i="40" s="1"/>
  <c r="G47" i="40"/>
  <c r="H47" i="40" s="1"/>
  <c r="C42" i="40"/>
  <c r="C43" i="40"/>
  <c r="I51" i="39"/>
  <c r="J51" i="39" s="1"/>
  <c r="G51" i="39"/>
  <c r="H51" i="39" s="1"/>
  <c r="G52" i="39"/>
  <c r="H52" i="39" s="1"/>
  <c r="E47" i="39"/>
  <c r="R48" i="39"/>
  <c r="B59" i="40" l="1"/>
  <c r="F59" i="40" s="1"/>
  <c r="B52" i="40"/>
  <c r="F52" i="40" s="1"/>
  <c r="B55" i="40"/>
  <c r="F55" i="40" s="1"/>
  <c r="B57" i="40"/>
  <c r="F57" i="40" s="1"/>
  <c r="B56" i="40"/>
  <c r="F56" i="40" s="1"/>
  <c r="B53" i="40"/>
  <c r="F53" i="40" s="1"/>
  <c r="B58" i="40"/>
  <c r="F58" i="40" s="1"/>
  <c r="B51" i="40"/>
  <c r="F51" i="40" s="1"/>
  <c r="B60" i="40"/>
  <c r="F60" i="40" s="1"/>
  <c r="B54" i="40"/>
  <c r="F54" i="40" s="1"/>
  <c r="F61" i="40"/>
  <c r="B2" i="40" s="1"/>
  <c r="B3" i="40" s="1"/>
  <c r="E51" i="39"/>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8" i="68" l="1"/>
  <c r="C27" i="68" s="1"/>
  <c r="C25" i="68"/>
  <c r="C22" i="68" s="1"/>
  <c r="C31" i="68" l="1"/>
  <c r="C52" i="68" s="1"/>
  <c r="B2" i="68" l="1"/>
  <c r="C57" i="68"/>
  <c r="C56" i="68" s="1"/>
  <c r="C19" i="9"/>
  <c r="B3" i="68"/>
  <c r="C102" i="9" l="1"/>
  <c r="D22" i="9"/>
  <c r="G19" i="9"/>
  <c r="C21" i="9"/>
  <c r="C20" i="9"/>
  <c r="C103" i="9" l="1"/>
  <c r="G20" i="9"/>
  <c r="C32" i="9"/>
  <c r="G21" i="9"/>
  <c r="C35" i="9" l="1"/>
  <c r="F118" i="9" s="1"/>
  <c r="H118" i="9"/>
  <c r="C34" i="9" l="1"/>
  <c r="D118" i="9" s="1"/>
  <c r="D119" i="9" s="1"/>
  <c r="D5" i="52" s="1"/>
  <c r="B49" i="72" s="1"/>
  <c r="F119" i="9"/>
  <c r="F5" i="52" s="1"/>
  <c r="B53" i="72" s="1"/>
  <c r="F4" i="52"/>
  <c r="B51" i="72" s="1"/>
  <c r="G118" i="9"/>
  <c r="G4" i="52" s="1"/>
  <c r="B52" i="72" s="1"/>
  <c r="D14" i="74"/>
  <c r="H119" i="9"/>
  <c r="H5" i="52" s="1"/>
  <c r="C104" i="9"/>
  <c r="I118" i="9"/>
  <c r="H101" i="9"/>
  <c r="H4" i="52"/>
  <c r="D4" i="52" l="1"/>
  <c r="B47" i="72" s="1"/>
  <c r="C105" i="9"/>
  <c r="H102" i="9"/>
  <c r="D7" i="53" s="1"/>
  <c r="B21" i="72" s="1"/>
  <c r="I4" i="52"/>
  <c r="E118" i="9"/>
  <c r="E4" i="52" s="1"/>
  <c r="B48" i="72" s="1"/>
  <c r="H107" i="9"/>
  <c r="D5" i="53"/>
  <c r="D45" i="9"/>
  <c r="M48" i="9"/>
  <c r="B5" i="74"/>
  <c r="E14" i="74"/>
  <c r="F14" i="74"/>
  <c r="C85" i="9" l="1"/>
  <c r="D55" i="9"/>
  <c r="M53" i="9" s="1"/>
  <c r="C93" i="9"/>
  <c r="C86" i="9" s="1"/>
  <c r="C78" i="9"/>
  <c r="C73" i="9" s="1"/>
  <c r="D53" i="9"/>
  <c r="C64" i="9"/>
  <c r="C63" i="9" s="1"/>
  <c r="C67" i="9" s="1"/>
  <c r="C68" i="9" s="1"/>
  <c r="D54" i="9" s="1"/>
  <c r="D52" i="9"/>
  <c r="C72" i="9"/>
  <c r="C79" i="9" s="1"/>
  <c r="M49" i="9"/>
  <c r="H108" i="9"/>
  <c r="D15" i="53" s="1"/>
  <c r="B31" i="72" s="1"/>
  <c r="D122" i="9"/>
  <c r="D13" i="53"/>
  <c r="B20" i="72"/>
  <c r="D6" i="53"/>
  <c r="B22" i="72" s="1"/>
  <c r="D5" i="74"/>
  <c r="C5" i="74"/>
  <c r="D123" i="9" l="1"/>
  <c r="D9" i="52" s="1"/>
  <c r="G14" i="74"/>
  <c r="B6" i="74" s="1"/>
  <c r="D8" i="52"/>
  <c r="B30" i="72"/>
  <c r="D14" i="53"/>
  <c r="B32" i="72" s="1"/>
  <c r="C80" i="9"/>
  <c r="E80" i="9" s="1"/>
  <c r="E81" i="9" s="1"/>
  <c r="L68" i="9"/>
  <c r="M68" i="9" s="1"/>
  <c r="L66" i="9"/>
  <c r="M66" i="9" s="1"/>
  <c r="L63" i="9"/>
  <c r="M63" i="9" s="1"/>
  <c r="L65" i="9"/>
  <c r="M65" i="9" s="1"/>
  <c r="L64" i="9"/>
  <c r="M64" i="9" s="1"/>
  <c r="L67" i="9"/>
  <c r="M67" i="9" s="1"/>
  <c r="C95" i="9"/>
  <c r="C81" i="9" l="1"/>
  <c r="M69" i="9"/>
  <c r="N69" i="9" s="1"/>
  <c r="C96" i="9"/>
  <c r="E96" i="9" s="1"/>
  <c r="E97" i="9" s="1"/>
  <c r="D6" i="74"/>
  <c r="C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<sst xmlns="http://schemas.openxmlformats.org/spreadsheetml/2006/main" count="7575" uniqueCount="3195">
  <si>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</si>
  <si>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</si>
  <si>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</si>
  <si>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</si>
  <si>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</si>
  <si>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</si>
  <si>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</si>
  <si>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</si>
  <si>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</si>
  <si>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</si>
  <si>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</si>
  <si>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</si>
  <si>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</si>
  <si>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</si>
  <si>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</si>
  <si>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</si>
  <si>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</si>
  <si>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</si>
  <si>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</si>
  <si>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</si>
  <si>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</si>
  <si>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</si>
  <si>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</si>
  <si>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</si>
  <si>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</si>
  <si>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</si>
  <si>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</si>
  <si>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</si>
  <si>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</si>
  <si>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</si>
  <si>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</si>
  <si>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</si>
  <si>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</si>
  <si>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</si>
  <si>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</si>
  <si>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</si>
  <si>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</si>
  <si>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</si>
  <si>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</si>
  <si>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</si>
  <si>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</si>
  <si>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</si>
  <si>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</si>
  <si>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</si>
  <si>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</si>
  <si>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</si>
  <si>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</si>
  <si>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</si>
  <si>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</si>
  <si>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</si>
  <si>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</si>
  <si>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</si>
  <si>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</si>
  <si>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</si>
  <si>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</si>
  <si>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</si>
  <si>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</si>
  <si>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</si>
  <si>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</si>
  <si>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</si>
  <si>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</si>
  <si>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</si>
  <si>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</si>
  <si>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</si>
  <si>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</si>
  <si>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</si>
  <si>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</si>
  <si>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</si>
  <si>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</si>
  <si>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</si>
  <si>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</si>
  <si>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</si>
  <si>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</si>
  <si>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</si>
  <si>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</si>
  <si>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</si>
  <si>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</si>
  <si>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</si>
  <si>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</si>
  <si>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</si>
  <si>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</si>
  <si>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</si>
  <si>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</si>
  <si>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</si>
  <si>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</si>
  <si>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</si>
  <si>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</si>
  <si>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</si>
  <si>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</si>
  <si>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</si>
  <si>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</si>
  <si>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</si>
  <si>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</si>
  <si>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</si>
  <si>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</si>
  <si>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</si>
  <si>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</si>
  <si>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</si>
  <si>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</si>
  <si>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</si>
  <si>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</si>
  <si>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</si>
  <si>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</si>
  <si>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</si>
  <si>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</si>
  <si>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</si>
  <si>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</si>
  <si>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</si>
  <si>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</si>
  <si>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</si>
  <si>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</si>
  <si>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</si>
  <si>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</si>
  <si>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</si>
  <si>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</si>
  <si>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</si>
  <si>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</si>
  <si>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</si>
  <si>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</si>
  <si>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</si>
  <si>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</si>
  <si>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</si>
  <si>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</si>
  <si>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</si>
  <si>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</si>
  <si>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</si>
  <si>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</si>
  <si>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</si>
  <si>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</si>
  <si>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</si>
  <si>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</si>
  <si>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</si>
  <si>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</si>
  <si>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</si>
  <si>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</si>
  <si>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</si>
  <si>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</si>
  <si>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</si>
  <si>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</si>
  <si>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</si>
  <si>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</si>
  <si>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</si>
  <si>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</si>
  <si>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</si>
  <si>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</si>
  <si>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</si>
  <si>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</si>
  <si>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</si>
  <si>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</si>
  <si>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</si>
  <si>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</si>
  <si>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</si>
  <si>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</si>
  <si>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</si>
  <si>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</si>
  <si>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</si>
  <si>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</si>
  <si>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</si>
  <si>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</si>
  <si>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</si>
  <si>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</si>
  <si>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</si>
  <si>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</si>
  <si>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</si>
  <si>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</si>
  <si>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</si>
  <si>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</si>
  <si>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</si>
  <si>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</si>
  <si>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</si>
  <si>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</si>
  <si>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</si>
  <si>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</si>
  <si>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</si>
  <si>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</si>
  <si>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</si>
  <si>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</si>
  <si>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</si>
  <si>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</si>
  <si>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</si>
  <si>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</si>
  <si>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</si>
  <si>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</si>
  <si>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</si>
  <si>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</si>
  <si>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</si>
  <si>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</si>
  <si>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</si>
  <si>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</si>
  <si>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</si>
  <si>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</si>
  <si>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</si>
  <si>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</si>
  <si>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</si>
  <si>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</si>
  <si>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</si>
  <si>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</si>
  <si>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</si>
  <si>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</si>
  <si>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</si>
  <si>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</si>
  <si>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</si>
  <si>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</si>
  <si>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</si>
  <si>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</si>
  <si>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</si>
  <si>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</si>
  <si>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</si>
  <si>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</si>
  <si>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</si>
  <si>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</si>
  <si>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</si>
  <si>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</si>
  <si>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</si>
  <si>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</si>
  <si>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</si>
  <si>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</si>
  <si>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</si>
  <si>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</si>
  <si>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</si>
  <si>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</si>
  <si>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</si>
  <si>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</si>
  <si>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</si>
  <si>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</si>
  <si>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</si>
  <si>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</si>
  <si>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</si>
  <si>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</si>
  <si>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</si>
  <si>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</si>
  <si>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</si>
  <si>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</si>
  <si>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</si>
  <si>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</si>
  <si>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</si>
  <si>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</si>
  <si>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</si>
  <si>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</si>
  <si>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</si>
  <si>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</si>
  <si>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</si>
  <si>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</si>
  <si>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</si>
  <si>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</si>
  <si>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</si>
  <si>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</si>
  <si>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</si>
  <si>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</si>
  <si>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</si>
  <si>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</si>
  <si>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</si>
  <si>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</si>
  <si>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</si>
  <si>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</si>
  <si>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</si>
  <si>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</si>
  <si>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</si>
  <si>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</si>
  <si>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</si>
  <si>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</si>
  <si>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</si>
  <si>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</si>
  <si>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</si>
  <si>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</si>
  <si>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</si>
  <si>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</si>
  <si>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</si>
  <si>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</si>
  <si>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</si>
  <si>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</si>
  <si>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</si>
  <si>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</si>
  <si>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</si>
  <si>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</si>
  <si>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</si>
  <si>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</si>
  <si>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</si>
  <si>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</si>
  <si>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</si>
  <si>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</si>
  <si>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</si>
  <si>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</si>
  <si>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</si>
  <si>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</si>
  <si>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</si>
  <si>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</si>
  <si>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</si>
  <si>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</si>
  <si>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</si>
  <si>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</si>
  <si>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</si>
  <si>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</si>
  <si>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</si>
  <si>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</si>
  <si>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</si>
  <si>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</si>
  <si>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</si>
  <si>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</si>
  <si>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</si>
  <si>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</si>
  <si>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</si>
  <si>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</si>
  <si>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</si>
  <si>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</si>
  <si>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</si>
  <si>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</si>
  <si>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</si>
  <si>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</si>
  <si>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</si>
  <si>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</si>
  <si>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</si>
  <si>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</si>
  <si>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</si>
  <si>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</si>
  <si>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</si>
  <si>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</si>
  <si>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</si>
  <si>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</si>
  <si>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</si>
  <si>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</si>
  <si>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</si>
  <si>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</si>
  <si>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</si>
  <si>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</si>
  <si>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</si>
  <si>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</si>
  <si>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</si>
  <si>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</si>
  <si>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</si>
  <si>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</si>
  <si>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</si>
  <si>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</si>
  <si>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</si>
  <si>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</si>
  <si>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</si>
  <si>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</si>
  <si>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</si>
  <si>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</si>
  <si>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</si>
  <si>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</si>
  <si>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</si>
  <si>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</si>
  <si>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</si>
  <si>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</si>
  <si>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</si>
  <si>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</si>
  <si>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</si>
  <si>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</si>
  <si>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</si>
  <si>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</si>
  <si>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</si>
  <si>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</si>
  <si>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</si>
  <si>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</si>
  <si>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</si>
  <si>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</si>
  <si>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</si>
  <si>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</si>
  <si>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</si>
  <si>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</si>
  <si>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</si>
  <si>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</si>
  <si>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</si>
  <si>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</si>
  <si>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</si>
  <si>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</si>
  <si>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</si>
  <si>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</si>
  <si>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</si>
  <si>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</si>
  <si>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</si>
  <si>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</si>
  <si>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</si>
  <si>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</si>
  <si>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</si>
  <si>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</si>
  <si>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</si>
  <si>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</si>
  <si>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</si>
  <si>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</si>
  <si>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</si>
  <si>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</si>
  <si>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</si>
  <si>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</si>
  <si>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</si>
  <si>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</si>
  <si>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</si>
  <si>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</si>
  <si>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</si>
  <si>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</si>
  <si>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</si>
  <si>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</si>
  <si>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</si>
  <si>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</si>
  <si>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</si>
  <si>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</si>
  <si>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</si>
  <si>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</si>
  <si>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</si>
  <si>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</si>
  <si>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</si>
  <si>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</si>
  <si>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</si>
  <si>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</si>
  <si>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</si>
  <si>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</si>
  <si>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</si>
  <si>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</si>
  <si>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</si>
  <si>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</si>
  <si>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</si>
  <si>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</si>
  <si>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</si>
  <si>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</si>
  <si>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</si>
  <si>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</si>
  <si>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</si>
  <si>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</si>
  <si>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</si>
  <si>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</si>
  <si>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</si>
  <si>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</si>
  <si>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</si>
  <si>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</si>
  <si>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</si>
  <si>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</si>
  <si>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</si>
  <si>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</si>
  <si>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</si>
  <si>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</si>
  <si>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</si>
  <si>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</si>
  <si>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</si>
  <si>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</si>
  <si>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</si>
  <si>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</si>
  <si>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</si>
  <si>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</si>
  <si>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</si>
  <si>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</si>
  <si>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</si>
  <si>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</si>
  <si>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</si>
  <si>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</si>
  <si>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</si>
  <si>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</si>
  <si>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</si>
  <si>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</si>
  <si>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</si>
  <si>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</si>
  <si>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</si>
  <si>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</si>
  <si>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</si>
  <si>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</si>
  <si>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</si>
  <si>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</si>
  <si>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</si>
  <si>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</si>
  <si>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</si>
  <si>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</si>
  <si>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</si>
  <si>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</si>
  <si>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</si>
  <si>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</si>
  <si>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</si>
  <si>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</si>
  <si>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</si>
  <si>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</si>
  <si>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</si>
  <si>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</si>
  <si>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</si>
  <si>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</si>
  <si>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</si>
  <si>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</si>
  <si>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</si>
  <si>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</si>
  <si>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</si>
  <si>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</si>
  <si>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</si>
  <si>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</si>
  <si>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</si>
  <si>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</si>
  <si>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</si>
  <si>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</si>
  <si>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</si>
  <si>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</si>
  <si>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</si>
  <si>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</si>
  <si>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</si>
  <si>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</si>
  <si>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</si>
  <si>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</si>
  <si>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</si>
  <si>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</si>
  <si>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</si>
  <si>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</si>
  <si>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</si>
  <si>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</si>
  <si>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</si>
  <si>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</si>
  <si>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</si>
  <si>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</si>
  <si>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</si>
  <si>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</si>
  <si>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</si>
  <si>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</si>
  <si>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</si>
  <si>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</si>
  <si>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</si>
  <si>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</si>
  <si>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</si>
  <si>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</si>
  <si>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</si>
  <si>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</si>
  <si>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</si>
  <si>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</si>
  <si>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</si>
  <si>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</si>
  <si>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</si>
  <si>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</si>
  <si>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</si>
  <si>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</si>
  <si>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</si>
  <si>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</si>
  <si>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</si>
  <si>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</si>
  <si>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</si>
  <si>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</si>
  <si>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</si>
  <si>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</si>
  <si>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</si>
  <si>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</si>
  <si>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</si>
  <si>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</si>
  <si>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</si>
  <si>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</si>
  <si>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</si>
  <si>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</si>
  <si>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</si>
  <si>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</si>
  <si>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</si>
  <si>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</si>
  <si>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</si>
  <si>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</si>
  <si>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</si>
  <si>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</si>
  <si>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</si>
  <si>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</si>
  <si>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</si>
  <si>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</si>
  <si>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</si>
  <si>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</si>
  <si>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</si>
  <si>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</si>
  <si>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</si>
  <si>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</si>
  <si>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</si>
  <si>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</si>
  <si>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</si>
  <si>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</si>
  <si>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</si>
  <si>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</si>
  <si>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</si>
  <si>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</si>
  <si>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</si>
  <si>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</si>
  <si>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</si>
  <si>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</si>
  <si>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</si>
  <si>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</si>
  <si>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</si>
  <si>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</si>
  <si>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</si>
  <si>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</si>
  <si>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</si>
  <si>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</si>
  <si>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</si>
  <si>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</si>
  <si>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</si>
  <si>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</si>
  <si>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</si>
  <si>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</si>
  <si>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</si>
  <si>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</si>
  <si>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</si>
  <si>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</si>
  <si>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</si>
  <si>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</si>
  <si>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</si>
  <si>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</si>
  <si>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</si>
  <si>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</si>
  <si>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</si>
  <si>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</si>
  <si>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</si>
  <si>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</si>
  <si>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</si>
  <si>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</si>
  <si>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</si>
  <si>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</si>
  <si>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</si>
  <si>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</si>
  <si>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</si>
  <si>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</si>
  <si>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</si>
  <si>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</si>
  <si>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</si>
  <si>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</si>
  <si>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</si>
  <si>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</si>
  <si>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</si>
  <si>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</si>
  <si>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</si>
  <si>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</si>
  <si>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</si>
  <si>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</si>
  <si>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</si>
  <si>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</si>
  <si>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</si>
  <si>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</si>
  <si>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</si>
  <si>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</si>
  <si>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</si>
  <si>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</si>
  <si>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</si>
  <si>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</si>
  <si>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</si>
  <si>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</si>
  <si>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</si>
  <si>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</si>
  <si>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</si>
  <si>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</si>
  <si>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</si>
  <si>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</si>
  <si>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</si>
  <si>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</si>
  <si>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</si>
  <si>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</si>
  <si>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</si>
  <si>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</si>
  <si>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</si>
  <si>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</si>
  <si>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</si>
  <si>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</si>
  <si>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</si>
  <si>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</si>
  <si>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</si>
  <si>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</si>
  <si>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</si>
  <si>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</si>
  <si>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</si>
  <si>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</si>
  <si>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</si>
  <si>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</si>
  <si>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</si>
  <si>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</si>
  <si>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</si>
  <si>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</si>
  <si>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</si>
  <si>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</si>
  <si>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</si>
  <si>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</si>
  <si>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</si>
  <si>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</si>
  <si>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</si>
  <si>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</si>
  <si>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</si>
  <si>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</si>
  <si>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</si>
  <si>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</si>
  <si>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</si>
  <si>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</si>
  <si>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</si>
  <si>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</si>
  <si>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</si>
  <si>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</si>
  <si>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</si>
  <si>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</si>
  <si>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</si>
  <si>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</si>
  <si>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</si>
  <si>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</si>
  <si>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</si>
  <si>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</si>
  <si>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</si>
  <si>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</si>
  <si>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</si>
  <si>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</si>
  <si>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</si>
  <si>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</si>
  <si>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</si>
  <si>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</si>
  <si>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</si>
  <si>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</si>
  <si>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</si>
  <si>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</si>
  <si>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</si>
  <si>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</si>
  <si>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</si>
  <si>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</si>
  <si>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</si>
  <si>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</si>
  <si>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</si>
  <si>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</si>
  <si>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</si>
  <si>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</si>
  <si>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</si>
  <si>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</si>
  <si>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</si>
  <si>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</si>
  <si>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</si>
  <si>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</si>
  <si>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</si>
  <si>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</si>
  <si>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</si>
  <si>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</si>
  <si>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</si>
  <si>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</si>
  <si>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</si>
  <si>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</si>
  <si>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</si>
  <si>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</si>
  <si>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</si>
  <si>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</si>
  <si>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</si>
  <si>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</si>
  <si>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</si>
  <si>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</si>
  <si>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</si>
  <si>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</si>
  <si>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</si>
  <si>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</si>
  <si>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</si>
  <si>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</si>
  <si>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</si>
  <si>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</si>
  <si>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</si>
  <si>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</si>
  <si>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</si>
  <si>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</si>
  <si>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</si>
  <si>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</si>
  <si>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</si>
  <si>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</si>
  <si>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</si>
  <si>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</si>
  <si>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</si>
  <si>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</si>
  <si>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</si>
  <si>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</si>
  <si>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</si>
  <si>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</si>
  <si>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</si>
  <si>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</si>
  <si>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</si>
  <si>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</si>
  <si>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</si>
  <si>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</si>
  <si>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</si>
  <si>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</si>
  <si>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</si>
  <si>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</si>
  <si>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</si>
  <si>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</si>
  <si>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</si>
  <si>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</si>
  <si>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</si>
  <si>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</si>
  <si>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</si>
  <si>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</si>
  <si>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</si>
  <si>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</si>
  <si>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</si>
  <si>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</si>
  <si>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</si>
  <si>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</si>
  <si>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</si>
  <si>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</si>
  <si>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</si>
  <si>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</si>
  <si>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</si>
  <si>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</si>
  <si>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</si>
  <si>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</si>
  <si>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</si>
  <si>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</si>
  <si>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</si>
  <si>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</si>
  <si>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</si>
  <si>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</si>
  <si>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</si>
  <si>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</si>
  <si>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</si>
  <si>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</si>
  <si>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</si>
  <si>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</si>
  <si>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</si>
  <si>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</si>
  <si>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</si>
  <si>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</si>
  <si>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</si>
  <si>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</si>
  <si>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</si>
  <si>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</si>
  <si>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</si>
  <si>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</si>
  <si>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</si>
  <si>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</si>
  <si>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</si>
  <si>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</si>
  <si>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</si>
  <si>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</si>
  <si>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</si>
  <si>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</si>
  <si>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</si>
  <si>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</si>
  <si>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</si>
  <si>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</si>
  <si>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</si>
  <si>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</si>
  <si>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</si>
  <si>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</si>
  <si>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</si>
  <si>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</si>
  <si>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</si>
  <si>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</si>
  <si>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</si>
  <si>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</si>
  <si>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</si>
  <si>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</si>
  <si>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</si>
  <si>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</si>
  <si>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</si>
  <si>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</si>
  <si>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</si>
  <si>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</si>
  <si>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</si>
  <si>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</si>
  <si>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</si>
  <si>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</si>
  <si>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</si>
  <si>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</si>
  <si>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</si>
  <si>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</si>
  <si>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</si>
  <si>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</si>
  <si>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</si>
  <si>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</si>
  <si>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</si>
  <si>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</si>
  <si>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</si>
  <si>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</si>
  <si>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</si>
  <si>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</si>
  <si>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</si>
  <si>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</si>
  <si>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</si>
  <si>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</si>
  <si>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</si>
  <si>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</si>
  <si>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</si>
  <si>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</si>
  <si>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</si>
  <si>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</si>
  <si>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</si>
  <si>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</si>
  <si>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</si>
  <si>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</si>
  <si>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</si>
  <si>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</si>
  <si>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</si>
  <si>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</si>
  <si>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</si>
  <si>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</si>
  <si>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</si>
  <si>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</si>
  <si>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</si>
  <si>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</si>
  <si>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</si>
  <si>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</si>
  <si>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</si>
  <si>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</si>
  <si>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</si>
  <si>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</si>
  <si>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</si>
  <si>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</si>
  <si>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</si>
  <si>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</si>
  <si>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</si>
  <si>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</si>
  <si>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</si>
  <si>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</si>
  <si>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</si>
  <si>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</si>
  <si>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</si>
  <si>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</si>
  <si>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</si>
  <si>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</si>
  <si>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</si>
  <si>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</si>
  <si>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</si>
  <si>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</si>
  <si>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</si>
  <si>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</si>
  <si>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</si>
  <si>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</si>
  <si>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</si>
  <si>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</si>
  <si>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</si>
  <si>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</si>
  <si>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</si>
  <si>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</si>
  <si>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</si>
  <si>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</si>
  <si>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</si>
  <si>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</si>
  <si>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</si>
  <si>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</si>
  <si>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</si>
  <si>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</si>
  <si>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</si>
  <si>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</si>
  <si>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</si>
  <si>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</si>
  <si>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</si>
  <si>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</si>
  <si>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</si>
  <si>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</si>
  <si>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</si>
  <si>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</si>
  <si>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</si>
  <si>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</si>
  <si>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</si>
  <si>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</si>
  <si>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</si>
  <si>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</si>
  <si>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</si>
  <si>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</si>
  <si>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</si>
  <si>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</si>
  <si>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</si>
  <si>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</si>
  <si>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</si>
  <si>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</si>
  <si>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</si>
  <si>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</si>
  <si>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</si>
  <si>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</si>
  <si>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</si>
  <si>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</si>
  <si>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</si>
  <si>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</si>
  <si>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</si>
  <si>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</si>
  <si>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</si>
  <si>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</si>
  <si>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</si>
  <si>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</si>
  <si>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</si>
  <si>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</si>
  <si>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</si>
  <si>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</si>
  <si>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</si>
  <si>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</si>
  <si>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</si>
  <si>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</si>
  <si>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</si>
  <si>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</si>
  <si>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</si>
  <si>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</si>
  <si>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</si>
  <si>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</si>
  <si>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</si>
  <si>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</si>
  <si>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</si>
  <si>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</si>
  <si>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</si>
  <si>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</si>
  <si>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</si>
  <si>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</si>
  <si>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</si>
  <si>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</si>
  <si>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</si>
  <si>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</si>
  <si>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</si>
  <si>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</si>
  <si>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</si>
  <si>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</si>
  <si>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</si>
  <si>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</si>
  <si>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</si>
  <si>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</si>
  <si>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</si>
  <si>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</si>
  <si>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</si>
  <si>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</si>
  <si>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</si>
  <si>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</si>
  <si>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</si>
  <si>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</si>
  <si>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</si>
  <si>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</si>
  <si>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</si>
  <si>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</si>
  <si>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</si>
  <si>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</si>
  <si>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</si>
  <si>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</si>
  <si>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</si>
  <si>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</si>
  <si>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</si>
  <si>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</si>
  <si>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</si>
  <si>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</si>
  <si>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</si>
  <si>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</si>
  <si>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</si>
  <si>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</si>
  <si>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</si>
  <si>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</si>
  <si>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</si>
  <si>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</si>
  <si>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</si>
  <si>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</si>
  <si>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</si>
  <si>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</si>
  <si>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</si>
  <si>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</si>
  <si>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</si>
  <si>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</si>
  <si>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</si>
  <si>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</si>
  <si>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</si>
  <si>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</si>
  <si>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</si>
  <si>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</si>
  <si>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</si>
  <si>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</si>
  <si>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</si>
  <si>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</si>
  <si>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</si>
  <si>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</si>
  <si>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</si>
  <si>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</si>
  <si>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</si>
  <si>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</si>
  <si>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</si>
  <si>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</si>
  <si>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</si>
  <si>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</si>
  <si>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</si>
  <si>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</si>
  <si>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</si>
  <si>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</si>
  <si>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</si>
  <si>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</si>
  <si>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</si>
  <si>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</si>
  <si>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</si>
  <si>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</si>
  <si>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</si>
  <si>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</si>
  <si>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</si>
  <si>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</si>
  <si>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</si>
  <si>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</si>
  <si>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</si>
  <si>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</si>
  <si>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</si>
  <si>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</si>
  <si>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</si>
  <si>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</si>
  <si>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</si>
  <si>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</si>
  <si>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</si>
  <si>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</si>
  <si>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</si>
  <si>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</si>
  <si>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</si>
  <si>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</si>
  <si>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</si>
  <si>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</si>
  <si>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</si>
  <si>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</si>
  <si>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</si>
  <si>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</si>
  <si>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</si>
  <si>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</si>
  <si>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</si>
  <si>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</si>
  <si>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</si>
  <si>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</si>
  <si>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</si>
  <si>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</si>
  <si>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</si>
  <si>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</si>
  <si>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</si>
  <si>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</si>
  <si>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</si>
  <si>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</si>
  <si>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</si>
  <si>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</si>
  <si>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</si>
  <si>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</si>
  <si>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</si>
  <si>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</si>
  <si>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</si>
  <si>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</si>
  <si>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</si>
  <si>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</si>
  <si>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</si>
  <si>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</si>
  <si>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</si>
  <si>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</si>
  <si>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</si>
  <si>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</si>
  <si>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</si>
  <si>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</si>
  <si>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</si>
  <si>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</si>
  <si>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</si>
  <si>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</si>
  <si>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</si>
  <si>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</si>
  <si>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</si>
  <si>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</si>
  <si>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</si>
  <si>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</si>
  <si>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</si>
  <si>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</si>
  <si>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</si>
  <si>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</si>
  <si>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</si>
  <si>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</si>
  <si>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</si>
  <si>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</si>
  <si>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</si>
  <si>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</si>
  <si>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</si>
  <si>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</si>
  <si>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</si>
  <si>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</si>
  <si>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</si>
  <si>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</si>
  <si>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</si>
  <si>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</si>
  <si>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</si>
  <si>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</si>
  <si>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</si>
  <si>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</si>
  <si>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</si>
  <si>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</si>
  <si>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</si>
  <si>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</si>
  <si>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</si>
  <si>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</si>
  <si>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</si>
  <si>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</si>
  <si>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</si>
  <si>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</si>
  <si>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</si>
  <si>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</si>
  <si>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</si>
  <si>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</si>
  <si>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</si>
  <si>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</si>
  <si>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</si>
  <si>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</si>
  <si>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</si>
  <si>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</si>
  <si>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</si>
  <si>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</si>
  <si>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</si>
  <si>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</si>
  <si>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</si>
  <si>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</si>
  <si>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</si>
  <si>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</si>
  <si>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</si>
  <si>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</si>
  <si>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</si>
  <si>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</si>
  <si>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</si>
  <si>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</si>
  <si>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</si>
  <si>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</si>
  <si>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</si>
  <si>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</si>
  <si>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</si>
  <si>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</si>
  <si>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</si>
  <si>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</si>
  <si>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</si>
  <si>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</si>
  <si>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</si>
  <si>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</si>
  <si>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</si>
  <si>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</si>
  <si>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</si>
  <si>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</si>
  <si>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</si>
  <si>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</si>
  <si>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</si>
  <si>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</si>
  <si>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</si>
  <si>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</si>
  <si>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</si>
  <si>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</si>
  <si>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</si>
  <si>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</si>
  <si>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</si>
  <si>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</si>
  <si>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</si>
  <si>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</si>
  <si>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</si>
  <si>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</si>
  <si>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</si>
  <si>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</si>
  <si>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</si>
  <si>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</si>
  <si>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</si>
  <si>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</si>
  <si>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</si>
  <si>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</si>
  <si>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</si>
  <si>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</si>
  <si>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</si>
  <si>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</si>
  <si>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</si>
  <si>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</si>
  <si>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</si>
  <si>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</si>
  <si>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</si>
  <si>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</si>
  <si>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</si>
  <si>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</si>
  <si>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</si>
  <si>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</si>
  <si>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</si>
  <si>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</si>
  <si>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</si>
  <si>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</si>
  <si>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</si>
  <si>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</si>
  <si>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</si>
  <si>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</si>
  <si>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</si>
  <si>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</si>
  <si>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</si>
  <si>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</si>
  <si>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</si>
  <si>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</si>
  <si>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</si>
  <si>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</si>
  <si>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</si>
  <si>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</si>
  <si>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</si>
  <si>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</si>
  <si>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</si>
  <si>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</si>
  <si>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</si>
  <si>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</si>
  <si>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</si>
  <si>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</si>
  <si>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</si>
  <si>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</si>
  <si>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</si>
  <si>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</si>
  <si>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</si>
  <si>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</si>
  <si>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</si>
  <si>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</si>
  <si>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</si>
  <si>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</si>
  <si>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</si>
  <si>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</si>
  <si>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</si>
  <si>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</si>
  <si>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</si>
  <si>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</si>
  <si>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</si>
  <si>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</si>
  <si>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</si>
  <si>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</si>
  <si>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</si>
  <si>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</si>
  <si>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</si>
  <si>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</si>
  <si>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</si>
  <si>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</si>
  <si>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</si>
  <si>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</si>
  <si>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</si>
  <si>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</si>
  <si>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</si>
  <si>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</si>
  <si>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</si>
  <si>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</si>
  <si>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</si>
  <si>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</si>
  <si>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</si>
  <si>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</si>
  <si>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</si>
  <si>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</si>
  <si>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</si>
  <si>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</si>
  <si>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</si>
  <si>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</si>
  <si>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</si>
  <si>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</si>
  <si>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</si>
  <si>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</si>
  <si>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</si>
  <si>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</si>
  <si>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</si>
  <si>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</si>
  <si>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</si>
  <si>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</si>
  <si>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</si>
  <si>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</si>
  <si>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</si>
  <si>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</si>
  <si>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</si>
  <si>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</si>
  <si>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</si>
  <si>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</si>
  <si>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</si>
  <si>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</si>
  <si>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</si>
  <si>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</si>
  <si>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</si>
  <si>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</si>
  <si>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</si>
  <si>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</si>
  <si>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</si>
  <si>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</si>
  <si>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</si>
  <si>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</si>
  <si>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</si>
  <si>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</si>
  <si>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</si>
  <si>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</si>
  <si>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</si>
  <si>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</si>
  <si>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</si>
  <si>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</si>
  <si>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</si>
  <si>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</si>
  <si>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</si>
  <si>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</si>
  <si>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</si>
  <si>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</si>
  <si>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</si>
  <si>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</si>
  <si>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</si>
  <si>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</si>
  <si>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</si>
  <si>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</si>
  <si>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</si>
  <si>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</si>
  <si>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</si>
  <si>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</si>
  <si>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</si>
  <si>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</si>
  <si>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</si>
  <si>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</si>
  <si>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</si>
  <si>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</si>
  <si>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</si>
  <si>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</si>
  <si>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</si>
  <si>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</si>
  <si>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</si>
  <si>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</si>
  <si>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</si>
  <si>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</si>
  <si>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</si>
  <si>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</si>
  <si>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</si>
  <si>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</si>
  <si>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</si>
  <si>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</si>
  <si>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</si>
  <si>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</si>
  <si>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</si>
  <si>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</si>
  <si>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</si>
  <si>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</si>
  <si>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</si>
  <si>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</si>
  <si>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</si>
  <si>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</si>
  <si>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</si>
  <si>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</si>
  <si>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</si>
  <si>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</si>
  <si>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</si>
  <si>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</si>
  <si>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</si>
  <si>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</si>
  <si>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</si>
  <si>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</si>
  <si>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</si>
  <si>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</si>
  <si>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</si>
  <si>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</si>
  <si>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</si>
  <si>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</si>
  <si>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</si>
  <si>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</si>
  <si>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</si>
  <si>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</si>
  <si>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</si>
  <si>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</si>
  <si>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</si>
  <si>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</si>
  <si>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</si>
  <si>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</si>
  <si>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</si>
  <si>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</si>
  <si>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</si>
  <si>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</si>
  <si>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</si>
  <si>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</si>
  <si>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</si>
  <si>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</si>
  <si>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</si>
  <si>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</si>
  <si>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</si>
  <si>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</si>
  <si>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</si>
  <si>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</si>
  <si>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</si>
  <si>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</si>
  <si>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</si>
  <si>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</si>
  <si>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</si>
  <si>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</si>
  <si>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</si>
  <si>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</si>
  <si>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</si>
  <si>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</si>
  <si>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</si>
  <si>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</si>
  <si>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</si>
  <si>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</si>
  <si>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</si>
  <si>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</si>
  <si>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</si>
  <si>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</si>
  <si>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</si>
  <si>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</si>
  <si>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</si>
  <si>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</si>
  <si>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</si>
  <si>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</si>
  <si>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</si>
  <si>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</si>
  <si>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</si>
  <si>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</si>
  <si>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</si>
  <si>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</si>
  <si>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</si>
  <si>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</si>
  <si>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</si>
  <si>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</si>
  <si>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</si>
  <si>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</si>
  <si>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</si>
  <si>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</si>
  <si>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</si>
  <si>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</si>
  <si>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</si>
  <si>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</si>
  <si>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</si>
  <si>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</si>
  <si>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</si>
  <si>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</si>
  <si>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</si>
  <si>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</si>
  <si>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</si>
  <si>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</si>
  <si>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</si>
  <si>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</si>
  <si>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</si>
  <si>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</si>
  <si>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</si>
  <si>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</si>
  <si>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</si>
  <si>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</si>
  <si>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</si>
  <si>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</si>
  <si>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</si>
  <si>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</si>
  <si>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</si>
  <si>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</si>
  <si>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</si>
  <si>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</si>
  <si>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</si>
  <si>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</si>
  <si>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</si>
  <si>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</si>
  <si>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</si>
  <si>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</si>
  <si>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</si>
  <si>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</si>
  <si>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</si>
  <si>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</si>
  <si>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</si>
  <si>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</si>
  <si>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</si>
  <si>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</si>
  <si>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</si>
  <si>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</si>
  <si>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</si>
  <si>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</si>
  <si>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</si>
  <si>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</si>
  <si>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</si>
  <si>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</si>
  <si>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</si>
  <si>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</si>
  <si>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</si>
  <si>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</si>
  <si>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</si>
  <si>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</si>
  <si>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</si>
  <si>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</si>
  <si>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</si>
  <si>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</si>
  <si>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</si>
  <si>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</si>
  <si>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</si>
  <si>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</si>
  <si>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</si>
  <si>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</si>
  <si>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</si>
  <si>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</si>
  <si>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</si>
  <si>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</si>
  <si>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</si>
  <si>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</si>
  <si>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</si>
  <si>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</si>
  <si>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</si>
  <si>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</si>
  <si>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</si>
  <si>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</si>
  <si>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</si>
  <si>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</si>
  <si>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</si>
  <si>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</si>
  <si>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</si>
  <si>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</si>
  <si>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</si>
  <si>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</si>
  <si>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</si>
  <si>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</si>
  <si>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</si>
  <si>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</si>
  <si>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</si>
  <si>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</si>
  <si>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</si>
  <si>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</si>
  <si>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</si>
  <si>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</si>
  <si>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</si>
  <si>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</si>
  <si>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</si>
  <si>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</si>
  <si>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</si>
  <si>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</si>
  <si>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</si>
  <si>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</si>
  <si>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</si>
  <si>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</si>
  <si>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</si>
  <si>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</si>
  <si>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</si>
  <si>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</si>
  <si>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</si>
  <si>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</si>
  <si>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</si>
  <si>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</si>
  <si>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</si>
  <si>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</si>
  <si>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</si>
  <si>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</si>
  <si>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</si>
  <si>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</si>
  <si>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</si>
  <si>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</si>
  <si>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</si>
  <si>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</si>
  <si>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</si>
  <si>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</si>
  <si>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</si>
  <si>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</si>
  <si>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</si>
  <si>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</si>
  <si>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</si>
  <si>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</si>
  <si>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</si>
  <si>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</si>
  <si>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</si>
  <si>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</si>
  <si>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</si>
  <si>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</si>
  <si>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</si>
  <si>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</si>
  <si>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</si>
  <si>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</si>
  <si>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</si>
  <si>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</si>
  <si>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</si>
  <si>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</si>
  <si>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</si>
  <si>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</si>
  <si>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</si>
  <si>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</si>
  <si>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</si>
  <si>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</si>
  <si>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</si>
  <si>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</si>
  <si>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</si>
  <si>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</si>
  <si>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</si>
  <si>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</si>
  <si>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</si>
  <si>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</si>
  <si>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</si>
  <si>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</si>
  <si>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</si>
  <si>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</si>
  <si>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</si>
  <si>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</si>
  <si>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</si>
  <si>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</si>
  <si>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</si>
  <si>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</si>
  <si>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</si>
  <si>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</si>
  <si>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</si>
  <si>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</si>
  <si>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</si>
  <si>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</si>
  <si>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</si>
  <si>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</si>
  <si>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</si>
  <si>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</si>
  <si>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</si>
  <si>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</si>
  <si>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</si>
  <si>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</si>
  <si>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</si>
  <si>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</si>
  <si>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</si>
  <si>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</si>
  <si>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</si>
  <si>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</si>
  <si>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</si>
  <si>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</si>
  <si>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</si>
  <si>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</si>
  <si>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</si>
  <si>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</si>
  <si>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</si>
  <si>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</si>
  <si>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</si>
  <si>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</si>
  <si>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</si>
  <si>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</si>
  <si>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</si>
  <si>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</si>
  <si>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</si>
  <si>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</si>
  <si>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</si>
  <si>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</si>
  <si>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</si>
  <si>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</si>
  <si>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</si>
  <si>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</si>
  <si>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</si>
  <si>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</si>
  <si>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</si>
  <si>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</si>
  <si>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</si>
  <si>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</si>
  <si>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</si>
  <si>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</si>
  <si>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</si>
  <si>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</si>
  <si>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</si>
  <si>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</si>
  <si>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</si>
  <si>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</si>
  <si>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</si>
  <si>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</si>
  <si>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</si>
  <si>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</si>
  <si>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</si>
  <si>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</si>
  <si>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</si>
  <si>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</si>
  <si>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</si>
  <si>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</si>
  <si>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</si>
  <si>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</si>
  <si>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</si>
  <si>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</si>
  <si>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</si>
  <si>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</si>
  <si>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</si>
  <si>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</si>
  <si>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</si>
  <si>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</si>
  <si>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</si>
  <si>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</si>
  <si>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</si>
  <si>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</si>
  <si>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</si>
  <si>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</si>
  <si>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</si>
  <si>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</si>
  <si>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</si>
  <si>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</si>
  <si>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</si>
  <si>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</si>
  <si>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</si>
  <si>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</si>
  <si>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</si>
  <si>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</si>
  <si>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</si>
  <si>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</si>
  <si>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</si>
  <si>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</si>
  <si>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</si>
  <si>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</si>
  <si>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</si>
  <si>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</si>
  <si>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</si>
  <si>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</si>
  <si>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</si>
  <si>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</si>
  <si>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</si>
  <si>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</si>
  <si>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</si>
  <si>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</si>
  <si>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</si>
  <si>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</si>
  <si>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</si>
  <si>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</si>
  <si>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</si>
  <si>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</si>
  <si>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</si>
  <si>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</si>
  <si>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</si>
  <si>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</si>
  <si>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</si>
  <si>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</si>
  <si>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</si>
  <si>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</si>
  <si>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</si>
  <si>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</si>
  <si>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</si>
  <si>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</si>
  <si>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</si>
  <si>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</si>
  <si>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</si>
  <si>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</si>
  <si>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</si>
  <si>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</si>
  <si>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</si>
  <si>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</si>
  <si>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</si>
  <si>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</si>
  <si>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</si>
  <si>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</si>
  <si>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</si>
  <si>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</si>
  <si>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</si>
  <si>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</si>
  <si>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</si>
  <si>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</si>
  <si>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</si>
  <si>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</si>
  <si>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</si>
  <si>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</si>
  <si>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</si>
  <si>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</si>
  <si>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</si>
  <si>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</si>
  <si>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</si>
  <si>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</si>
  <si>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</si>
  <si>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</si>
  <si>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</si>
  <si>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</si>
  <si>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</si>
  <si>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</si>
  <si>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</si>
  <si>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</si>
  <si>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</si>
  <si>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</si>
  <si>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</si>
  <si>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</si>
  <si>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</si>
  <si>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</si>
  <si>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</si>
  <si>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</si>
  <si>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</si>
  <si>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</si>
  <si>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</si>
  <si>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</si>
  <si>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</si>
  <si>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</si>
  <si>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</si>
  <si>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</si>
  <si>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</si>
  <si>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</si>
  <si>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</si>
  <si>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</si>
  <si>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</si>
  <si>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</si>
  <si>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</si>
  <si>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</si>
  <si>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</si>
  <si>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</si>
  <si>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</si>
  <si>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</si>
  <si>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</si>
  <si>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</si>
  <si>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</si>
  <si>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</si>
  <si>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</si>
  <si>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</si>
  <si>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</si>
  <si>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</si>
  <si>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</si>
  <si>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</si>
  <si>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</si>
  <si>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</si>
  <si>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</si>
  <si>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</si>
  <si>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</si>
  <si>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</si>
  <si>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</si>
  <si>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</si>
  <si>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</si>
  <si>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</si>
  <si>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</si>
  <si>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</si>
  <si>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</si>
  <si>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</si>
  <si>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</si>
  <si>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</si>
  <si>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</si>
  <si>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</si>
  <si>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</si>
  <si>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</si>
  <si>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</si>
  <si>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</si>
  <si>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</si>
  <si>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</si>
  <si>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</si>
  <si>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</si>
  <si>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</si>
  <si>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</si>
  <si>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</si>
  <si>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</si>
  <si>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</si>
  <si>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</si>
  <si>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</si>
  <si>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</si>
  <si>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</si>
  <si>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</si>
  <si>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</si>
  <si>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</si>
  <si>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</si>
  <si>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</si>
  <si>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</si>
  <si>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</si>
  <si>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</si>
  <si>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</si>
  <si>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</si>
  <si>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</si>
  <si>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</si>
  <si>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</si>
  <si>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</si>
  <si>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</si>
  <si>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</si>
  <si>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</si>
  <si>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</si>
  <si>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</si>
  <si>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</si>
  <si>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</si>
  <si>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</si>
  <si>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</si>
  <si>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</si>
  <si>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</si>
  <si>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</si>
  <si>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</si>
  <si>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</si>
  <si>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</si>
  <si>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</si>
  <si>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</si>
  <si>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</si>
  <si>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</si>
  <si>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</si>
  <si>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</si>
  <si>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</si>
  <si>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</si>
  <si>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</si>
  <si>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</si>
  <si>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</si>
  <si>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</si>
  <si>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</si>
  <si>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</si>
  <si>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</si>
  <si>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</si>
  <si>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</si>
  <si>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</si>
  <si>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</si>
  <si>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</si>
  <si>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</si>
  <si>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</si>
  <si>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</si>
  <si>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</si>
  <si>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</si>
  <si>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</si>
  <si>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</si>
  <si>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</si>
  <si>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</si>
  <si>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</si>
  <si>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</si>
  <si>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</si>
  <si>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</si>
  <si>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</si>
  <si>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</si>
  <si>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</si>
  <si>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</si>
  <si>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</si>
  <si>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</si>
  <si>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</si>
  <si>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</si>
  <si>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</si>
  <si>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</si>
  <si>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</si>
  <si>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</si>
  <si>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</si>
  <si>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</si>
  <si>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</si>
  <si>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</si>
  <si>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</si>
  <si>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</si>
  <si>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</si>
  <si>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</si>
  <si>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</si>
  <si>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</si>
  <si>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</si>
  <si>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</si>
  <si>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</si>
  <si>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</si>
  <si>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</si>
  <si>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</si>
  <si>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</si>
  <si>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</si>
  <si>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</si>
  <si>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</si>
  <si>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</si>
  <si>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</si>
  <si>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</si>
  <si>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</si>
  <si>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</si>
  <si>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</si>
  <si>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</si>
  <si>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</si>
  <si>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</si>
  <si>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</si>
  <si>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</si>
  <si>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</si>
  <si>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</si>
  <si>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</si>
  <si>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</si>
  <si>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</si>
  <si>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</si>
  <si>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</si>
  <si>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</si>
  <si>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</si>
  <si>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</si>
  <si>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</si>
  <si>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</si>
  <si>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</si>
  <si>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</si>
  <si>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</si>
  <si>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</si>
  <si>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</si>
  <si>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</si>
  <si>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</si>
  <si>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</si>
  <si>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</si>
  <si>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</si>
  <si>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</si>
  <si>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</si>
  <si>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</si>
  <si>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</si>
  <si>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</si>
  <si>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</si>
  <si>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</si>
  <si>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</si>
  <si>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</si>
  <si>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</si>
  <si>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</si>
  <si>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</si>
  <si>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</si>
  <si>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</si>
  <si>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</si>
  <si>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</si>
  <si>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</si>
  <si>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</si>
  <si>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</si>
  <si>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</si>
  <si>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</si>
  <si>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</si>
  <si>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</si>
  <si>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</si>
  <si>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</si>
  <si>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</si>
  <si>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</si>
  <si>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</si>
  <si>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</si>
  <si>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</si>
  <si>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</si>
  <si>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</si>
  <si>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</si>
  <si>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</si>
  <si>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</si>
  <si>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</si>
  <si>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</si>
  <si>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</si>
  <si>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</si>
  <si>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</si>
  <si>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</si>
  <si>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</si>
  <si>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</si>
  <si>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</si>
  <si>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</si>
  <si>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</si>
  <si>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</si>
  <si>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</si>
  <si>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</si>
  <si>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</si>
  <si>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</si>
  <si>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</si>
  <si>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</si>
  <si>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</si>
  <si>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</si>
  <si>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</si>
  <si>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</si>
  <si>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</si>
  <si>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</si>
  <si>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</si>
  <si>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</si>
  <si>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</si>
  <si>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</si>
  <si>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</si>
  <si>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</si>
  <si>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</si>
  <si>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</si>
  <si>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</si>
  <si>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</si>
  <si>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</si>
  <si>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</si>
  <si>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</si>
  <si>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</si>
  <si>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</si>
  <si>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</si>
  <si>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</si>
  <si>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</si>
  <si>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</si>
  <si>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</si>
  <si>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</si>
  <si>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</si>
  <si>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</si>
  <si>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</si>
  <si>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</si>
  <si>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</si>
  <si>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</si>
  <si>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</si>
  <si>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</si>
  <si>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</si>
  <si>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</si>
  <si>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</si>
  <si>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</si>
  <si>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</si>
  <si>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</si>
  <si>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</si>
  <si>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</si>
  <si>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</si>
  <si>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</si>
  <si>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</si>
  <si>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</si>
  <si>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</si>
  <si>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</si>
  <si>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</si>
  <si>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</si>
  <si>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</si>
  <si>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</si>
  <si>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</si>
  <si>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</si>
  <si>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</si>
  <si>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</si>
  <si>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</si>
  <si>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</si>
  <si>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</si>
  <si>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</si>
  <si>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</si>
  <si>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</si>
  <si>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</si>
  <si>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</si>
  <si>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</si>
  <si>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</si>
  <si>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</si>
  <si>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</si>
  <si>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</si>
  <si>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</si>
  <si>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</si>
  <si>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</si>
  <si>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</si>
  <si>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</si>
  <si>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</si>
  <si>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</si>
  <si>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</si>
  <si>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</si>
  <si>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</si>
  <si>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</si>
  <si>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</si>
  <si>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</si>
  <si>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</si>
  <si>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</si>
  <si>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</si>
  <si>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</si>
  <si>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</si>
  <si>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</si>
  <si>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</si>
  <si>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</si>
  <si>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</si>
  <si>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</si>
  <si>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</si>
  <si>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</si>
  <si>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</si>
  <si>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</si>
  <si>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</si>
  <si>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</si>
  <si>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</si>
  <si>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</si>
  <si>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</si>
  <si>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</si>
  <si>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</si>
  <si>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</si>
  <si>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</si>
  <si>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</si>
  <si>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</si>
  <si>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</si>
  <si>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</si>
  <si>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</si>
  <si>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</si>
  <si>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</si>
  <si>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</si>
  <si>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</si>
  <si>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</si>
  <si>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</si>
  <si>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</si>
  <si>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</si>
  <si>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</si>
  <si>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</si>
  <si>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</si>
  <si>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</si>
  <si>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</si>
  <si>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</si>
  <si>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</si>
  <si>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</si>
  <si>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</si>
  <si>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</si>
  <si>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</si>
  <si>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</si>
  <si>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</si>
  <si>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</si>
  <si>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</si>
  <si>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</si>
  <si>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</si>
  <si>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</si>
  <si>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</si>
  <si>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</si>
  <si>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</si>
  <si>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</si>
  <si>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</si>
  <si>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</si>
  <si>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</si>
  <si>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</si>
  <si>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</si>
  <si>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</si>
  <si>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</si>
  <si>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</si>
  <si>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</si>
  <si>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</si>
  <si>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</si>
  <si>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</si>
  <si>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</si>
  <si>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</si>
  <si>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</si>
  <si>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</si>
  <si>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</si>
  <si>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</si>
  <si>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</si>
  <si>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</si>
  <si>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</si>
  <si>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</si>
  <si>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</si>
  <si>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</si>
  <si>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</si>
  <si>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</si>
  <si>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</si>
  <si>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</si>
  <si>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</si>
  <si>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</si>
  <si>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</si>
  <si>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</si>
  <si>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</si>
  <si>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</si>
  <si>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</si>
  <si>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</si>
  <si>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</si>
  <si>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</si>
  <si>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</si>
  <si>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</si>
  <si>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</si>
  <si>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</si>
  <si>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</si>
  <si>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</si>
  <si>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</si>
  <si>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</si>
  <si>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</si>
  <si>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</si>
  <si>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</si>
  <si>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</si>
  <si>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</si>
  <si>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</si>
  <si>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</si>
  <si>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</si>
  <si>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</si>
  <si>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</si>
  <si>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</si>
  <si>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</si>
  <si>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</si>
  <si>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</si>
  <si>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</si>
  <si>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</si>
  <si>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</si>
  <si>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</si>
  <si>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</si>
  <si>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</si>
  <si>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</si>
  <si>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</si>
  <si>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</si>
  <si>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</si>
  <si>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</si>
  <si>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</si>
  <si>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</si>
  <si>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</si>
  <si>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</si>
  <si>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</si>
  <si>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</si>
  <si>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</si>
  <si>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</si>
  <si>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</si>
  <si>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</si>
  <si>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</si>
  <si>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</si>
  <si>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</si>
  <si>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</si>
  <si>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</si>
  <si>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</si>
  <si>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</si>
  <si>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</si>
  <si>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</si>
  <si>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</si>
  <si>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</si>
  <si>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</si>
  <si>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</si>
  <si>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</si>
  <si>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</si>
  <si>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</si>
  <si>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</si>
  <si>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</si>
  <si>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</si>
  <si>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</si>
  <si>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</si>
  <si>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</si>
  <si>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</si>
  <si>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</si>
  <si>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</si>
  <si>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</si>
  <si>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</si>
  <si>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</si>
  <si>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</si>
  <si>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</si>
  <si>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</si>
  <si>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</si>
  <si>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</si>
  <si>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</si>
  <si>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</si>
  <si>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</si>
  <si>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</si>
  <si>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</si>
  <si>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</si>
  <si>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</si>
  <si>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</si>
  <si>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</si>
  <si>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</si>
  <si>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</si>
  <si>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</si>
  <si>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</si>
  <si>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</si>
  <si>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</si>
  <si>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</si>
  <si>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</si>
  <si>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</si>
  <si>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</si>
  <si>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</si>
  <si>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</si>
  <si>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</si>
  <si>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</si>
  <si>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</si>
  <si>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</si>
  <si>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</si>
  <si>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</si>
  <si>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</si>
  <si>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</si>
  <si>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</si>
  <si>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</si>
  <si>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</si>
  <si>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</si>
  <si>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</si>
  <si>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</si>
  <si>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</si>
  <si>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</si>
  <si>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</si>
  <si>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</si>
  <si>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</si>
  <si>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</si>
  <si>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</si>
  <si>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</si>
  <si>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</si>
  <si>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</si>
  <si>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</si>
  <si>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</si>
  <si>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</si>
  <si>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</si>
  <si>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</si>
  <si>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</si>
  <si>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</si>
  <si>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</si>
  <si>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</si>
  <si>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</si>
  <si>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</si>
  <si>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</si>
  <si>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</si>
  <si>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</si>
  <si>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</si>
  <si>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</si>
  <si>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</si>
  <si>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</si>
  <si>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</si>
  <si>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</si>
  <si>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</si>
  <si>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</si>
  <si>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</si>
  <si>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</si>
  <si>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</si>
  <si>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</si>
  <si>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</si>
  <si>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</si>
  <si>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</si>
  <si>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</si>
  <si>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</si>
  <si>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</si>
  <si>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</si>
  <si>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</si>
  <si>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</si>
  <si>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</si>
  <si>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</si>
  <si>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</si>
  <si>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</si>
  <si>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</si>
  <si>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</si>
  <si>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</si>
  <si>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</si>
  <si>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</si>
  <si>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</si>
  <si>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</si>
  <si>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</si>
  <si>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</si>
  <si>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</si>
  <si>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</si>
  <si>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</si>
  <si>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</si>
  <si>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</si>
  <si>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</si>
  <si>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</si>
  <si>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</si>
  <si>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</si>
  <si>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</si>
  <si>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</si>
  <si>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</si>
  <si>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</si>
  <si>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</si>
  <si>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</si>
  <si>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</si>
  <si>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</si>
  <si>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</si>
  <si>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</si>
  <si>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</si>
  <si>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</si>
  <si>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</si>
  <si>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</si>
  <si>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</si>
  <si>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</si>
  <si>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</si>
  <si>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</si>
  <si>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</si>
  <si>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</si>
  <si>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</si>
  <si>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</si>
  <si>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</si>
  <si>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</si>
  <si>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</si>
  <si>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</si>
  <si>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</si>
  <si>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</si>
  <si>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</si>
  <si>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</si>
  <si>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</si>
  <si>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</si>
  <si>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</si>
  <si>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</si>
  <si>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</si>
  <si>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</si>
  <si>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</si>
  <si>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</si>
  <si>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</si>
  <si>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</si>
  <si>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</si>
  <si>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</si>
  <si>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</si>
  <si>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</si>
  <si>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</si>
  <si>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</si>
  <si>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</si>
  <si>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</si>
  <si>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</si>
  <si>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</si>
  <si>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</si>
  <si>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</si>
  <si>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</si>
  <si>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</si>
  <si>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</si>
  <si>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</si>
  <si>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</si>
  <si>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</si>
  <si>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</si>
  <si>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</si>
  <si>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</si>
  <si>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</si>
  <si>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</si>
  <si>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</si>
  <si>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</si>
  <si>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</si>
  <si>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</si>
  <si>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</si>
  <si>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</si>
  <si>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</si>
  <si>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</si>
  <si>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</si>
  <si>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</si>
  <si>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</si>
  <si>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</si>
  <si>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</si>
  <si>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</si>
  <si>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</si>
  <si>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</si>
  <si>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</si>
  <si>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</si>
  <si>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</si>
  <si>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</si>
  <si>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</si>
  <si>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</si>
  <si>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</si>
  <si>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</si>
  <si>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</si>
  <si>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</si>
  <si>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</si>
  <si>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</si>
  <si>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</si>
  <si>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</si>
  <si>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</si>
  <si>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</si>
  <si>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</si>
  <si>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</si>
  <si>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</si>
  <si>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</si>
  <si>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</si>
  <si>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</si>
  <si>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</si>
  <si>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</si>
  <si>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</si>
  <si>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</si>
  <si>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</si>
  <si>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</si>
  <si>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</si>
  <si>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</si>
  <si>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</si>
  <si>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</si>
  <si>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</si>
  <si>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</si>
  <si>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</si>
  <si>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</si>
  <si>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</si>
  <si>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</si>
  <si>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</si>
  <si>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</si>
  <si>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</si>
  <si>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</si>
  <si>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</si>
  <si>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</si>
  <si>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</si>
  <si>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</si>
  <si>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</si>
  <si>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</si>
  <si>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</si>
  <si>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</si>
  <si>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</si>
  <si>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</si>
  <si>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</si>
  <si>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</si>
  <si>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</si>
  <si>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</si>
  <si>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</si>
  <si>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</si>
  <si>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</si>
  <si>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</si>
  <si>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</si>
  <si>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</si>
  <si>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</si>
  <si>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</si>
  <si>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</si>
  <si>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</si>
  <si>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</si>
  <si>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</si>
  <si>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</si>
  <si>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</si>
  <si>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</si>
  <si>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</si>
  <si>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</si>
  <si>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</si>
  <si>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</si>
  <si>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</si>
  <si>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</si>
  <si>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</si>
  <si>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</si>
  <si>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</si>
  <si>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</si>
  <si>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</si>
  <si>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</si>
  <si>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</si>
  <si>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</si>
  <si>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</si>
  <si>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</si>
  <si>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</si>
  <si>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</si>
  <si>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</si>
  <si>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</si>
  <si>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</si>
  <si>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</si>
  <si>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</si>
  <si>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</si>
  <si>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</si>
  <si>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</si>
  <si>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</si>
  <si>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</si>
  <si>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</si>
  <si>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</si>
  <si>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</si>
  <si>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</si>
  <si>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</si>
  <si>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</si>
  <si>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</si>
  <si>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</si>
  <si>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</si>
  <si>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</si>
  <si>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</si>
  <si>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</si>
  <si>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</si>
  <si>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</si>
  <si>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</si>
  <si>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</si>
  <si>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</si>
  <si>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</si>
  <si>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</si>
  <si>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</si>
  <si>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</si>
  <si>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</si>
  <si>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</si>
  <si>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</si>
  <si>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</si>
  <si>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</si>
  <si>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</si>
  <si>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</si>
  <si>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</si>
  <si>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</si>
  <si>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</si>
  <si>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</si>
  <si>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</si>
  <si>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</si>
  <si>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</si>
  <si>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</si>
  <si>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</si>
  <si>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</si>
  <si>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</si>
  <si>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</si>
  <si>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</si>
  <si>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</si>
  <si>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</si>
  <si>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</si>
  <si>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</si>
  <si>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</si>
  <si>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</si>
  <si>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</si>
  <si>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</si>
  <si>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</si>
  <si>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</si>
  <si>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</si>
  <si>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</si>
  <si>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</si>
  <si>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</si>
  <si>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</si>
  <si>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</si>
  <si>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</si>
  <si>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</si>
  <si>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</si>
  <si>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</si>
  <si>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</si>
  <si>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</si>
  <si>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</si>
  <si>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</si>
  <si>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</si>
  <si>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</si>
  <si>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</si>
  <si>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</si>
  <si>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</si>
  <si>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</si>
  <si>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</si>
  <si>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</si>
  <si>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</si>
  <si>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</si>
  <si>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</si>
  <si>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</si>
  <si>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</si>
  <si>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</si>
  <si>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</si>
  <si>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</si>
  <si>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</si>
  <si>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</si>
  <si>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</si>
  <si>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</si>
  <si>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</si>
  <si>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</si>
  <si>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</si>
  <si>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</si>
  <si>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</si>
  <si>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</si>
  <si>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</si>
  <si>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</si>
  <si>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</si>
  <si>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</si>
  <si>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</si>
  <si>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</si>
  <si>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</si>
  <si>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</si>
  <si>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</si>
  <si>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</si>
  <si>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</si>
  <si>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</si>
  <si>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</si>
  <si>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</si>
  <si>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</si>
  <si>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</si>
  <si>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</si>
  <si>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</si>
  <si>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</si>
  <si>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</si>
  <si>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</si>
  <si>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</si>
  <si>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</si>
  <si>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</si>
  <si>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</si>
  <si>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</si>
  <si>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</si>
  <si>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</si>
  <si>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</si>
  <si>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</si>
  <si>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</si>
  <si>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</si>
  <si>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</si>
  <si>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</si>
  <si>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</si>
  <si>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</si>
  <si>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</si>
  <si>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</si>
  <si>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</si>
  <si>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</si>
  <si>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</si>
  <si>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</si>
  <si>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</si>
  <si>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</si>
  <si>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</si>
  <si>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</si>
  <si>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</si>
  <si>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</si>
  <si>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</si>
  <si>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</si>
  <si>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</si>
  <si>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</si>
  <si>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</si>
  <si>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</si>
  <si>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</si>
  <si>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</si>
  <si>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</si>
  <si>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</si>
  <si>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</si>
  <si>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</si>
  <si>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</si>
  <si>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</si>
  <si>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</si>
  <si>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</si>
  <si>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</si>
  <si>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</si>
  <si>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</si>
  <si>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</si>
  <si>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</si>
  <si>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</si>
  <si>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</si>
  <si>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</si>
  <si>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</si>
  <si>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</si>
  <si>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</si>
  <si>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</si>
  <si>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</si>
  <si>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</si>
  <si>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</si>
  <si>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</si>
  <si>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</si>
  <si>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</si>
  <si>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</si>
  <si>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</si>
  <si>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</si>
  <si>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</si>
  <si>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</si>
  <si>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</si>
  <si>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</si>
  <si>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</si>
  <si>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</si>
  <si>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</si>
  <si>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</si>
  <si>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</si>
  <si>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</si>
  <si>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</si>
  <si>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</si>
  <si>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</si>
  <si>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</si>
  <si>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</si>
  <si>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</si>
  <si>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</si>
  <si>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</si>
  <si>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</si>
  <si>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</si>
  <si>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</si>
  <si>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</si>
  <si>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</si>
  <si>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</si>
  <si>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</si>
  <si>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</si>
  <si>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</si>
  <si>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</si>
  <si>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</si>
  <si>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</si>
  <si>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</si>
  <si>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</si>
  <si>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</si>
  <si>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</si>
  <si>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</si>
  <si>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</si>
  <si>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</si>
  <si>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</si>
  <si>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</si>
  <si>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</si>
  <si>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</si>
  <si>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</si>
  <si>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</si>
  <si>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</si>
  <si>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</si>
  <si>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</si>
  <si>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</si>
  <si>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</si>
  <si>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</si>
  <si>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</si>
  <si>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</si>
  <si>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</si>
  <si>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</si>
  <si>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</si>
  <si>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</si>
  <si>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</si>
  <si>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</si>
  <si>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</si>
  <si>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</si>
  <si>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</si>
  <si>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</si>
  <si>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</si>
  <si>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</si>
  <si>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</si>
  <si>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</si>
  <si>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</si>
  <si>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</si>
  <si>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</si>
  <si>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</si>
  <si>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</si>
  <si>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</si>
  <si>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</si>
  <si>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</si>
  <si>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</si>
  <si>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</si>
  <si>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</si>
  <si>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</si>
  <si>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</si>
  <si>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</si>
  <si>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</si>
  <si>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</si>
  <si>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</si>
  <si>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</si>
  <si>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</si>
  <si>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</si>
  <si>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</si>
  <si>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</si>
  <si>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</si>
  <si>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</si>
  <si>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</si>
  <si>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</si>
  <si>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</si>
  <si>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</si>
  <si>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</si>
  <si>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</si>
  <si>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</si>
  <si>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</si>
  <si>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</si>
  <si>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</si>
  <si>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</si>
  <si>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</si>
  <si>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</si>
  <si>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</si>
  <si>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</si>
  <si>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</si>
  <si>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</si>
  <si>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</si>
  <si>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</si>
  <si>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</si>
  <si>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</si>
  <si>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</si>
  <si>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</si>
  <si>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</si>
  <si>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</si>
  <si>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</si>
  <si>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</si>
  <si>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</si>
  <si>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</si>
  <si>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</si>
  <si>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</si>
  <si>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</si>
  <si>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</si>
  <si>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</si>
  <si>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</si>
  <si>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</si>
  <si>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</si>
  <si>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</si>
  <si>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</si>
  <si>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</si>
  <si>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</si>
  <si>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</si>
  <si>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</si>
  <si>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</si>
  <si>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</si>
  <si>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</si>
  <si>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</si>
  <si>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</si>
  <si>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</si>
  <si>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</si>
  <si>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</si>
  <si>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</si>
  <si>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</si>
  <si>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</si>
  <si>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</si>
  <si>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</si>
  <si>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</si>
  <si>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</si>
  <si>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</si>
  <si>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</si>
  <si>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</si>
  <si>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</si>
  <si>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</si>
  <si>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</si>
  <si>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</si>
  <si>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</si>
  <si>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</si>
  <si>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</si>
  <si>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</si>
  <si>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</si>
  <si>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</si>
  <si>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</si>
  <si>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</si>
  <si>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</si>
  <si>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</si>
  <si>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</si>
  <si>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</si>
  <si>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</si>
  <si>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</si>
  <si>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</si>
  <si>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</si>
  <si>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</si>
  <si>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</si>
  <si>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</si>
  <si>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</si>
  <si>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</si>
  <si>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</si>
  <si>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</si>
  <si>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</si>
  <si>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</si>
  <si>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</si>
  <si>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</si>
  <si>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</si>
  <si>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</si>
  <si>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</si>
  <si>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</si>
  <si>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</si>
  <si>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</si>
  <si>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</si>
  <si>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</si>
  <si>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</si>
  <si>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</si>
  <si>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</si>
  <si>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</si>
  <si>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</si>
  <si>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</si>
  <si>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</si>
  <si>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</si>
  <si>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</si>
  <si>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</si>
  <si>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</si>
  <si>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</si>
  <si>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</si>
  <si>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</si>
  <si>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</si>
  <si>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</si>
  <si>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</si>
  <si>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</si>
  <si>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</si>
  <si>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</si>
  <si>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</si>
  <si>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</si>
  <si>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</si>
  <si>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</si>
  <si>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</si>
  <si>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</si>
  <si>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</si>
  <si>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</si>
  <si>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</si>
  <si>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</si>
  <si>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</si>
  <si>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</si>
  <si>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</si>
  <si>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</si>
  <si>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</si>
  <si>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</si>
  <si>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</si>
  <si>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</si>
  <si>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</si>
  <si>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</si>
  <si>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</si>
  <si>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</si>
  <si>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</si>
  <si>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</si>
  <si>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</si>
  <si>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</si>
  <si>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</si>
  <si>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</si>
  <si>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</si>
  <si>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</si>
  <si>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</si>
  <si>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</si>
  <si>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</si>
  <si>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</si>
  <si>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</si>
  <si>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</si>
  <si>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</si>
  <si>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</si>
  <si>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</si>
  <si>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</si>
  <si>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</si>
  <si>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</si>
  <si>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</si>
  <si>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</si>
  <si>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</si>
  <si>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</si>
  <si>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</si>
  <si>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</si>
  <si>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</si>
  <si>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</si>
  <si>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</si>
  <si>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</si>
  <si>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</si>
  <si>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</si>
  <si>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</si>
  <si>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</si>
  <si>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</si>
  <si>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</si>
  <si>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</si>
  <si>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</si>
  <si>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</si>
  <si>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</si>
  <si>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</si>
  <si>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</si>
  <si>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</si>
  <si>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</si>
  <si>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</si>
  <si>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</si>
  <si>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</si>
  <si>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</si>
  <si>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</si>
  <si>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</si>
  <si>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</si>
  <si>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</si>
  <si>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</si>
  <si>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</si>
  <si>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</si>
  <si>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</si>
  <si>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</si>
  <si>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</si>
  <si>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</si>
  <si>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</si>
  <si>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四川省南充市</t>
    <phoneticPr fontId="6" type="noConversion"/>
  </si>
  <si>
    <t>出让</t>
  </si>
  <si>
    <t>否</t>
  </si>
  <si>
    <t>地上</t>
  </si>
  <si>
    <t>住宅</t>
  </si>
  <si>
    <r>
      <t>8-2</t>
    </r>
    <r>
      <rPr>
        <sz val="11"/>
        <color indexed="8"/>
        <rFont val="宋体"/>
        <family val="3"/>
        <charset val="134"/>
      </rPr>
      <t>层</t>
    </r>
    <phoneticPr fontId="3" type="noConversion"/>
  </si>
  <si>
    <t>住宅</t>
    <phoneticPr fontId="7" type="noConversion"/>
  </si>
  <si>
    <t>文峰片区C-a-02-01地块</t>
    <phoneticPr fontId="3" type="noConversion"/>
  </si>
  <si>
    <t>南充现代物流园Be-1-10号地块</t>
    <phoneticPr fontId="3" type="noConversion"/>
  </si>
  <si>
    <t>正常</t>
  </si>
  <si>
    <t>住宅</t>
    <phoneticPr fontId="31" type="noConversion"/>
  </si>
  <si>
    <t>较好</t>
  </si>
  <si>
    <t>好</t>
  </si>
  <si>
    <t>六通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</si>
  <si>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</si>
  <si>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</si>
  <si>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</si>
  <si>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</si>
  <si>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</si>
  <si>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</si>
  <si>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</si>
  <si>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</si>
  <si>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</si>
  <si>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</si>
  <si>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</si>
  <si>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</si>
  <si>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</si>
  <si>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</si>
  <si>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嘉陵区文峰片区WF-A-b-01-10、WF-A-b-01-13地块</t>
  </si>
  <si>
    <t>南充市</t>
  </si>
  <si>
    <t>住宅用地</t>
  </si>
  <si>
    <t>≥1且≤1.5</t>
  </si>
  <si>
    <t>拍卖</t>
  </si>
  <si>
    <t>2019-04-16</t>
  </si>
  <si>
    <t>四川碧桂园碧盛房地产开发有限公司</t>
  </si>
  <si>
    <t>3星</t>
  </si>
  <si>
    <t>江东新区二期拟出让Ba-1-2地块</t>
  </si>
  <si>
    <t>综合用地(含住宅)</t>
  </si>
  <si>
    <t>≥1且≤2.5</t>
  </si>
  <si>
    <t>2019-03-26</t>
  </si>
  <si>
    <t>眉山市阳光置业房地产开发有限公司</t>
  </si>
  <si>
    <t>江东新区二期拟出让Bf-1-2地块</t>
  </si>
  <si>
    <t>江东新区二期拟出让Bg-1-2地块</t>
  </si>
  <si>
    <t>≥1且≤3.5</t>
  </si>
  <si>
    <t>高坪区长乐镇CL-D20-01局部地块</t>
  </si>
  <si>
    <t>2019-01-24</t>
  </si>
  <si>
    <t>张海清、杨建琼</t>
  </si>
  <si>
    <t>1星</t>
  </si>
  <si>
    <t>嘉陵区凤棲新城片区Cd-2-8地块</t>
  </si>
  <si>
    <t>≥1且≤2.2</t>
  </si>
  <si>
    <t>2019-01-11</t>
  </si>
  <si>
    <t>四川颜龙房地产开发有限公司</t>
  </si>
  <si>
    <t>嘉陵区主城区Hf-2-5地块</t>
  </si>
  <si>
    <t>2018-12-29</t>
  </si>
  <si>
    <t>四川省宇恒房地产开发有限公司</t>
  </si>
  <si>
    <t>高坪区青莲街道拟出让QL—A—38—2/01</t>
  </si>
  <si>
    <t>2018-12-27</t>
  </si>
  <si>
    <t>南充航空港投资开发有限公司</t>
  </si>
  <si>
    <t>高坪区青莲街道拟出让QL—A—39—1/01</t>
  </si>
  <si>
    <t>高坪区青莲街道拟出让QL—A—38—3/01</t>
  </si>
  <si>
    <t>2018-12-25</t>
  </si>
  <si>
    <t>南充航空港投资有限公司</t>
  </si>
  <si>
    <t>高坪区青莲街道拟出让QL—A—12—1/01</t>
  </si>
  <si>
    <r>
      <rPr>
        <sz val="10"/>
        <rFont val="宋体"/>
        <family val="3"/>
        <charset val="134"/>
      </rPr>
      <t>高坪区青莲街道拟出让</t>
    </r>
    <r>
      <rPr>
        <sz val="11"/>
        <color theme="1"/>
        <rFont val="宋体"/>
        <family val="3"/>
        <charset val="134"/>
        <scheme val="minor"/>
      </rPr>
      <t>QL—A—38—1/01</t>
    </r>
    <phoneticPr fontId="3" type="noConversion"/>
  </si>
  <si>
    <t>≥1且≤2</t>
  </si>
  <si>
    <t>成都弘骏盛通实业有限公司</t>
  </si>
  <si>
    <t>4星</t>
  </si>
  <si>
    <t>嘉陵区主城区Aa-1-1拟出让地块</t>
  </si>
  <si>
    <t>2018-12-21</t>
  </si>
  <si>
    <t>四川铁投城乡投资建设集团有限责任公司</t>
  </si>
  <si>
    <r>
      <rPr>
        <sz val="10"/>
        <rFont val="宋体"/>
        <family val="3"/>
        <charset val="134"/>
      </rPr>
      <t>文峰片区拟出让</t>
    </r>
    <r>
      <rPr>
        <sz val="11"/>
        <color theme="1"/>
        <rFont val="宋体"/>
        <family val="3"/>
        <charset val="134"/>
        <scheme val="minor"/>
      </rPr>
      <t>C-a-02-01</t>
    </r>
    <r>
      <rPr>
        <sz val="10"/>
        <rFont val="宋体"/>
        <family val="3"/>
        <charset val="134"/>
      </rPr>
      <t>地块</t>
    </r>
    <phoneticPr fontId="3" type="noConversion"/>
  </si>
  <si>
    <t>成都捷源德实业有限公司</t>
  </si>
  <si>
    <t>嘉陵区凤棲新城片区春江路Bh-1-1地块</t>
  </si>
  <si>
    <t>2018-11-13</t>
  </si>
  <si>
    <t>四川省鸿华房地产开发有限公司</t>
  </si>
  <si>
    <t>江东新区二期片区拟出让Bd-1地块</t>
  </si>
  <si>
    <t>南充中南锦业置业有限公司</t>
  </si>
  <si>
    <t>斋公山片区拟出让Aa-4-1地块</t>
  </si>
  <si>
    <t>＞1且≤1.8</t>
  </si>
  <si>
    <t>2018-09-05</t>
  </si>
  <si>
    <t>成都关瑞企业管理有限公司</t>
  </si>
  <si>
    <r>
      <rPr>
        <sz val="10"/>
        <rFont val="宋体"/>
        <family val="3"/>
        <charset val="134"/>
      </rPr>
      <t>南充现代物流园</t>
    </r>
    <r>
      <rPr>
        <sz val="11"/>
        <color theme="1"/>
        <rFont val="宋体"/>
        <family val="3"/>
        <charset val="134"/>
        <scheme val="minor"/>
      </rPr>
      <t>Be-1-10</t>
    </r>
    <r>
      <rPr>
        <sz val="10"/>
        <rFont val="宋体"/>
        <family val="3"/>
        <charset val="134"/>
      </rPr>
      <t>号地块</t>
    </r>
    <phoneticPr fontId="3" type="noConversion"/>
  </si>
  <si>
    <t>＞1且≤3.8</t>
  </si>
  <si>
    <t>四川信智房地产开发有限公司</t>
    <phoneticPr fontId="3" type="noConversion"/>
  </si>
  <si>
    <t>江东新区二期拟出让Be-1-4地块</t>
  </si>
  <si>
    <t>＞1且≤3.5</t>
  </si>
  <si>
    <t>2018-08-22</t>
  </si>
  <si>
    <t>袁峰</t>
  </si>
  <si>
    <t>文峰片区拟出让C-a-02-03、C-a-02-04地块</t>
  </si>
  <si>
    <t>≥1,≤2.5</t>
  </si>
  <si>
    <t>2018-04-09</t>
  </si>
  <si>
    <t>重庆雅歌实业有限公司</t>
  </si>
  <si>
    <t>≥1,≤2.2</t>
  </si>
  <si>
    <t>高坪区青莲街道办陈家梁村20171208地块</t>
  </si>
  <si>
    <t>≥1,≤5</t>
  </si>
  <si>
    <t>2018-03-02</t>
  </si>
  <si>
    <t>2星</t>
  </si>
  <si>
    <t>高坪区青莲街道办陈家梁村20171204地块</t>
  </si>
  <si>
    <t>南充鹏来达投资有限责任公司</t>
  </si>
  <si>
    <t>溢价率</t>
    <phoneticPr fontId="31" type="noConversion"/>
  </si>
  <si>
    <t>零溢价</t>
    <phoneticPr fontId="31" type="noConversion"/>
  </si>
  <si>
    <t>低溢价</t>
    <phoneticPr fontId="31" type="noConversion"/>
  </si>
  <si>
    <t>未包含在土地购买价格中</t>
  </si>
  <si>
    <t>门房1</t>
    <phoneticPr fontId="3" type="noConversion"/>
  </si>
  <si>
    <t>门房2</t>
  </si>
  <si>
    <t>门房3</t>
  </si>
  <si>
    <t>是</t>
  </si>
  <si>
    <r>
      <t>8-</t>
    </r>
    <r>
      <rPr>
        <sz val="11"/>
        <color indexed="8"/>
        <rFont val="宋体"/>
        <family val="3"/>
        <charset val="134"/>
      </rPr>
      <t>其余层</t>
    </r>
    <phoneticPr fontId="3" type="noConversion"/>
  </si>
  <si>
    <t>幼儿园</t>
    <phoneticPr fontId="3" type="noConversion"/>
  </si>
  <si>
    <t>成本法</t>
  </si>
  <si>
    <t>假设开发法</t>
  </si>
  <si>
    <t>文峰片区拟出让B-a-04-02号地块</t>
    <phoneticPr fontId="143" type="noConversion"/>
  </si>
  <si>
    <t>零溢价</t>
    <phoneticPr fontId="31" type="noConversion"/>
  </si>
  <si>
    <t>零溢价</t>
    <phoneticPr fontId="31" type="noConversion"/>
  </si>
  <si>
    <r>
      <rPr>
        <sz val="10"/>
        <rFont val="宋体"/>
        <family val="3"/>
        <charset val="134"/>
      </rPr>
      <t>文峰片区拟出让</t>
    </r>
    <r>
      <rPr>
        <sz val="11"/>
        <color theme="1"/>
        <rFont val="宋体"/>
        <family val="3"/>
        <charset val="134"/>
        <scheme val="minor"/>
      </rPr>
      <t>B-b-03</t>
    </r>
    <r>
      <rPr>
        <sz val="10"/>
        <rFont val="宋体"/>
        <family val="3"/>
        <charset val="134"/>
      </rPr>
      <t>地块</t>
    </r>
    <phoneticPr fontId="3" type="noConversion"/>
  </si>
  <si>
    <t>文峰片区B-b-03</t>
    <phoneticPr fontId="3" type="noConversion"/>
  </si>
  <si>
    <t>地基</t>
    <phoneticPr fontId="3" type="noConversion"/>
  </si>
  <si>
    <t>封顶</t>
    <phoneticPr fontId="3" type="noConversion"/>
  </si>
  <si>
    <t>地上</t>
    <phoneticPr fontId="3" type="noConversion"/>
  </si>
  <si>
    <t>总楼层</t>
    <phoneticPr fontId="3" type="noConversion"/>
  </si>
  <si>
    <t>进度</t>
    <phoneticPr fontId="3" type="noConversion"/>
  </si>
  <si>
    <t>楼号</t>
    <phoneticPr fontId="3" type="noConversion"/>
  </si>
  <si>
    <t>已建</t>
    <phoneticPr fontId="3" type="noConversion"/>
  </si>
  <si>
    <t>楼栋</t>
    <phoneticPr fontId="143" type="noConversion"/>
  </si>
  <si>
    <t>层数</t>
    <phoneticPr fontId="143" type="noConversion"/>
  </si>
  <si>
    <t>建筑高度（m）</t>
    <phoneticPr fontId="143" type="noConversion"/>
  </si>
  <si>
    <t>户数</t>
    <phoneticPr fontId="143" type="noConversion"/>
  </si>
  <si>
    <t>地上计容面积（m2）</t>
    <phoneticPr fontId="143" type="noConversion"/>
  </si>
  <si>
    <t>架空层面积（m2）</t>
    <phoneticPr fontId="143" type="noConversion"/>
  </si>
  <si>
    <t>地上建筑面积（m2）</t>
    <phoneticPr fontId="143" type="noConversion"/>
  </si>
  <si>
    <t>地下建筑面积（m2）</t>
    <phoneticPr fontId="143" type="noConversion"/>
  </si>
  <si>
    <t>大门1</t>
    <phoneticPr fontId="143" type="noConversion"/>
  </si>
  <si>
    <t>/</t>
    <phoneticPr fontId="143" type="noConversion"/>
  </si>
  <si>
    <t>大门2</t>
    <phoneticPr fontId="143" type="noConversion"/>
  </si>
  <si>
    <t>大门3</t>
    <phoneticPr fontId="143" type="noConversion"/>
  </si>
  <si>
    <t>/</t>
    <phoneticPr fontId="143" type="noConversion"/>
  </si>
  <si>
    <t>在建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</si>
</sst>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5"/>
        <bgColor indexed="64"/>
      </patternFill>
    </fill>
    <fill>
      <patternFill patternType="solid">
        <fgColor theme="7"/>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0" fillId="0" borderId="0" xfId="0" applyFill="1" applyAlignment="1"/>
    <xf numFmtId="0" fontId="56" fillId="5" borderId="0" xfId="0" applyFont="1" applyFill="1" applyAlignment="1"/>
    <xf numFmtId="0" fontId="0" fillId="5" borderId="0" xfId="0" applyFill="1" applyAlignment="1"/>
    <xf numFmtId="14" fontId="0" fillId="5" borderId="0" xfId="0" applyNumberFormat="1" applyFill="1" applyAlignment="1"/>
    <xf numFmtId="0" fontId="19" fillId="5" borderId="0" xfId="0" applyFont="1" applyFill="1" applyAlignment="1"/>
    <xf numFmtId="0" fontId="56" fillId="17" borderId="0" xfId="0" applyFont="1" applyFill="1" applyAlignment="1"/>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pplyAlignment="1"/>
    <xf numFmtId="0" fontId="19" fillId="0" borderId="0" xfId="0" applyFont="1" applyFill="1" applyAlignment="1"/>
    <xf numFmtId="0" fontId="137"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83" fontId="50" fillId="6" borderId="0" xfId="0" applyNumberFormat="1" applyFont="1" applyFill="1" applyAlignment="1" applyProtection="1">
      <alignment horizontal="center" vertical="center"/>
      <protection locked="0"/>
    </xf>
    <xf numFmtId="197" fontId="50" fillId="6" borderId="0" xfId="17" applyNumberFormat="1" applyFont="1" applyFill="1" applyAlignment="1" applyProtection="1">
      <alignment vertical="center"/>
      <protection locked="0"/>
    </xf>
    <xf numFmtId="0" fontId="0" fillId="18" borderId="0" xfId="0" applyFill="1" applyBorder="1" applyAlignment="1" applyProtection="1">
      <alignment horizontal="center" vertical="center"/>
      <protection locked="0"/>
    </xf>
    <xf numFmtId="0" fontId="0" fillId="18" borderId="0" xfId="0" applyFill="1" applyBorder="1" applyAlignment="1" applyProtection="1">
      <alignment horizontal="center" vertical="center" wrapText="1"/>
      <protection locked="0"/>
    </xf>
    <xf numFmtId="0" fontId="0" fillId="0" borderId="0" xfId="0" applyBorder="1" applyAlignment="1">
      <alignment horizontal="center" vertical="center"/>
    </xf>
    <xf numFmtId="179" fontId="0" fillId="0" borderId="0" xfId="0" applyNumberFormat="1" applyBorder="1" applyAlignment="1">
      <alignment horizontal="center" vertical="center"/>
    </xf>
    <xf numFmtId="0" fontId="100" fillId="19" borderId="0" xfId="0" applyFont="1" applyFill="1" applyBorder="1" applyAlignment="1">
      <alignment horizontal="center" vertical="center"/>
    </xf>
    <xf numFmtId="0" fontId="0" fillId="0" borderId="19" xfId="0" applyBorder="1" applyAlignment="1">
      <alignment horizontal="center" vertical="center"/>
    </xf>
    <xf numFmtId="0" fontId="0" fillId="0" borderId="0" xfId="0" applyFill="1" applyBorder="1" applyAlignment="1">
      <alignment horizontal="center" vertical="center"/>
    </xf>
    <xf numFmtId="0" fontId="100" fillId="20" borderId="47" xfId="0" applyFont="1" applyFill="1" applyBorder="1" applyAlignment="1">
      <alignment horizontal="center" vertical="center"/>
    </xf>
    <xf numFmtId="0" fontId="100" fillId="11" borderId="47"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Border="1" applyAlignment="1">
      <alignment horizontal="center" vertical="center"/>
    </xf>
    <xf numFmtId="0" fontId="0" fillId="0" borderId="19"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1162050</xdr:colOff>
      <xdr:row>26</xdr:row>
      <xdr:rowOff>104775</xdr:rowOff>
    </xdr:from>
    <xdr:to>
      <xdr:col>9</xdr:col>
      <xdr:colOff>637287</xdr:colOff>
      <xdr:row>59</xdr:row>
      <xdr:rowOff>113592</xdr:rowOff>
    </xdr:to>
    <xdr:pic>
      <xdr:nvPicPr>
        <xdr:cNvPr id="4" name="图片 3"/>
        <xdr:cNvPicPr>
          <a:picLocks noChangeAspect="1"/>
        </xdr:cNvPicPr>
      </xdr:nvPicPr>
      <xdr:blipFill>
        <a:blip xmlns:r="http://schemas.openxmlformats.org/officeDocument/2006/relationships" r:embed="rId1"/>
        <a:stretch>
          <a:fillRect/>
        </a:stretch>
      </xdr:blipFill>
      <xdr:spPr>
        <a:xfrm>
          <a:off x="1162050" y="4572000"/>
          <a:ext cx="7104762" cy="5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四川省南充市出让国有建设用地使用权及在建建筑物房地产抵押价值预评估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受贵公司委托，我公司对四川省南充市出让国有建设用地使用权及在建建筑物房地产抵押价值进行了预评估。</v>
      </c>
    </row>
    <row r="7" spans="1:2" s="1596" customFormat="1">
      <c r="A7" s="1594" t="s">
        <v>1260</v>
      </c>
      <c r="B7" s="1595" t="str">
        <f>'预评函-1'!A7</f>
        <v>估价对象为四川省南充市出让国有建设用地使用权及在建建筑物房地产，为所有。根据《国有土地使用证》[]，估价对象（分摊）出让国有建设用地使用权面积为300.76平方米，建筑面积为976.025616697345平方米。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四川省南充市出让国有建设用地使用权及在建建筑物房地产,属开发建设的，该项目尚在开发建设中。根据《国有土地使用证》[]，估价对象（分摊）出让国有建设用地使用权面积为300.76平方米，规划建筑面积为976.025616697345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四川省南充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2019年4月19日（评估专业人员实地查勘之日）</v>
      </c>
    </row>
    <row r="13" spans="1:2" s="1596" customFormat="1">
      <c r="A13" s="1594" t="s">
        <v>1223</v>
      </c>
      <c r="B13" s="1595" t="str">
        <f>'预评函-1'!A18</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207</v>
      </c>
    </row>
    <row r="21" spans="1:2" s="1596" customFormat="1">
      <c r="A21" s="1594" t="s">
        <v>1231</v>
      </c>
      <c r="B21" s="1595">
        <f ca="1">'预评函-2'!D7</f>
        <v>2697</v>
      </c>
    </row>
    <row r="22" spans="1:2" s="1596" customFormat="1">
      <c r="A22" s="1594" t="s">
        <v>1232</v>
      </c>
      <c r="B22" s="1595" t="str">
        <f ca="1">'预评函-2'!D6</f>
        <v>贰佰零柒万元整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207</v>
      </c>
    </row>
    <row r="31" spans="1:2" s="1596" customFormat="1">
      <c r="A31" s="1594" t="s">
        <v>1270</v>
      </c>
      <c r="B31" s="1595">
        <f ca="1">'预评函-2'!D15</f>
        <v>2121</v>
      </c>
    </row>
    <row r="32" spans="1:2" s="1596" customFormat="1">
      <c r="A32" s="1594" t="s">
        <v>1237</v>
      </c>
      <c r="B32" s="1595" t="str">
        <f ca="1">'预评函-2'!D14</f>
        <v>贰佰零柒万元整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四川省南充市出让国有建设用地使用权及在建建筑物房地产</v>
      </c>
    </row>
    <row r="42" spans="1:2" s="1596" customFormat="1">
      <c r="A42" s="1594" t="s">
        <v>1284</v>
      </c>
      <c r="B42" s="1595" t="str">
        <f>'预评函-3'!B2</f>
        <v>建筑面积</v>
      </c>
    </row>
    <row r="43" spans="1:2" s="1596" customFormat="1">
      <c r="A43" s="1594" t="s">
        <v>1285</v>
      </c>
      <c r="B43" s="1595">
        <f>'预评函-3'!B4</f>
        <v>976.02561669734541</v>
      </c>
    </row>
    <row r="44" spans="1:2" s="1596" customFormat="1">
      <c r="A44" s="1594" t="s">
        <v>1269</v>
      </c>
      <c r="B44" s="1595" t="str">
        <f>'预评函-3'!C2</f>
        <v>(分摊)土地面积</v>
      </c>
    </row>
    <row r="45" spans="1:2" s="1596" customFormat="1">
      <c r="A45" s="1594" t="s">
        <v>1241</v>
      </c>
      <c r="B45" s="1595">
        <f>'预评函-3'!C4</f>
        <v>300.76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南充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2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5" t="s">
        <v>861</v>
      </c>
      <c r="C54" s="2022" t="s">
        <v>1277</v>
      </c>
    </row>
    <row r="55" spans="1:4">
      <c r="A55" s="3023"/>
      <c r="B55" s="2025" t="s">
        <v>862</v>
      </c>
      <c r="C55" s="2022" t="s">
        <v>1278</v>
      </c>
    </row>
    <row r="56" spans="1:4">
      <c r="A56" s="3023"/>
      <c r="B56" s="2025" t="s">
        <v>863</v>
      </c>
      <c r="C56" s="2022" t="s">
        <v>1282</v>
      </c>
    </row>
    <row r="57" spans="1:4">
      <c r="A57" s="302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1772</v>
      </c>
      <c r="B1" s="3032" t="str">
        <f>IF(B10="北京市","北京市",C10)&amp;F10&amp;IF(结果表!G1="在建","出让国有建设用地使用权及在建建筑物",IF(结果表!G1="土地","出让国有建设用地使用权",))&amp;B9&amp;"预评估"</f>
        <v>四川省南充市出让国有建设用地使用权及在建建筑物房地产抵押价值预评估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四川省南充市出让国有建设用地使用权及在建建筑物房地产抵押价值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四川省南充市出让国有建设用地使用权及在建建筑物房地产</v>
      </c>
    </row>
    <row r="3" spans="1:19" ht="18" customHeight="1">
      <c r="A3" s="2038" t="s">
        <v>1774</v>
      </c>
      <c r="B3" s="2039">
        <v>43574</v>
      </c>
      <c r="C3" s="2040" t="s">
        <v>1775</v>
      </c>
      <c r="D3" s="2039">
        <f>B3</f>
        <v>43574</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3054</v>
      </c>
      <c r="C8" s="2059"/>
      <c r="D8" s="3035" t="s">
        <v>1781</v>
      </c>
      <c r="E8" s="2060" t="s">
        <v>3055</v>
      </c>
      <c r="F8" s="2061"/>
      <c r="G8" s="2029"/>
      <c r="H8" s="2029"/>
      <c r="I8" s="2029"/>
      <c r="J8" s="2045"/>
      <c r="K8" s="2046"/>
      <c r="L8" s="2031"/>
      <c r="M8" s="2031"/>
      <c r="N8" s="2032"/>
      <c r="O8" s="2033"/>
      <c r="P8" s="2032"/>
      <c r="Q8" s="2032"/>
      <c r="R8" s="2032"/>
    </row>
    <row r="9" spans="1:19" ht="18" customHeight="1" thickBot="1">
      <c r="A9" s="2043" t="s">
        <v>1782</v>
      </c>
      <c r="B9" s="2062" t="s">
        <v>3055</v>
      </c>
      <c r="C9" s="2063"/>
      <c r="D9" s="3036"/>
      <c r="E9" s="2062"/>
      <c r="F9" s="2064"/>
      <c r="G9" s="2065"/>
      <c r="H9" s="2065"/>
      <c r="I9" s="2065"/>
      <c r="J9" s="2045"/>
      <c r="K9" s="2057"/>
      <c r="L9" s="2031"/>
      <c r="M9" s="2031"/>
      <c r="N9" s="2032"/>
      <c r="O9" s="2033"/>
      <c r="P9" s="2032"/>
      <c r="Q9" s="2032"/>
      <c r="R9" s="2032"/>
    </row>
    <row r="10" spans="1:19" ht="18" customHeight="1" thickTop="1">
      <c r="A10" s="2066" t="s">
        <v>1783</v>
      </c>
      <c r="B10" s="2067" t="s">
        <v>3056</v>
      </c>
      <c r="C10" s="2948" t="s">
        <v>3058</v>
      </c>
      <c r="D10" s="2050"/>
      <c r="E10" s="2068" t="s">
        <v>1784</v>
      </c>
      <c r="F10" s="2069"/>
      <c r="G10" s="2070"/>
      <c r="H10" s="2071"/>
      <c r="I10" s="2050"/>
      <c r="J10" s="2045"/>
      <c r="K10" s="2057"/>
      <c r="L10" s="2031"/>
      <c r="M10" s="2031"/>
      <c r="N10" s="2032"/>
      <c r="O10" s="2033"/>
      <c r="P10" s="2032"/>
      <c r="Q10" s="2032"/>
      <c r="R10" s="2032"/>
    </row>
    <row r="11" spans="1:19" ht="18" customHeight="1">
      <c r="A11" s="2072" t="s">
        <v>1785</v>
      </c>
      <c r="B11" s="2073" t="s">
        <v>3057</v>
      </c>
      <c r="C11" s="2074"/>
      <c r="D11" s="2075"/>
      <c r="E11" s="2045"/>
      <c r="F11" s="2045"/>
      <c r="G11" s="2045"/>
      <c r="H11" s="2045"/>
      <c r="I11" s="2045"/>
      <c r="J11" s="2045"/>
      <c r="K11" s="2057"/>
      <c r="L11" s="2031"/>
      <c r="M11" s="2031"/>
      <c r="N11" s="2032"/>
      <c r="O11" s="2033"/>
      <c r="P11" s="2032"/>
      <c r="Q11" s="2032"/>
      <c r="R11" s="2032"/>
    </row>
    <row r="12" spans="1:19" ht="18" customHeight="1">
      <c r="A12" s="2076" t="s">
        <v>1786</v>
      </c>
      <c r="B12" s="2073" t="s">
        <v>3059</v>
      </c>
      <c r="C12" s="2077" t="s">
        <v>1787</v>
      </c>
      <c r="D12" s="2078" t="s">
        <v>1788</v>
      </c>
      <c r="E12" s="2078" t="s">
        <v>1789</v>
      </c>
      <c r="F12" s="2078" t="s">
        <v>1790</v>
      </c>
      <c r="G12" s="2078" t="s">
        <v>1791</v>
      </c>
      <c r="H12" s="2078" t="s">
        <v>1792</v>
      </c>
      <c r="I12" s="2078" t="s">
        <v>1793</v>
      </c>
      <c r="J12" s="2045"/>
      <c r="K12" s="2057"/>
      <c r="L12" s="2031"/>
      <c r="M12" s="2031"/>
      <c r="N12" s="2032"/>
      <c r="O12" s="2033"/>
      <c r="P12" s="2032"/>
      <c r="Q12" s="2032"/>
      <c r="R12" s="2032"/>
    </row>
    <row r="13" spans="1:19" ht="18" customHeight="1">
      <c r="A13" s="2079"/>
      <c r="B13" s="2080"/>
      <c r="C13" s="2081" t="s">
        <v>1794</v>
      </c>
      <c r="D13" s="2082">
        <v>68902</v>
      </c>
      <c r="E13" s="2082"/>
      <c r="F13" s="2082"/>
      <c r="G13" s="2082"/>
      <c r="H13" s="2082"/>
      <c r="I13" s="1050"/>
      <c r="J13" s="2045"/>
      <c r="K13" s="2057"/>
      <c r="L13" s="2031"/>
      <c r="M13" s="2031"/>
      <c r="N13" s="2032"/>
      <c r="O13" s="2033"/>
      <c r="P13" s="2032"/>
      <c r="Q13" s="2032"/>
      <c r="R13" s="2032"/>
    </row>
    <row r="14" spans="1:19" ht="18" customHeight="1">
      <c r="A14" s="2079"/>
      <c r="B14" s="2080"/>
      <c r="C14" s="2081" t="s">
        <v>1795</v>
      </c>
      <c r="D14" s="1053">
        <v>70</v>
      </c>
      <c r="E14" s="1053"/>
      <c r="F14" s="1053"/>
      <c r="G14" s="1053"/>
      <c r="H14" s="1053"/>
      <c r="I14" s="1053"/>
      <c r="J14" s="2045"/>
      <c r="K14" s="2083"/>
      <c r="L14" s="2031"/>
      <c r="M14" s="2031"/>
      <c r="N14" s="2032"/>
      <c r="O14" s="2033"/>
      <c r="P14" s="2032"/>
      <c r="Q14" s="2032"/>
      <c r="R14" s="2032"/>
    </row>
    <row r="15" spans="1:19" ht="18" customHeight="1">
      <c r="A15" s="2066"/>
      <c r="B15" s="2084"/>
      <c r="C15" s="2081" t="s">
        <v>1796</v>
      </c>
      <c r="D15" s="1052">
        <f>IF(B12="出让",IF(D13="","",ROUNDDOWN(MIN((D13-$D$3)/365,D14),2)),D14)</f>
        <v>69.39</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1797</v>
      </c>
      <c r="B16" s="3042"/>
      <c r="C16" s="3043"/>
      <c r="D16" s="3044"/>
      <c r="E16" s="2088" t="s">
        <v>1798</v>
      </c>
      <c r="F16" s="3045"/>
      <c r="G16" s="3046"/>
      <c r="H16" s="3046"/>
      <c r="I16" s="3047"/>
      <c r="J16" s="2032"/>
      <c r="K16" s="2085"/>
      <c r="L16" s="2086"/>
      <c r="M16" s="2086"/>
      <c r="N16" s="2087"/>
      <c r="O16" s="2086"/>
      <c r="P16" s="2087"/>
      <c r="Q16" s="2032"/>
      <c r="R16" s="2032"/>
    </row>
    <row r="17" spans="1:22" ht="18" customHeight="1">
      <c r="A17" s="2089" t="s">
        <v>1799</v>
      </c>
      <c r="B17" s="2038" t="s">
        <v>1800</v>
      </c>
      <c r="C17" s="1057">
        <f>'数据-汇总表'!E3</f>
        <v>976.02561669734541</v>
      </c>
      <c r="D17" s="2090" t="s">
        <v>1801</v>
      </c>
      <c r="E17" s="3048" t="s">
        <v>1802</v>
      </c>
      <c r="F17" s="3049"/>
      <c r="G17" s="3049"/>
      <c r="H17" s="3049"/>
      <c r="I17" s="3050"/>
      <c r="J17" s="2032"/>
      <c r="K17" s="2091"/>
      <c r="L17" s="2086"/>
      <c r="M17" s="2086"/>
      <c r="N17" s="2087"/>
      <c r="O17" s="2086"/>
      <c r="P17" s="2087"/>
      <c r="Q17" s="2032"/>
      <c r="R17" s="2032"/>
      <c r="S17" s="2032"/>
      <c r="T17" s="2032"/>
      <c r="U17" s="2032"/>
      <c r="V17" s="2032"/>
    </row>
    <row r="18" spans="1:22" ht="36" customHeight="1" thickBot="1">
      <c r="A18" s="2092" t="s">
        <v>1803</v>
      </c>
      <c r="B18" s="2041" t="s">
        <v>1804</v>
      </c>
      <c r="C18" s="1447">
        <f>'数据-汇总表'!D3</f>
        <v>300.76</v>
      </c>
      <c r="D18" s="2093" t="s">
        <v>1801</v>
      </c>
      <c r="E18" s="3051" t="s">
        <v>1805</v>
      </c>
      <c r="F18" s="3052"/>
      <c r="G18" s="3052"/>
      <c r="H18" s="3052"/>
      <c r="I18" s="3053"/>
      <c r="J18" s="2032"/>
      <c r="K18" s="2091"/>
      <c r="L18" s="2086"/>
      <c r="M18" s="2086"/>
      <c r="N18" s="2087"/>
      <c r="O18" s="2086"/>
      <c r="P18" s="2087"/>
      <c r="Q18" s="2032"/>
      <c r="R18" s="2032"/>
      <c r="S18" s="2032"/>
      <c r="T18" s="2032"/>
      <c r="U18" s="2032"/>
      <c r="V18" s="2032"/>
    </row>
    <row r="19" spans="1:22" ht="37.5" customHeight="1" thickTop="1" thickBot="1">
      <c r="A19" s="373" t="s">
        <v>1806</v>
      </c>
      <c r="B19" s="352" t="s">
        <v>1807</v>
      </c>
      <c r="C19" s="2094"/>
      <c r="D19" s="2095" t="s">
        <v>1808</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1809</v>
      </c>
      <c r="B20" s="3038" t="s">
        <v>1810</v>
      </c>
      <c r="C20" s="3039"/>
      <c r="D20" s="3040" t="s">
        <v>1811</v>
      </c>
      <c r="E20" s="3041"/>
      <c r="F20" s="2100" t="s">
        <v>1812</v>
      </c>
      <c r="G20" s="2045"/>
      <c r="H20" s="2045"/>
      <c r="I20" s="2045"/>
      <c r="J20" s="2045"/>
      <c r="K20" s="303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1814</v>
      </c>
      <c r="C21" s="2102" t="s">
        <v>1815</v>
      </c>
      <c r="D21" s="2103" t="s">
        <v>1816</v>
      </c>
      <c r="E21" s="2104" t="s">
        <v>1815</v>
      </c>
      <c r="F21" s="2105"/>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1817</v>
      </c>
      <c r="C22" s="2102" t="s">
        <v>1818</v>
      </c>
      <c r="D22" s="2029"/>
      <c r="E22" s="2029"/>
      <c r="F22" s="2107"/>
      <c r="G22" s="2045"/>
      <c r="H22" s="2045"/>
      <c r="I22" s="2045"/>
      <c r="J22" s="2045"/>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1819</v>
      </c>
      <c r="B23" s="183" t="s">
        <v>1820</v>
      </c>
      <c r="C23" s="2109"/>
      <c r="D23" s="2110" t="s">
        <v>1820</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1821</v>
      </c>
      <c r="C24" s="2114"/>
      <c r="D24" s="2108" t="s">
        <v>1821</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1822</v>
      </c>
      <c r="C25" s="2114"/>
      <c r="D25" s="2108" t="s">
        <v>1822</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1823</v>
      </c>
      <c r="C26" s="2118"/>
      <c r="D26" s="2119" t="s">
        <v>1824</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25" t="s">
        <v>1825</v>
      </c>
      <c r="B27" s="2066" t="s">
        <v>1826</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25"/>
      <c r="B28" s="2038" t="s">
        <v>1827</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25"/>
      <c r="B29" s="2038" t="s">
        <v>1828</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26"/>
      <c r="B30" s="2038" t="s">
        <v>1829</v>
      </c>
      <c r="C30" s="3027"/>
      <c r="D30" s="3028"/>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29" t="s">
        <v>1830</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30"/>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30"/>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6"/>
      <c r="C34" s="2136"/>
      <c r="D34" s="2136"/>
      <c r="E34" s="2136"/>
      <c r="F34" s="2136"/>
      <c r="G34" s="2136"/>
      <c r="H34" s="2136"/>
      <c r="I34" s="2045"/>
      <c r="J34" s="2045"/>
      <c r="K34" s="1798">
        <f>COUNTIF(B34:H34,"——")</f>
        <v>0</v>
      </c>
      <c r="L34" s="2077" t="s">
        <v>1832</v>
      </c>
      <c r="M34" s="2077" t="s">
        <v>1833</v>
      </c>
      <c r="N34" s="2077" t="s">
        <v>1834</v>
      </c>
      <c r="O34" s="2077" t="s">
        <v>1835</v>
      </c>
      <c r="P34" s="2077" t="s">
        <v>1836</v>
      </c>
      <c r="Q34" s="2077" t="s">
        <v>1837</v>
      </c>
      <c r="R34" s="2077" t="s">
        <v>1838</v>
      </c>
      <c r="S34" s="3024" t="s">
        <v>1839</v>
      </c>
      <c r="T34" s="2137" t="str">
        <f>NUMBERSTRING(7-K34,1)&amp;"通"</f>
        <v>七通</v>
      </c>
      <c r="U34" s="2032"/>
      <c r="V34" s="2032"/>
    </row>
    <row r="35" spans="1:22" ht="18" customHeight="1">
      <c r="A35" s="2138"/>
      <c r="B35" s="3031" t="s">
        <v>1840</v>
      </c>
      <c r="C35" s="3031"/>
      <c r="D35" s="3031"/>
      <c r="E35" s="3031"/>
      <c r="F35" s="2139" t="str">
        <f>C10</f>
        <v>四川省南充市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32"/>
      <c r="V35" s="2032"/>
    </row>
    <row r="36" spans="1:22" ht="18" customHeight="1">
      <c r="A36" s="2140"/>
      <c r="B36" s="2139" t="s">
        <v>1841</v>
      </c>
      <c r="C36" s="2139" t="s">
        <v>1842</v>
      </c>
      <c r="D36" s="2139" t="s">
        <v>1843</v>
      </c>
      <c r="E36" s="2139" t="s">
        <v>1844</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1845</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1846</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1848</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1849</v>
      </c>
      <c r="B42" s="1798" t="s">
        <v>1850</v>
      </c>
      <c r="C42" s="1798" t="s">
        <v>1851</v>
      </c>
      <c r="D42" s="1798" t="s">
        <v>1852</v>
      </c>
      <c r="E42" s="1798" t="s">
        <v>1853</v>
      </c>
      <c r="F42" s="1798" t="s">
        <v>1854</v>
      </c>
      <c r="G42" s="1798" t="s">
        <v>1855</v>
      </c>
      <c r="H42" s="1798" t="s">
        <v>1856</v>
      </c>
      <c r="I42" s="1798" t="s">
        <v>1857</v>
      </c>
      <c r="J42" s="2155" t="s">
        <v>1858</v>
      </c>
      <c r="K42" s="2078" t="s">
        <v>1859</v>
      </c>
      <c r="L42" s="2078" t="s">
        <v>1860</v>
      </c>
      <c r="M42" s="2078" t="s">
        <v>1861</v>
      </c>
      <c r="N42" s="1798" t="s">
        <v>1862</v>
      </c>
      <c r="O42" s="1798" t="s">
        <v>1863</v>
      </c>
      <c r="P42" s="1798" t="s">
        <v>1864</v>
      </c>
      <c r="Q42" s="2077" t="s">
        <v>1865</v>
      </c>
      <c r="R42" s="2077" t="s">
        <v>1866</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J29" sqref="AJ2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125549</v>
      </c>
      <c r="B3" s="14">
        <f>IF(C3="否",G5-AT5,G5)</f>
        <v>407429.61</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6"/>
      <c r="C5" s="1806"/>
      <c r="D5" s="1809"/>
      <c r="E5" s="16" t="s">
        <v>1</v>
      </c>
      <c r="F5" s="16">
        <f>SUM(F13:F587)</f>
        <v>0</v>
      </c>
      <c r="G5" s="16">
        <f>SUM(G13:G587)</f>
        <v>407429.61</v>
      </c>
      <c r="H5" s="16">
        <f t="shared" ref="H5:AT5" si="0">SUM(H13:H656)</f>
        <v>309132.99</v>
      </c>
      <c r="I5" s="16">
        <f t="shared" si="0"/>
        <v>309132.99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98296.620000000024</v>
      </c>
      <c r="AD5" s="16">
        <f t="shared" si="0"/>
        <v>3990.8500000000004</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94305.770000000019</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976.02561669734541</v>
      </c>
      <c r="BA5" s="18">
        <f t="shared" si="1"/>
        <v>767.44</v>
      </c>
      <c r="BB5" s="18">
        <f t="shared" si="1"/>
        <v>767.44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208.58561669734539</v>
      </c>
      <c r="BM5" s="18">
        <f t="shared" si="1"/>
        <v>0</v>
      </c>
      <c r="BN5" s="18">
        <f t="shared" si="1"/>
        <v>0</v>
      </c>
      <c r="BO5" s="18">
        <f t="shared" si="1"/>
        <v>0</v>
      </c>
      <c r="BP5" s="18">
        <f t="shared" si="1"/>
        <v>0</v>
      </c>
      <c r="BQ5" s="18">
        <f t="shared" si="1"/>
        <v>0</v>
      </c>
      <c r="BR5" s="18">
        <f t="shared" si="1"/>
        <v>208.58561669734539</v>
      </c>
      <c r="BS5" s="18">
        <f t="shared" si="1"/>
        <v>0</v>
      </c>
      <c r="BT5" s="19">
        <f t="shared" si="1"/>
        <v>0</v>
      </c>
    </row>
    <row r="6" spans="1:72" s="2180" customFormat="1" ht="12.75">
      <c r="A6" s="15" t="s">
        <v>1877</v>
      </c>
      <c r="B6" s="2177"/>
      <c r="C6" s="2177"/>
      <c r="D6" s="2178"/>
      <c r="E6" s="16">
        <f>H6+AC6+AT6</f>
        <v>125549</v>
      </c>
      <c r="F6" s="16" t="s">
        <v>1</v>
      </c>
      <c r="G6" s="16" t="s">
        <v>2</v>
      </c>
      <c r="H6" s="20">
        <f>SUMIF(I$12:AB$12,"总值",I6:AB6)</f>
        <v>95259</v>
      </c>
      <c r="I6" s="16">
        <f t="shared" ref="I6:AB6" si="2">ROUND($A$3*I5/$B$3,2)</f>
        <v>95259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30290</v>
      </c>
      <c r="AD6" s="16">
        <f t="shared" ref="AD6:AS6" si="3">ROUND($A$3*AD5/$B$3,2)</f>
        <v>1229.78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29060.22</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300.76</v>
      </c>
      <c r="AZ6" s="16" t="s">
        <v>3</v>
      </c>
      <c r="BA6" s="16">
        <f>ROUND($AY$6*BA5/$AZ$5,2)</f>
        <v>236.48</v>
      </c>
      <c r="BB6" s="16">
        <f>ROUND($AY$6*BB5/$AZ$5,2)</f>
        <v>236.48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64.28</v>
      </c>
      <c r="BM6" s="16">
        <f t="shared" si="5"/>
        <v>0</v>
      </c>
      <c r="BN6" s="16">
        <f t="shared" si="5"/>
        <v>0</v>
      </c>
      <c r="BO6" s="16">
        <f t="shared" si="5"/>
        <v>0</v>
      </c>
      <c r="BP6" s="16">
        <f t="shared" si="5"/>
        <v>0</v>
      </c>
      <c r="BQ6" s="16">
        <f t="shared" si="5"/>
        <v>0</v>
      </c>
      <c r="BR6" s="16">
        <f t="shared" si="5"/>
        <v>64.28</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1885</v>
      </c>
      <c r="AV7" s="23" t="s">
        <v>1886</v>
      </c>
      <c r="AW7" s="2169" t="s">
        <v>1887</v>
      </c>
      <c r="AX7" s="23" t="s">
        <v>1880</v>
      </c>
      <c r="AY7" s="1806"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1"/>
      <c r="K8" s="1821"/>
      <c r="L8" s="1821"/>
      <c r="M8" s="1821"/>
      <c r="N8" s="1821"/>
      <c r="O8" s="1821"/>
      <c r="P8" s="1821"/>
      <c r="Q8" s="1821"/>
      <c r="R8" s="1821"/>
      <c r="S8" s="1821"/>
      <c r="T8" s="1821"/>
      <c r="U8" s="1821"/>
      <c r="V8" s="2189"/>
      <c r="W8" s="1821"/>
      <c r="X8" s="1821"/>
      <c r="Y8" s="1821"/>
      <c r="Z8" s="1821"/>
      <c r="AA8" s="2189"/>
      <c r="AB8" s="2190"/>
      <c r="AC8" s="984" t="s">
        <v>1891</v>
      </c>
      <c r="AD8" s="2191"/>
      <c r="AE8" s="2183"/>
      <c r="AF8" s="1821"/>
      <c r="AG8" s="1821"/>
      <c r="AH8" s="1821"/>
      <c r="AI8" s="1821"/>
      <c r="AJ8" s="1821"/>
      <c r="AK8" s="1821"/>
      <c r="AL8" s="1821"/>
      <c r="AM8" s="1821"/>
      <c r="AN8" s="1821"/>
      <c r="AO8" s="1821"/>
      <c r="AP8" s="1821"/>
      <c r="AQ8" s="1821"/>
      <c r="AR8" s="1821"/>
      <c r="AS8" s="1821"/>
      <c r="AT8" s="1295" t="s">
        <v>1892</v>
      </c>
      <c r="AU8" s="2185" t="s">
        <v>1893</v>
      </c>
      <c r="AV8" s="1295"/>
      <c r="AW8" s="2168"/>
      <c r="AX8" s="1295"/>
      <c r="AY8" s="2169"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1896</v>
      </c>
      <c r="I9" s="2194" t="s">
        <v>3061</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1"/>
      <c r="BN9" s="2188"/>
      <c r="BO9" s="1821"/>
      <c r="BP9" s="1821"/>
      <c r="BQ9" s="1821"/>
      <c r="BR9" s="1821"/>
      <c r="BS9" s="1821"/>
      <c r="BT9" s="26"/>
    </row>
    <row r="10" spans="1:72" s="2192" customFormat="1" ht="12.75">
      <c r="A10" s="2185"/>
      <c r="B10" s="2185"/>
      <c r="C10" s="2185"/>
      <c r="D10" s="2185"/>
      <c r="E10" s="2185"/>
      <c r="F10" s="2185"/>
      <c r="G10" s="1295"/>
      <c r="H10" s="28"/>
      <c r="I10" s="2194" t="s">
        <v>3062</v>
      </c>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2"/>
      <c r="AF11" s="2207" t="s">
        <v>1906</v>
      </c>
      <c r="AG11" s="1822"/>
      <c r="AH11" s="2207" t="s">
        <v>1907</v>
      </c>
      <c r="AI11" s="2208"/>
      <c r="AJ11" s="2207" t="s">
        <v>1907</v>
      </c>
      <c r="AK11" s="1822"/>
      <c r="AL11" s="1820"/>
      <c r="AM11" s="1822"/>
      <c r="AN11" s="1820"/>
      <c r="AO11" s="1822"/>
      <c r="AP11" s="1820"/>
      <c r="AQ11" s="1822"/>
      <c r="AR11" s="1820"/>
      <c r="AS11" s="1822"/>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2"/>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v>1</v>
      </c>
      <c r="D13" s="2216" t="s">
        <v>3060</v>
      </c>
      <c r="E13" s="16">
        <f>IF($C$3="是",ROUND($A$3*G13/$B$3,2),ROUND($A$3*(G13-AT13)/$B$3,2))</f>
        <v>13225.53</v>
      </c>
      <c r="F13" s="32"/>
      <c r="G13" s="33">
        <f>H13+AC13+AT13</f>
        <v>42919.267443440389</v>
      </c>
      <c r="H13" s="20">
        <f>SUMIF(I$12:AB$12,"总值",I13:AB13)</f>
        <v>32553.02</v>
      </c>
      <c r="I13" s="2217">
        <v>32553.02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10366.247443440387</v>
      </c>
      <c r="AD13" s="2218"/>
      <c r="AE13" s="2218"/>
      <c r="AF13" s="2218"/>
      <c r="AG13" s="2218"/>
      <c r="AH13" s="2218"/>
      <c r="AI13" s="2218"/>
      <c r="AJ13" s="2218"/>
      <c r="AK13" s="2218"/>
      <c r="AL13" s="2218"/>
      <c r="AM13" s="2218"/>
      <c r="AN13" s="2218">
        <v>10366.247443440387</v>
      </c>
      <c r="AO13" s="2218"/>
      <c r="AP13" s="2218"/>
      <c r="AQ13" s="2218"/>
      <c r="AR13" s="2218"/>
      <c r="AS13" s="2218"/>
      <c r="AT13" s="2219"/>
      <c r="AU13" s="2220"/>
      <c r="AV13" s="11">
        <f t="shared" ref="AV13:AX17" si="6">A13</f>
        <v>0</v>
      </c>
      <c r="AW13" s="11">
        <f t="shared" si="6"/>
        <v>0</v>
      </c>
      <c r="AX13" s="11">
        <f t="shared" si="6"/>
        <v>1</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v>2</v>
      </c>
      <c r="D14" s="2216" t="s">
        <v>3060</v>
      </c>
      <c r="E14" s="16">
        <f>IF($C$3="是",ROUND($A$3*G14/$B$3,2),ROUND($A$3*(G14-AT14)/$B$3,2))</f>
        <v>5024.49</v>
      </c>
      <c r="F14" s="32"/>
      <c r="G14" s="33">
        <f>H14+AC14+AT14</f>
        <v>16305.382651312173</v>
      </c>
      <c r="H14" s="20">
        <f>SUMIF(I$12:AB$12,"总值",I14:AB14)</f>
        <v>12367.16</v>
      </c>
      <c r="I14" s="2217">
        <v>12367.16</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3938.2226513121736</v>
      </c>
      <c r="AD14" s="2218"/>
      <c r="AE14" s="2218"/>
      <c r="AF14" s="2218"/>
      <c r="AG14" s="2218"/>
      <c r="AH14" s="2218"/>
      <c r="AI14" s="2218"/>
      <c r="AJ14" s="2218"/>
      <c r="AK14" s="2218"/>
      <c r="AL14" s="2218"/>
      <c r="AM14" s="2218"/>
      <c r="AN14" s="2218">
        <v>3938.2226513121736</v>
      </c>
      <c r="AO14" s="2218"/>
      <c r="AP14" s="2218"/>
      <c r="AQ14" s="2218"/>
      <c r="AR14" s="2218"/>
      <c r="AS14" s="2218"/>
      <c r="AT14" s="2219"/>
      <c r="AU14" s="2220"/>
      <c r="AV14" s="11">
        <f t="shared" si="6"/>
        <v>0</v>
      </c>
      <c r="AW14" s="11">
        <f t="shared" si="6"/>
        <v>0</v>
      </c>
      <c r="AX14" s="11">
        <f t="shared" si="6"/>
        <v>2</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v>3</v>
      </c>
      <c r="D15" s="2216" t="s">
        <v>3060</v>
      </c>
      <c r="E15" s="16">
        <f>IF($C$3="是",ROUND($A$3*G15/$B$3,2),ROUND($A$3*(G15-AT15)/$B$3,2))</f>
        <v>6116.91</v>
      </c>
      <c r="F15" s="32"/>
      <c r="G15" s="33">
        <f>H15+AC15+AT15</f>
        <v>19850.514864646546</v>
      </c>
      <c r="H15" s="20">
        <f>SUMIF(I$12:AB$12,"总值",I15:AB15)</f>
        <v>15056.04</v>
      </c>
      <c r="I15" s="2217">
        <v>15056.04</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4794.4748646465432</v>
      </c>
      <c r="AD15" s="2218"/>
      <c r="AE15" s="2218"/>
      <c r="AF15" s="2218"/>
      <c r="AG15" s="2218"/>
      <c r="AH15" s="2218"/>
      <c r="AI15" s="2218"/>
      <c r="AJ15" s="2218"/>
      <c r="AK15" s="2218"/>
      <c r="AL15" s="2218"/>
      <c r="AM15" s="2218"/>
      <c r="AN15" s="2218">
        <v>4794.4748646465432</v>
      </c>
      <c r="AO15" s="2218"/>
      <c r="AP15" s="2218"/>
      <c r="AQ15" s="2218"/>
      <c r="AR15" s="2218"/>
      <c r="AS15" s="2218"/>
      <c r="AT15" s="2219"/>
      <c r="AU15" s="2220"/>
      <c r="AV15" s="11">
        <f t="shared" si="6"/>
        <v>0</v>
      </c>
      <c r="AW15" s="11">
        <f t="shared" si="6"/>
        <v>0</v>
      </c>
      <c r="AX15" s="11">
        <f t="shared" si="6"/>
        <v>3</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v>4</v>
      </c>
      <c r="D16" s="2216" t="s">
        <v>3060</v>
      </c>
      <c r="E16" s="16">
        <f>IF($C$3="是",ROUND($A$3*G16/$B$3,2),ROUND($A$3*(G16-AT16)/$B$3,2))</f>
        <v>4818.49</v>
      </c>
      <c r="F16" s="32"/>
      <c r="G16" s="33">
        <f>H16+AC16+AT16</f>
        <v>15636.893025100915</v>
      </c>
      <c r="H16" s="20">
        <f>SUMIF(I$12:AB$12,"总值",I16:AB16)</f>
        <v>11860.13</v>
      </c>
      <c r="I16" s="2217">
        <v>11860.13</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3776.7630251009164</v>
      </c>
      <c r="AD16" s="2218"/>
      <c r="AE16" s="2218"/>
      <c r="AF16" s="2218"/>
      <c r="AG16" s="2218"/>
      <c r="AH16" s="2218"/>
      <c r="AI16" s="2218"/>
      <c r="AJ16" s="2218"/>
      <c r="AK16" s="2218"/>
      <c r="AL16" s="2218"/>
      <c r="AM16" s="2218"/>
      <c r="AN16" s="2218">
        <v>3776.7630251009164</v>
      </c>
      <c r="AO16" s="2218"/>
      <c r="AP16" s="2218"/>
      <c r="AQ16" s="2218"/>
      <c r="AR16" s="2218"/>
      <c r="AS16" s="2218"/>
      <c r="AT16" s="2219"/>
      <c r="AU16" s="2220"/>
      <c r="AV16" s="11">
        <f t="shared" si="6"/>
        <v>0</v>
      </c>
      <c r="AW16" s="11">
        <f t="shared" si="6"/>
        <v>0</v>
      </c>
      <c r="AX16" s="11">
        <f t="shared" si="6"/>
        <v>4</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963" t="s">
        <v>3166</v>
      </c>
      <c r="D17" s="2216" t="s">
        <v>3060</v>
      </c>
      <c r="E17" s="16">
        <f>IF($C$3="是",ROUND($A$3*G17/$B$3,2),ROUND($A$3*(G17-AT17)/$B$3,2))</f>
        <v>1217.3499999999999</v>
      </c>
      <c r="F17" s="32"/>
      <c r="G17" s="33">
        <f>H17+AC17+AT17</f>
        <v>3950.53</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3950.53</v>
      </c>
      <c r="AD17" s="2218">
        <v>3950.53</v>
      </c>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幼儿园</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6</v>
      </c>
      <c r="D18" s="2221" t="s">
        <v>3060</v>
      </c>
      <c r="E18" s="35">
        <f t="shared" ref="E18:E112" si="7">IF($C$3="是",ROUND($A$3*G18/$B$3,2),ROUND($A$3*(G18-AT18)/$B$3,2))</f>
        <v>6373</v>
      </c>
      <c r="F18" s="36"/>
      <c r="G18" s="37">
        <f t="shared" ref="G18:G109" si="8">H18+AC18+AT18</f>
        <v>20681.542015499981</v>
      </c>
      <c r="H18" s="38">
        <f t="shared" ref="H18:H109" si="9">SUMIF(I$12:AB$12,"总值",I18:AB18)</f>
        <v>15686.35</v>
      </c>
      <c r="I18" s="39">
        <v>15686.35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4995.1920154999789</v>
      </c>
      <c r="AD18" s="40"/>
      <c r="AE18" s="40"/>
      <c r="AF18" s="40"/>
      <c r="AG18" s="40"/>
      <c r="AH18" s="40"/>
      <c r="AI18" s="40"/>
      <c r="AJ18" s="40"/>
      <c r="AK18" s="40"/>
      <c r="AL18" s="40"/>
      <c r="AM18" s="40"/>
      <c r="AN18" s="40">
        <v>4995.1920154999789</v>
      </c>
      <c r="AO18" s="40"/>
      <c r="AP18" s="40"/>
      <c r="AQ18" s="40"/>
      <c r="AR18" s="40"/>
      <c r="AS18" s="40"/>
      <c r="AT18" s="41"/>
      <c r="AU18" s="2222"/>
      <c r="AV18" s="1798">
        <f t="shared" ref="AV18:AV112" si="11">A18</f>
        <v>0</v>
      </c>
      <c r="AW18" s="1798">
        <f t="shared" ref="AW18:AW112" si="12">B18</f>
        <v>0</v>
      </c>
      <c r="AX18" s="1798">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v>
      </c>
      <c r="D19" s="2221" t="s">
        <v>3060</v>
      </c>
      <c r="E19" s="35">
        <f t="shared" si="7"/>
        <v>5358.41</v>
      </c>
      <c r="F19" s="36"/>
      <c r="G19" s="37">
        <f t="shared" si="8"/>
        <v>17389.036397639076</v>
      </c>
      <c r="H19" s="38">
        <f t="shared" si="9"/>
        <v>13672.84</v>
      </c>
      <c r="I19" s="39">
        <v>13672.84</v>
      </c>
      <c r="J19" s="39"/>
      <c r="K19" s="39"/>
      <c r="L19" s="39"/>
      <c r="M19" s="39"/>
      <c r="N19" s="39"/>
      <c r="O19" s="39"/>
      <c r="P19" s="39"/>
      <c r="Q19" s="39"/>
      <c r="R19" s="39"/>
      <c r="S19" s="39"/>
      <c r="T19" s="39"/>
      <c r="U19" s="39"/>
      <c r="V19" s="39"/>
      <c r="W19" s="39"/>
      <c r="X19" s="39"/>
      <c r="Y19" s="39"/>
      <c r="Z19" s="39"/>
      <c r="AA19" s="39"/>
      <c r="AB19" s="39"/>
      <c r="AC19" s="35">
        <f t="shared" si="10"/>
        <v>3716.1963976390757</v>
      </c>
      <c r="AD19" s="40"/>
      <c r="AE19" s="40"/>
      <c r="AF19" s="40"/>
      <c r="AG19" s="40"/>
      <c r="AH19" s="40"/>
      <c r="AI19" s="40"/>
      <c r="AJ19" s="40"/>
      <c r="AK19" s="40"/>
      <c r="AL19" s="40"/>
      <c r="AM19" s="40"/>
      <c r="AN19" s="40">
        <v>3716.1963976390757</v>
      </c>
      <c r="AO19" s="40"/>
      <c r="AP19" s="40"/>
      <c r="AQ19" s="40"/>
      <c r="AR19" s="40"/>
      <c r="AS19" s="40"/>
      <c r="AT19" s="41"/>
      <c r="AU19" s="2222"/>
      <c r="AV19" s="1798">
        <f t="shared" si="11"/>
        <v>0</v>
      </c>
      <c r="AW19" s="1798">
        <f t="shared" si="12"/>
        <v>0</v>
      </c>
      <c r="AX19" s="1798">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3063</v>
      </c>
      <c r="D20" s="2221" t="s">
        <v>3164</v>
      </c>
      <c r="E20" s="35">
        <f t="shared" si="7"/>
        <v>300.76</v>
      </c>
      <c r="F20" s="36"/>
      <c r="G20" s="37">
        <f t="shared" si="8"/>
        <v>976.02561669734541</v>
      </c>
      <c r="H20" s="38">
        <f t="shared" si="9"/>
        <v>767.44</v>
      </c>
      <c r="I20" s="39">
        <v>767.44</v>
      </c>
      <c r="J20" s="39"/>
      <c r="K20" s="39"/>
      <c r="L20" s="39"/>
      <c r="M20" s="39"/>
      <c r="N20" s="39"/>
      <c r="O20" s="39"/>
      <c r="P20" s="39"/>
      <c r="Q20" s="39"/>
      <c r="R20" s="39"/>
      <c r="S20" s="39"/>
      <c r="T20" s="39"/>
      <c r="U20" s="39"/>
      <c r="V20" s="39"/>
      <c r="W20" s="39"/>
      <c r="X20" s="39"/>
      <c r="Y20" s="39"/>
      <c r="Z20" s="39"/>
      <c r="AA20" s="39"/>
      <c r="AB20" s="39"/>
      <c r="AC20" s="35">
        <f t="shared" si="10"/>
        <v>208.58561669734539</v>
      </c>
      <c r="AD20" s="40"/>
      <c r="AE20" s="40"/>
      <c r="AF20" s="40"/>
      <c r="AG20" s="40"/>
      <c r="AH20" s="40"/>
      <c r="AI20" s="40"/>
      <c r="AJ20" s="40"/>
      <c r="AK20" s="40"/>
      <c r="AL20" s="40"/>
      <c r="AM20" s="40"/>
      <c r="AN20" s="40">
        <v>208.58561669734539</v>
      </c>
      <c r="AO20" s="40"/>
      <c r="AP20" s="40"/>
      <c r="AQ20" s="40"/>
      <c r="AR20" s="40"/>
      <c r="AS20" s="40"/>
      <c r="AT20" s="41"/>
      <c r="AU20" s="2222"/>
      <c r="AV20" s="1798">
        <f t="shared" si="11"/>
        <v>0</v>
      </c>
      <c r="AW20" s="1798">
        <f t="shared" si="12"/>
        <v>0</v>
      </c>
      <c r="AX20" s="1798" t="str">
        <f t="shared" si="13"/>
        <v>8-2层</v>
      </c>
      <c r="AY20" s="42">
        <f t="shared" si="14"/>
        <v>300.76</v>
      </c>
      <c r="AZ20" s="35">
        <f t="shared" si="15"/>
        <v>976.02561669734541</v>
      </c>
      <c r="BA20" s="35">
        <f t="shared" si="16"/>
        <v>767.44</v>
      </c>
      <c r="BB20" s="35">
        <f t="shared" si="17"/>
        <v>767.44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208.58561669734539</v>
      </c>
      <c r="BM20" s="35">
        <f t="shared" si="28"/>
        <v>0</v>
      </c>
      <c r="BN20" s="35">
        <f t="shared" si="29"/>
        <v>0</v>
      </c>
      <c r="BO20" s="35">
        <f t="shared" si="30"/>
        <v>0</v>
      </c>
      <c r="BP20" s="35">
        <f t="shared" si="31"/>
        <v>0</v>
      </c>
      <c r="BQ20" s="35">
        <f t="shared" si="32"/>
        <v>0</v>
      </c>
      <c r="BR20" s="35">
        <f t="shared" si="33"/>
        <v>208.58561669734539</v>
      </c>
      <c r="BS20" s="35">
        <f t="shared" si="34"/>
        <v>0</v>
      </c>
      <c r="BT20" s="43">
        <f t="shared" si="35"/>
        <v>0</v>
      </c>
    </row>
    <row r="21" spans="1:72">
      <c r="A21" s="9"/>
      <c r="B21" s="34"/>
      <c r="C21" s="34" t="s">
        <v>3165</v>
      </c>
      <c r="D21" s="2221" t="s">
        <v>3060</v>
      </c>
      <c r="E21" s="35">
        <f t="shared" si="7"/>
        <v>11621.36</v>
      </c>
      <c r="F21" s="36"/>
      <c r="G21" s="37">
        <f t="shared" si="8"/>
        <v>37713.449743149613</v>
      </c>
      <c r="H21" s="38">
        <f t="shared" si="9"/>
        <v>29653.74</v>
      </c>
      <c r="I21" s="39">
        <f>30421.18-I20</f>
        <v>29653.74</v>
      </c>
      <c r="J21" s="39"/>
      <c r="K21" s="39"/>
      <c r="L21" s="39"/>
      <c r="M21" s="39"/>
      <c r="N21" s="39"/>
      <c r="O21" s="39"/>
      <c r="P21" s="39"/>
      <c r="Q21" s="39"/>
      <c r="R21" s="39"/>
      <c r="S21" s="39"/>
      <c r="T21" s="39"/>
      <c r="U21" s="39"/>
      <c r="V21" s="39"/>
      <c r="W21" s="39"/>
      <c r="X21" s="39"/>
      <c r="Y21" s="39"/>
      <c r="Z21" s="39"/>
      <c r="AA21" s="39"/>
      <c r="AB21" s="39"/>
      <c r="AC21" s="35">
        <f t="shared" si="10"/>
        <v>8059.7097431496122</v>
      </c>
      <c r="AD21" s="40"/>
      <c r="AE21" s="40"/>
      <c r="AF21" s="40"/>
      <c r="AG21" s="40"/>
      <c r="AH21" s="40"/>
      <c r="AI21" s="40"/>
      <c r="AJ21" s="40"/>
      <c r="AK21" s="40"/>
      <c r="AL21" s="40"/>
      <c r="AM21" s="40"/>
      <c r="AN21" s="40">
        <v>8059.7097431496122</v>
      </c>
      <c r="AO21" s="40"/>
      <c r="AP21" s="40"/>
      <c r="AQ21" s="40"/>
      <c r="AR21" s="40"/>
      <c r="AS21" s="40"/>
      <c r="AT21" s="41"/>
      <c r="AU21" s="2222"/>
      <c r="AV21" s="1798">
        <f t="shared" si="11"/>
        <v>0</v>
      </c>
      <c r="AW21" s="1798">
        <f t="shared" si="12"/>
        <v>0</v>
      </c>
      <c r="AX21" s="1798" t="str">
        <f t="shared" si="13"/>
        <v>8-其余层</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9</v>
      </c>
      <c r="D22" s="2221" t="s">
        <v>3060</v>
      </c>
      <c r="E22" s="35">
        <f t="shared" si="7"/>
        <v>5370.7</v>
      </c>
      <c r="F22" s="36"/>
      <c r="G22" s="37">
        <f t="shared" si="8"/>
        <v>17428.907140737509</v>
      </c>
      <c r="H22" s="38">
        <f t="shared" si="9"/>
        <v>13704.19</v>
      </c>
      <c r="I22" s="39">
        <v>13704.19</v>
      </c>
      <c r="J22" s="39"/>
      <c r="K22" s="39"/>
      <c r="L22" s="39"/>
      <c r="M22" s="39"/>
      <c r="N22" s="39"/>
      <c r="O22" s="39"/>
      <c r="P22" s="39"/>
      <c r="Q22" s="39"/>
      <c r="R22" s="39"/>
      <c r="S22" s="39"/>
      <c r="T22" s="39"/>
      <c r="U22" s="39"/>
      <c r="V22" s="39"/>
      <c r="W22" s="39"/>
      <c r="X22" s="39"/>
      <c r="Y22" s="39"/>
      <c r="Z22" s="39"/>
      <c r="AA22" s="39"/>
      <c r="AB22" s="39"/>
      <c r="AC22" s="35">
        <f t="shared" si="10"/>
        <v>3724.7171407375095</v>
      </c>
      <c r="AD22" s="40"/>
      <c r="AE22" s="40"/>
      <c r="AF22" s="40"/>
      <c r="AG22" s="40"/>
      <c r="AH22" s="40"/>
      <c r="AI22" s="40"/>
      <c r="AJ22" s="40"/>
      <c r="AK22" s="40"/>
      <c r="AL22" s="40"/>
      <c r="AM22" s="40"/>
      <c r="AN22" s="40">
        <v>3724.7171407375095</v>
      </c>
      <c r="AO22" s="40"/>
      <c r="AP22" s="40"/>
      <c r="AQ22" s="40"/>
      <c r="AR22" s="40"/>
      <c r="AS22" s="40"/>
      <c r="AT22" s="41"/>
      <c r="AU22" s="2222"/>
      <c r="AV22" s="1798">
        <f t="shared" si="11"/>
        <v>0</v>
      </c>
      <c r="AW22" s="1798">
        <f t="shared" si="12"/>
        <v>0</v>
      </c>
      <c r="AX22" s="1798">
        <f t="shared" si="13"/>
        <v>9</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10</v>
      </c>
      <c r="D23" s="2221" t="s">
        <v>3060</v>
      </c>
      <c r="E23" s="35">
        <f t="shared" si="7"/>
        <v>13225.63</v>
      </c>
      <c r="F23" s="36"/>
      <c r="G23" s="37">
        <f t="shared" si="8"/>
        <v>42919.608012815217</v>
      </c>
      <c r="H23" s="38">
        <f t="shared" si="9"/>
        <v>32252.01</v>
      </c>
      <c r="I23" s="39">
        <v>32252.01</v>
      </c>
      <c r="J23" s="39"/>
      <c r="K23" s="39"/>
      <c r="L23" s="39"/>
      <c r="M23" s="39"/>
      <c r="N23" s="39"/>
      <c r="O23" s="39"/>
      <c r="P23" s="39"/>
      <c r="Q23" s="39"/>
      <c r="R23" s="39"/>
      <c r="S23" s="39"/>
      <c r="T23" s="39"/>
      <c r="U23" s="39"/>
      <c r="V23" s="39"/>
      <c r="W23" s="39"/>
      <c r="X23" s="39"/>
      <c r="Y23" s="39"/>
      <c r="Z23" s="39"/>
      <c r="AA23" s="39"/>
      <c r="AB23" s="39"/>
      <c r="AC23" s="35">
        <f t="shared" si="10"/>
        <v>10667.598012815217</v>
      </c>
      <c r="AD23" s="40"/>
      <c r="AE23" s="40"/>
      <c r="AF23" s="40"/>
      <c r="AG23" s="40"/>
      <c r="AH23" s="40"/>
      <c r="AI23" s="40"/>
      <c r="AJ23" s="40"/>
      <c r="AK23" s="40"/>
      <c r="AL23" s="40"/>
      <c r="AM23" s="40"/>
      <c r="AN23" s="40">
        <v>10667.598012815217</v>
      </c>
      <c r="AO23" s="40"/>
      <c r="AP23" s="40"/>
      <c r="AQ23" s="40"/>
      <c r="AR23" s="40"/>
      <c r="AS23" s="40"/>
      <c r="AT23" s="41"/>
      <c r="AU23" s="2222"/>
      <c r="AV23" s="1798">
        <f t="shared" si="11"/>
        <v>0</v>
      </c>
      <c r="AW23" s="1798">
        <f t="shared" si="12"/>
        <v>0</v>
      </c>
      <c r="AX23" s="1798">
        <f t="shared" si="13"/>
        <v>10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v>
      </c>
      <c r="D24" s="2221" t="s">
        <v>3060</v>
      </c>
      <c r="E24" s="35">
        <f t="shared" si="7"/>
        <v>8477.17</v>
      </c>
      <c r="F24" s="36"/>
      <c r="G24" s="37">
        <f t="shared" si="8"/>
        <v>27509.967096010492</v>
      </c>
      <c r="H24" s="38">
        <f t="shared" si="9"/>
        <v>20672.41</v>
      </c>
      <c r="I24" s="39">
        <v>20672.41</v>
      </c>
      <c r="J24" s="39"/>
      <c r="K24" s="39"/>
      <c r="L24" s="39"/>
      <c r="M24" s="39"/>
      <c r="N24" s="39"/>
      <c r="O24" s="39"/>
      <c r="P24" s="39"/>
      <c r="Q24" s="39"/>
      <c r="R24" s="39"/>
      <c r="S24" s="39"/>
      <c r="T24" s="39"/>
      <c r="U24" s="39"/>
      <c r="V24" s="39"/>
      <c r="W24" s="39"/>
      <c r="X24" s="39"/>
      <c r="Y24" s="39"/>
      <c r="Z24" s="39"/>
      <c r="AA24" s="39"/>
      <c r="AB24" s="39"/>
      <c r="AC24" s="35">
        <f t="shared" si="10"/>
        <v>6837.5570960104933</v>
      </c>
      <c r="AD24" s="40"/>
      <c r="AE24" s="40"/>
      <c r="AF24" s="40"/>
      <c r="AG24" s="40"/>
      <c r="AH24" s="40"/>
      <c r="AI24" s="40"/>
      <c r="AJ24" s="40"/>
      <c r="AK24" s="40"/>
      <c r="AL24" s="40"/>
      <c r="AM24" s="40"/>
      <c r="AN24" s="40">
        <v>6837.5570960104933</v>
      </c>
      <c r="AO24" s="40"/>
      <c r="AP24" s="40"/>
      <c r="AQ24" s="40"/>
      <c r="AR24" s="40"/>
      <c r="AS24" s="40"/>
      <c r="AT24" s="41"/>
      <c r="AU24" s="2222"/>
      <c r="AV24" s="1798">
        <f t="shared" si="11"/>
        <v>0</v>
      </c>
      <c r="AW24" s="1798">
        <f t="shared" si="12"/>
        <v>0</v>
      </c>
      <c r="AX24" s="1798">
        <f t="shared" si="13"/>
        <v>11</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12</v>
      </c>
      <c r="D25" s="2221" t="s">
        <v>3060</v>
      </c>
      <c r="E25" s="35">
        <f t="shared" si="7"/>
        <v>5786.16</v>
      </c>
      <c r="F25" s="36"/>
      <c r="G25" s="37">
        <f t="shared" si="8"/>
        <v>18777.1496850517</v>
      </c>
      <c r="H25" s="38">
        <f t="shared" si="9"/>
        <v>14110.12</v>
      </c>
      <c r="I25" s="39">
        <v>14110.12</v>
      </c>
      <c r="J25" s="39"/>
      <c r="K25" s="39"/>
      <c r="L25" s="39"/>
      <c r="M25" s="39"/>
      <c r="N25" s="39"/>
      <c r="O25" s="39"/>
      <c r="P25" s="39"/>
      <c r="Q25" s="39"/>
      <c r="R25" s="39"/>
      <c r="S25" s="39"/>
      <c r="T25" s="39"/>
      <c r="U25" s="39"/>
      <c r="V25" s="39"/>
      <c r="W25" s="39"/>
      <c r="X25" s="39"/>
      <c r="Y25" s="39"/>
      <c r="Z25" s="39"/>
      <c r="AA25" s="39"/>
      <c r="AB25" s="39"/>
      <c r="AC25" s="35">
        <f t="shared" si="10"/>
        <v>4667.0296850516988</v>
      </c>
      <c r="AD25" s="40"/>
      <c r="AE25" s="40"/>
      <c r="AF25" s="40"/>
      <c r="AG25" s="40"/>
      <c r="AH25" s="40"/>
      <c r="AI25" s="40"/>
      <c r="AJ25" s="40"/>
      <c r="AK25" s="40"/>
      <c r="AL25" s="40"/>
      <c r="AM25" s="40"/>
      <c r="AN25" s="40">
        <v>4667.0296850516988</v>
      </c>
      <c r="AO25" s="40"/>
      <c r="AP25" s="40"/>
      <c r="AQ25" s="40"/>
      <c r="AR25" s="40"/>
      <c r="AS25" s="40"/>
      <c r="AT25" s="41"/>
      <c r="AU25" s="2222"/>
      <c r="AV25" s="1798">
        <f t="shared" si="11"/>
        <v>0</v>
      </c>
      <c r="AW25" s="1798">
        <f t="shared" si="12"/>
        <v>0</v>
      </c>
      <c r="AX25" s="1798">
        <f t="shared" si="13"/>
        <v>12</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13</v>
      </c>
      <c r="D26" s="2221" t="s">
        <v>3060</v>
      </c>
      <c r="E26" s="35">
        <f t="shared" si="7"/>
        <v>5788.72</v>
      </c>
      <c r="F26" s="36"/>
      <c r="G26" s="37">
        <f t="shared" si="8"/>
        <v>18785.453612589859</v>
      </c>
      <c r="H26" s="38">
        <f t="shared" si="9"/>
        <v>14116.36</v>
      </c>
      <c r="I26" s="39">
        <v>14116.36</v>
      </c>
      <c r="J26" s="39"/>
      <c r="K26" s="39"/>
      <c r="L26" s="39"/>
      <c r="M26" s="39"/>
      <c r="N26" s="39"/>
      <c r="O26" s="39"/>
      <c r="P26" s="39"/>
      <c r="Q26" s="39"/>
      <c r="R26" s="39"/>
      <c r="S26" s="39"/>
      <c r="T26" s="39"/>
      <c r="U26" s="39"/>
      <c r="V26" s="39"/>
      <c r="W26" s="39"/>
      <c r="X26" s="39"/>
      <c r="Y26" s="39"/>
      <c r="Z26" s="39"/>
      <c r="AA26" s="39"/>
      <c r="AB26" s="39"/>
      <c r="AC26" s="35">
        <f t="shared" si="10"/>
        <v>4669.0936125898579</v>
      </c>
      <c r="AD26" s="40"/>
      <c r="AE26" s="40"/>
      <c r="AF26" s="40"/>
      <c r="AG26" s="40"/>
      <c r="AH26" s="40"/>
      <c r="AI26" s="40"/>
      <c r="AJ26" s="40"/>
      <c r="AK26" s="40"/>
      <c r="AL26" s="40"/>
      <c r="AM26" s="40"/>
      <c r="AN26" s="40">
        <v>4669.0936125898579</v>
      </c>
      <c r="AO26" s="40"/>
      <c r="AP26" s="40"/>
      <c r="AQ26" s="40"/>
      <c r="AR26" s="40"/>
      <c r="AS26" s="40"/>
      <c r="AT26" s="41"/>
      <c r="AU26" s="2222"/>
      <c r="AV26" s="1798">
        <f t="shared" si="11"/>
        <v>0</v>
      </c>
      <c r="AW26" s="1798">
        <f t="shared" si="12"/>
        <v>0</v>
      </c>
      <c r="AX26" s="1798">
        <f t="shared" si="13"/>
        <v>13</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14</v>
      </c>
      <c r="D27" s="2221" t="s">
        <v>3060</v>
      </c>
      <c r="E27" s="35">
        <f t="shared" si="7"/>
        <v>4536.63</v>
      </c>
      <c r="F27" s="36"/>
      <c r="G27" s="37">
        <f t="shared" si="8"/>
        <v>14722.184838769888</v>
      </c>
      <c r="H27" s="38">
        <f t="shared" si="9"/>
        <v>11063.01</v>
      </c>
      <c r="I27" s="39">
        <v>11063.01</v>
      </c>
      <c r="J27" s="39"/>
      <c r="K27" s="39"/>
      <c r="L27" s="39"/>
      <c r="M27" s="39"/>
      <c r="N27" s="39"/>
      <c r="O27" s="39"/>
      <c r="P27" s="39"/>
      <c r="Q27" s="39"/>
      <c r="R27" s="39"/>
      <c r="S27" s="39"/>
      <c r="T27" s="39"/>
      <c r="U27" s="39"/>
      <c r="V27" s="39"/>
      <c r="W27" s="39"/>
      <c r="X27" s="39"/>
      <c r="Y27" s="39"/>
      <c r="Z27" s="39"/>
      <c r="AA27" s="39"/>
      <c r="AB27" s="39"/>
      <c r="AC27" s="35">
        <f t="shared" si="10"/>
        <v>3659.1748387698885</v>
      </c>
      <c r="AD27" s="40"/>
      <c r="AE27" s="40"/>
      <c r="AF27" s="40"/>
      <c r="AG27" s="40"/>
      <c r="AH27" s="40"/>
      <c r="AI27" s="40"/>
      <c r="AJ27" s="40"/>
      <c r="AK27" s="40"/>
      <c r="AL27" s="40"/>
      <c r="AM27" s="40"/>
      <c r="AN27" s="40">
        <v>3659.1748387698885</v>
      </c>
      <c r="AO27" s="40"/>
      <c r="AP27" s="40"/>
      <c r="AQ27" s="40"/>
      <c r="AR27" s="40"/>
      <c r="AS27" s="40"/>
      <c r="AT27" s="41"/>
      <c r="AU27" s="2222"/>
      <c r="AV27" s="1798">
        <f t="shared" si="11"/>
        <v>0</v>
      </c>
      <c r="AW27" s="1798">
        <f t="shared" si="12"/>
        <v>0</v>
      </c>
      <c r="AX27" s="1798">
        <f t="shared" si="13"/>
        <v>14</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15</v>
      </c>
      <c r="D28" s="2221" t="s">
        <v>3060</v>
      </c>
      <c r="E28" s="35">
        <f t="shared" si="7"/>
        <v>5240.34</v>
      </c>
      <c r="F28" s="36"/>
      <c r="G28" s="37">
        <f t="shared" si="8"/>
        <v>17005.871372372971</v>
      </c>
      <c r="H28" s="38">
        <f t="shared" si="9"/>
        <v>12779.09</v>
      </c>
      <c r="I28" s="39">
        <v>12779.09</v>
      </c>
      <c r="J28" s="39"/>
      <c r="K28" s="39"/>
      <c r="L28" s="39"/>
      <c r="M28" s="39"/>
      <c r="N28" s="39"/>
      <c r="O28" s="39"/>
      <c r="P28" s="39"/>
      <c r="Q28" s="39"/>
      <c r="R28" s="39"/>
      <c r="S28" s="39"/>
      <c r="T28" s="39"/>
      <c r="U28" s="39"/>
      <c r="V28" s="39"/>
      <c r="W28" s="39"/>
      <c r="X28" s="39"/>
      <c r="Y28" s="39"/>
      <c r="Z28" s="39"/>
      <c r="AA28" s="39"/>
      <c r="AB28" s="39"/>
      <c r="AC28" s="35">
        <f t="shared" si="10"/>
        <v>4226.7813723729714</v>
      </c>
      <c r="AD28" s="40"/>
      <c r="AE28" s="40"/>
      <c r="AF28" s="40"/>
      <c r="AG28" s="40"/>
      <c r="AH28" s="40"/>
      <c r="AI28" s="40"/>
      <c r="AJ28" s="40"/>
      <c r="AK28" s="40"/>
      <c r="AL28" s="40"/>
      <c r="AM28" s="40"/>
      <c r="AN28" s="40">
        <v>4226.7813723729714</v>
      </c>
      <c r="AO28" s="40"/>
      <c r="AP28" s="40"/>
      <c r="AQ28" s="40"/>
      <c r="AR28" s="40"/>
      <c r="AS28" s="40"/>
      <c r="AT28" s="41"/>
      <c r="AU28" s="2222"/>
      <c r="AV28" s="1798">
        <f t="shared" si="11"/>
        <v>0</v>
      </c>
      <c r="AW28" s="1798">
        <f t="shared" si="12"/>
        <v>0</v>
      </c>
      <c r="AX28" s="1798">
        <f t="shared" si="13"/>
        <v>15</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16</v>
      </c>
      <c r="D29" s="2221" t="s">
        <v>3060</v>
      </c>
      <c r="E29" s="35">
        <f t="shared" si="7"/>
        <v>10336.43</v>
      </c>
      <c r="F29" s="36"/>
      <c r="G29" s="37">
        <f t="shared" si="8"/>
        <v>33543.61863001297</v>
      </c>
      <c r="H29" s="38">
        <f t="shared" si="9"/>
        <v>26375.040000000001</v>
      </c>
      <c r="I29" s="39">
        <v>26375.040000000001</v>
      </c>
      <c r="J29" s="39"/>
      <c r="K29" s="39"/>
      <c r="L29" s="39"/>
      <c r="M29" s="39"/>
      <c r="N29" s="39"/>
      <c r="O29" s="39"/>
      <c r="P29" s="39"/>
      <c r="Q29" s="39"/>
      <c r="R29" s="39"/>
      <c r="S29" s="39"/>
      <c r="T29" s="39"/>
      <c r="U29" s="39"/>
      <c r="V29" s="39"/>
      <c r="W29" s="39"/>
      <c r="X29" s="39"/>
      <c r="Y29" s="39"/>
      <c r="Z29" s="39"/>
      <c r="AA29" s="39"/>
      <c r="AB29" s="39"/>
      <c r="AC29" s="35">
        <f t="shared" si="10"/>
        <v>7168.5786300129694</v>
      </c>
      <c r="AD29" s="40"/>
      <c r="AE29" s="40"/>
      <c r="AF29" s="40"/>
      <c r="AG29" s="40"/>
      <c r="AH29" s="40"/>
      <c r="AI29" s="40"/>
      <c r="AJ29" s="40"/>
      <c r="AK29" s="40"/>
      <c r="AL29" s="40"/>
      <c r="AM29" s="40"/>
      <c r="AN29" s="40">
        <v>7168.5786300129694</v>
      </c>
      <c r="AO29" s="40"/>
      <c r="AP29" s="40"/>
      <c r="AQ29" s="40"/>
      <c r="AR29" s="40"/>
      <c r="AS29" s="40"/>
      <c r="AT29" s="41"/>
      <c r="AU29" s="2222"/>
      <c r="AV29" s="1798">
        <f t="shared" si="11"/>
        <v>0</v>
      </c>
      <c r="AW29" s="1798">
        <f t="shared" si="12"/>
        <v>0</v>
      </c>
      <c r="AX29" s="1798">
        <f t="shared" si="13"/>
        <v>16</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17</v>
      </c>
      <c r="D30" s="2221" t="s">
        <v>3060</v>
      </c>
      <c r="E30" s="35">
        <f t="shared" si="7"/>
        <v>12714.88</v>
      </c>
      <c r="F30" s="36"/>
      <c r="G30" s="37">
        <f t="shared" si="8"/>
        <v>41262.136648015927</v>
      </c>
      <c r="H30" s="38">
        <f t="shared" si="9"/>
        <v>32444.04</v>
      </c>
      <c r="I30" s="39">
        <v>32444.04</v>
      </c>
      <c r="J30" s="39"/>
      <c r="K30" s="39"/>
      <c r="L30" s="39"/>
      <c r="M30" s="39"/>
      <c r="N30" s="39"/>
      <c r="O30" s="39"/>
      <c r="P30" s="39"/>
      <c r="Q30" s="39"/>
      <c r="R30" s="39"/>
      <c r="S30" s="39"/>
      <c r="T30" s="39"/>
      <c r="U30" s="39"/>
      <c r="V30" s="39"/>
      <c r="W30" s="39"/>
      <c r="X30" s="39"/>
      <c r="Y30" s="39"/>
      <c r="Z30" s="39"/>
      <c r="AA30" s="39"/>
      <c r="AB30" s="39"/>
      <c r="AC30" s="35">
        <f t="shared" si="10"/>
        <v>8818.0966480159259</v>
      </c>
      <c r="AD30" s="40"/>
      <c r="AE30" s="40"/>
      <c r="AF30" s="40"/>
      <c r="AG30" s="40"/>
      <c r="AH30" s="40"/>
      <c r="AI30" s="40"/>
      <c r="AJ30" s="40"/>
      <c r="AK30" s="40"/>
      <c r="AL30" s="40"/>
      <c r="AM30" s="40"/>
      <c r="AN30" s="40">
        <v>8818.0966480159259</v>
      </c>
      <c r="AO30" s="40"/>
      <c r="AP30" s="40"/>
      <c r="AQ30" s="40"/>
      <c r="AR30" s="40"/>
      <c r="AS30" s="40"/>
      <c r="AT30" s="41"/>
      <c r="AU30" s="2222"/>
      <c r="AV30" s="1798">
        <f t="shared" si="11"/>
        <v>0</v>
      </c>
      <c r="AW30" s="1798">
        <f t="shared" si="12"/>
        <v>0</v>
      </c>
      <c r="AX30" s="1798">
        <f t="shared" si="13"/>
        <v>17</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9" t="s">
        <v>3161</v>
      </c>
      <c r="D31" s="2221" t="s">
        <v>3060</v>
      </c>
      <c r="E31" s="35">
        <f t="shared" si="7"/>
        <v>5.27</v>
      </c>
      <c r="F31" s="36"/>
      <c r="G31" s="37">
        <f t="shared" si="8"/>
        <v>17.092911873778174</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17.092911873778174</v>
      </c>
      <c r="AD31" s="40">
        <v>13.44</v>
      </c>
      <c r="AE31" s="40"/>
      <c r="AF31" s="40"/>
      <c r="AG31" s="40"/>
      <c r="AH31" s="40"/>
      <c r="AI31" s="40"/>
      <c r="AJ31" s="40"/>
      <c r="AK31" s="40"/>
      <c r="AL31" s="40"/>
      <c r="AM31" s="40"/>
      <c r="AN31" s="40">
        <v>3.6529118737781743</v>
      </c>
      <c r="AO31" s="40"/>
      <c r="AP31" s="40"/>
      <c r="AQ31" s="40"/>
      <c r="AR31" s="40"/>
      <c r="AS31" s="40"/>
      <c r="AT31" s="41"/>
      <c r="AU31" s="2222"/>
      <c r="AV31" s="1798">
        <f t="shared" si="11"/>
        <v>0</v>
      </c>
      <c r="AW31" s="1798">
        <f t="shared" si="12"/>
        <v>0</v>
      </c>
      <c r="AX31" s="1798" t="str">
        <f t="shared" si="13"/>
        <v>门房1</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9" t="s">
        <v>3162</v>
      </c>
      <c r="D32" s="2221" t="s">
        <v>3060</v>
      </c>
      <c r="E32" s="35">
        <f t="shared" si="7"/>
        <v>5.27</v>
      </c>
      <c r="F32" s="36"/>
      <c r="G32" s="37">
        <f t="shared" si="8"/>
        <v>17.092911873778174</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17.092911873778174</v>
      </c>
      <c r="AD32" s="40">
        <v>13.44</v>
      </c>
      <c r="AE32" s="40"/>
      <c r="AF32" s="40"/>
      <c r="AG32" s="40"/>
      <c r="AH32" s="40"/>
      <c r="AI32" s="40"/>
      <c r="AJ32" s="40"/>
      <c r="AK32" s="40"/>
      <c r="AL32" s="40"/>
      <c r="AM32" s="40"/>
      <c r="AN32" s="40">
        <v>3.6529118737781743</v>
      </c>
      <c r="AO32" s="40"/>
      <c r="AP32" s="40"/>
      <c r="AQ32" s="40"/>
      <c r="AR32" s="40"/>
      <c r="AS32" s="40"/>
      <c r="AT32" s="41"/>
      <c r="AU32" s="2222"/>
      <c r="AV32" s="1798">
        <f t="shared" si="11"/>
        <v>0</v>
      </c>
      <c r="AW32" s="1798">
        <f t="shared" si="12"/>
        <v>0</v>
      </c>
      <c r="AX32" s="1798" t="str">
        <f t="shared" si="13"/>
        <v>门房2</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t="s">
        <v>3163</v>
      </c>
      <c r="D33" s="2221" t="s">
        <v>3060</v>
      </c>
      <c r="E33" s="35">
        <f t="shared" si="7"/>
        <v>5.51</v>
      </c>
      <c r="F33" s="36"/>
      <c r="G33" s="37">
        <f t="shared" si="8"/>
        <v>17.885382389880085</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17.885382389880085</v>
      </c>
      <c r="AD33" s="40">
        <v>13.44</v>
      </c>
      <c r="AE33" s="40"/>
      <c r="AF33" s="40"/>
      <c r="AG33" s="40"/>
      <c r="AH33" s="40"/>
      <c r="AI33" s="40"/>
      <c r="AJ33" s="40"/>
      <c r="AK33" s="40"/>
      <c r="AL33" s="40"/>
      <c r="AM33" s="40"/>
      <c r="AN33" s="40">
        <v>4.4453823898800877</v>
      </c>
      <c r="AO33" s="40"/>
      <c r="AP33" s="40"/>
      <c r="AQ33" s="40"/>
      <c r="AR33" s="40"/>
      <c r="AS33" s="40"/>
      <c r="AT33" s="41"/>
      <c r="AU33" s="2222"/>
      <c r="AV33" s="1798">
        <f t="shared" si="11"/>
        <v>0</v>
      </c>
      <c r="AW33" s="1798">
        <f t="shared" si="12"/>
        <v>0</v>
      </c>
      <c r="AX33" s="1798" t="str">
        <f t="shared" si="13"/>
        <v>门房3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9"/>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AA28"/>
  <sheetViews>
    <sheetView workbookViewId="0">
      <selection activeCell="N13" sqref="N13"/>
    </sheetView>
  </sheetViews>
  <sheetFormatPr defaultRowHeight="13.5"/>
  <cols>
    <col min="7" max="7" width="12" bestFit="1" customWidth="1"/>
    <col min="11" max="11" width="12.75" bestFit="1" customWidth="1"/>
  </cols>
  <sheetData>
    <row r="3" spans="3:25" ht="40.5">
      <c r="C3" s="2971" t="s">
        <v>3181</v>
      </c>
      <c r="D3" s="2971" t="s">
        <v>3182</v>
      </c>
      <c r="E3" s="2972" t="s">
        <v>3183</v>
      </c>
      <c r="F3" s="2971" t="s">
        <v>3184</v>
      </c>
      <c r="G3" s="2972" t="s">
        <v>3185</v>
      </c>
      <c r="H3" s="2972" t="s">
        <v>3186</v>
      </c>
      <c r="I3" s="2972" t="s">
        <v>3187</v>
      </c>
      <c r="J3" s="2972" t="s">
        <v>3188</v>
      </c>
      <c r="X3">
        <v>0</v>
      </c>
    </row>
    <row r="4" spans="3:25">
      <c r="C4" s="2973">
        <v>1</v>
      </c>
      <c r="D4" s="2973">
        <v>33</v>
      </c>
      <c r="E4" s="2973">
        <v>99.75</v>
      </c>
      <c r="F4" s="2973">
        <v>318</v>
      </c>
      <c r="G4" s="2974">
        <v>32104.62</v>
      </c>
      <c r="H4" s="2974">
        <v>448.4</v>
      </c>
      <c r="I4" s="2973">
        <v>32553.02</v>
      </c>
      <c r="J4" s="3056">
        <v>27870.9</v>
      </c>
      <c r="K4">
        <f>I4/$I$9*$J$4</f>
        <v>10366.247443440387</v>
      </c>
      <c r="X4">
        <v>0</v>
      </c>
    </row>
    <row r="5" spans="3:25">
      <c r="C5" s="2973">
        <v>2</v>
      </c>
      <c r="D5" s="2973">
        <v>26</v>
      </c>
      <c r="E5" s="2973">
        <v>78.75</v>
      </c>
      <c r="F5" s="2973">
        <v>124</v>
      </c>
      <c r="G5" s="2974">
        <v>11953.86</v>
      </c>
      <c r="H5" s="2974">
        <v>413.3</v>
      </c>
      <c r="I5" s="2973">
        <v>12367.16</v>
      </c>
      <c r="J5" s="3056"/>
      <c r="K5">
        <f t="shared" ref="K5:K8" si="0">I5/$I$9*$J$4</f>
        <v>3938.2226513121736</v>
      </c>
      <c r="X5">
        <v>0</v>
      </c>
    </row>
    <row r="6" spans="3:25">
      <c r="C6" s="2973">
        <v>3</v>
      </c>
      <c r="D6" s="2973">
        <v>33</v>
      </c>
      <c r="E6" s="2973">
        <v>99.75</v>
      </c>
      <c r="F6" s="2973">
        <v>159</v>
      </c>
      <c r="G6" s="2974">
        <v>14669.19</v>
      </c>
      <c r="H6" s="2974">
        <v>386.85</v>
      </c>
      <c r="I6" s="2973">
        <v>15056.04</v>
      </c>
      <c r="J6" s="3056"/>
      <c r="K6">
        <f t="shared" si="0"/>
        <v>4794.4748646465432</v>
      </c>
      <c r="X6">
        <v>0</v>
      </c>
    </row>
    <row r="7" spans="3:25">
      <c r="C7" s="2973">
        <v>4</v>
      </c>
      <c r="D7" s="2973">
        <v>26</v>
      </c>
      <c r="E7" s="2973">
        <v>78.75</v>
      </c>
      <c r="F7" s="2973">
        <v>124</v>
      </c>
      <c r="G7" s="2974">
        <v>11469.4</v>
      </c>
      <c r="H7" s="2974">
        <v>390.73</v>
      </c>
      <c r="I7" s="2973">
        <v>11860.13</v>
      </c>
      <c r="J7" s="3056"/>
      <c r="K7">
        <f t="shared" si="0"/>
        <v>3776.7630251009164</v>
      </c>
      <c r="X7">
        <v>3950.53</v>
      </c>
      <c r="Y7">
        <v>3950.53</v>
      </c>
    </row>
    <row r="8" spans="3:25">
      <c r="C8" s="2973">
        <v>6</v>
      </c>
      <c r="D8" s="2973">
        <v>33</v>
      </c>
      <c r="E8" s="2973">
        <v>99.75</v>
      </c>
      <c r="F8" s="2973">
        <v>159</v>
      </c>
      <c r="G8" s="2974">
        <v>15279.63</v>
      </c>
      <c r="H8" s="2973">
        <v>406.72</v>
      </c>
      <c r="I8" s="2973">
        <v>15686.35</v>
      </c>
      <c r="J8" s="3056"/>
      <c r="K8">
        <f t="shared" si="0"/>
        <v>4995.1920154999789</v>
      </c>
      <c r="X8">
        <v>0</v>
      </c>
    </row>
    <row r="9" spans="3:25">
      <c r="C9" s="2973"/>
      <c r="D9" s="2973"/>
      <c r="E9" s="2973"/>
      <c r="F9" s="2973"/>
      <c r="G9" s="2974"/>
      <c r="H9" s="2973"/>
      <c r="I9" s="2973">
        <f>SUM(I4:I8)</f>
        <v>87522.700000000012</v>
      </c>
      <c r="J9" s="2973"/>
    </row>
    <row r="10" spans="3:25">
      <c r="C10" s="2973">
        <v>5</v>
      </c>
      <c r="D10" s="2973">
        <v>3</v>
      </c>
      <c r="E10" s="2973">
        <v>14.25</v>
      </c>
      <c r="F10" s="2973">
        <v>0</v>
      </c>
      <c r="G10" s="2973">
        <v>3950.53</v>
      </c>
      <c r="H10" s="2973">
        <v>0</v>
      </c>
      <c r="I10" s="2973">
        <f>G10+H10</f>
        <v>3950.53</v>
      </c>
      <c r="J10" s="2973">
        <v>0</v>
      </c>
    </row>
    <row r="11" spans="3:25" ht="14.25" thickBot="1">
      <c r="C11" s="2975">
        <v>6</v>
      </c>
      <c r="D11" s="2975"/>
      <c r="E11" s="2975"/>
      <c r="F11" s="2975">
        <f>F4+F5+F6+F7+F8+F10</f>
        <v>884</v>
      </c>
      <c r="G11" s="2975">
        <f>G4+G5+G6+G7+G8+G10</f>
        <v>89427.23</v>
      </c>
      <c r="H11" s="2975">
        <f>H4+H5+H6+H7+H8+H10</f>
        <v>2046.0000000000002</v>
      </c>
      <c r="I11" s="2975">
        <f>SUM(I4:I10)</f>
        <v>178995.93000000002</v>
      </c>
      <c r="J11" s="2975">
        <f>J4+J10</f>
        <v>27870.9</v>
      </c>
      <c r="X11">
        <v>0</v>
      </c>
    </row>
    <row r="12" spans="3:25">
      <c r="C12" s="2976">
        <v>7</v>
      </c>
      <c r="D12" s="2976">
        <v>32</v>
      </c>
      <c r="E12" s="2976">
        <v>96.75</v>
      </c>
      <c r="F12" s="2976">
        <v>120</v>
      </c>
      <c r="G12" s="2976">
        <v>13326.58</v>
      </c>
      <c r="H12" s="2976">
        <v>346.26</v>
      </c>
      <c r="I12" s="2976">
        <f t="shared" ref="I12:I18" si="1">G12+H12</f>
        <v>13672.84</v>
      </c>
      <c r="J12" s="3057">
        <v>31703.19</v>
      </c>
      <c r="K12">
        <f>I12/$I$19*$J$12</f>
        <v>3716.1963976390757</v>
      </c>
      <c r="M12">
        <f>'数据-基础表'!I20</f>
        <v>767.44</v>
      </c>
      <c r="N12">
        <f>M12/I13*K13</f>
        <v>208.58561669734539</v>
      </c>
      <c r="X12">
        <v>0</v>
      </c>
    </row>
    <row r="13" spans="3:25">
      <c r="C13" s="2973">
        <v>8</v>
      </c>
      <c r="D13" s="2973">
        <v>32</v>
      </c>
      <c r="E13" s="2973">
        <v>96.75</v>
      </c>
      <c r="F13" s="2973">
        <v>308</v>
      </c>
      <c r="G13" s="2973">
        <v>29616.91</v>
      </c>
      <c r="H13" s="2973">
        <v>804.27</v>
      </c>
      <c r="I13" s="2973">
        <f t="shared" si="1"/>
        <v>30421.18</v>
      </c>
      <c r="J13" s="3056"/>
      <c r="K13">
        <f t="shared" ref="K13:K18" si="2">I13/$I$19*$J$12</f>
        <v>8268.2953598469576</v>
      </c>
      <c r="M13">
        <f>'数据-基础表'!I21</f>
        <v>29653.74</v>
      </c>
      <c r="N13">
        <f>M13/I13*K13</f>
        <v>8059.7097431496122</v>
      </c>
      <c r="X13">
        <v>0</v>
      </c>
    </row>
    <row r="14" spans="3:25">
      <c r="C14" s="2973">
        <v>9</v>
      </c>
      <c r="D14" s="2973">
        <v>32</v>
      </c>
      <c r="E14" s="2973">
        <v>96.75</v>
      </c>
      <c r="F14" s="2973">
        <v>120</v>
      </c>
      <c r="G14" s="2973">
        <v>13370.79</v>
      </c>
      <c r="H14" s="2973">
        <v>333.4</v>
      </c>
      <c r="I14" s="2973">
        <f t="shared" si="1"/>
        <v>13704.19</v>
      </c>
      <c r="J14" s="3056"/>
      <c r="K14">
        <f t="shared" si="2"/>
        <v>3724.7171407375095</v>
      </c>
      <c r="X14">
        <v>0</v>
      </c>
    </row>
    <row r="15" spans="3:25">
      <c r="C15" s="2973">
        <v>16</v>
      </c>
      <c r="D15" s="2977">
        <v>33</v>
      </c>
      <c r="E15" s="2977">
        <v>99.75</v>
      </c>
      <c r="F15" s="2977">
        <v>248</v>
      </c>
      <c r="G15" s="2973">
        <v>25692.959999999999</v>
      </c>
      <c r="H15" s="2973">
        <v>682.08</v>
      </c>
      <c r="I15" s="2973">
        <f t="shared" si="1"/>
        <v>26375.040000000001</v>
      </c>
      <c r="J15" s="3056"/>
      <c r="K15">
        <f t="shared" si="2"/>
        <v>7168.5786300129694</v>
      </c>
      <c r="X15">
        <v>0</v>
      </c>
    </row>
    <row r="16" spans="3:25">
      <c r="C16" s="2973">
        <v>17</v>
      </c>
      <c r="D16" s="2973">
        <v>33</v>
      </c>
      <c r="E16" s="2973">
        <v>99.75</v>
      </c>
      <c r="F16" s="2973">
        <v>318</v>
      </c>
      <c r="G16" s="2973">
        <v>31815.88</v>
      </c>
      <c r="H16" s="2973">
        <v>628.16</v>
      </c>
      <c r="I16" s="2973">
        <f t="shared" si="1"/>
        <v>32444.04</v>
      </c>
      <c r="J16" s="3056"/>
      <c r="K16">
        <f t="shared" si="2"/>
        <v>8818.0966480159259</v>
      </c>
      <c r="X16">
        <v>0</v>
      </c>
    </row>
    <row r="17" spans="3:27">
      <c r="C17" s="2973" t="s">
        <v>3189</v>
      </c>
      <c r="D17" s="2973">
        <v>1</v>
      </c>
      <c r="E17" s="2973" t="s">
        <v>3190</v>
      </c>
      <c r="F17" s="2973">
        <v>0</v>
      </c>
      <c r="G17" s="2973">
        <v>13.44</v>
      </c>
      <c r="H17" s="2973">
        <v>0</v>
      </c>
      <c r="I17" s="2973">
        <f t="shared" si="1"/>
        <v>13.44</v>
      </c>
      <c r="J17" s="3056"/>
      <c r="K17">
        <f t="shared" si="2"/>
        <v>3.6529118737781743</v>
      </c>
      <c r="X17">
        <v>0</v>
      </c>
    </row>
    <row r="18" spans="3:27">
      <c r="C18" s="2973" t="s">
        <v>3191</v>
      </c>
      <c r="D18" s="2973">
        <v>1</v>
      </c>
      <c r="E18" s="2973" t="s">
        <v>3190</v>
      </c>
      <c r="F18" s="2973">
        <v>0</v>
      </c>
      <c r="G18" s="2973">
        <v>13.44</v>
      </c>
      <c r="H18" s="2973">
        <v>0</v>
      </c>
      <c r="I18" s="2973">
        <f t="shared" si="1"/>
        <v>13.44</v>
      </c>
      <c r="J18" s="3056"/>
      <c r="K18">
        <f t="shared" si="2"/>
        <v>3.6529118737781743</v>
      </c>
      <c r="X18">
        <v>0</v>
      </c>
    </row>
    <row r="19" spans="3:27" ht="14.25" thickBot="1">
      <c r="C19" s="2978"/>
      <c r="D19" s="2978"/>
      <c r="E19" s="2978"/>
      <c r="F19" s="2978">
        <f>SUM(F12:F18)</f>
        <v>1114</v>
      </c>
      <c r="G19" s="2978">
        <f>SUM(G12:G18)</f>
        <v>113850</v>
      </c>
      <c r="H19" s="2978">
        <f>SUM(H12:H18)</f>
        <v>2794.1699999999996</v>
      </c>
      <c r="I19" s="2978">
        <f>SUM(I12:I18)</f>
        <v>116644.17000000001</v>
      </c>
      <c r="J19" s="2978">
        <f>J12</f>
        <v>31703.19</v>
      </c>
      <c r="X19">
        <v>0</v>
      </c>
    </row>
    <row r="20" spans="3:27">
      <c r="C20" s="2976">
        <v>10</v>
      </c>
      <c r="D20" s="2976">
        <v>33</v>
      </c>
      <c r="E20" s="2976">
        <v>99.75</v>
      </c>
      <c r="F20" s="2976">
        <v>316</v>
      </c>
      <c r="G20" s="2976">
        <v>31389.54</v>
      </c>
      <c r="H20" s="2976">
        <v>862.47</v>
      </c>
      <c r="I20" s="2976">
        <f t="shared" ref="I20:I26" si="3">G20+H20</f>
        <v>32252.010000000002</v>
      </c>
      <c r="J20" s="3057">
        <v>34731.68</v>
      </c>
      <c r="K20">
        <f>I20/$I$27*$J$20</f>
        <v>10667.598012815217</v>
      </c>
      <c r="X20">
        <v>0</v>
      </c>
    </row>
    <row r="21" spans="3:27">
      <c r="C21" s="2973">
        <v>11</v>
      </c>
      <c r="D21" s="2973">
        <v>26</v>
      </c>
      <c r="E21" s="2973">
        <v>78.75</v>
      </c>
      <c r="F21" s="2973">
        <v>192</v>
      </c>
      <c r="G21" s="2973">
        <v>20000.18</v>
      </c>
      <c r="H21" s="2973">
        <v>672.23</v>
      </c>
      <c r="I21" s="2973">
        <f t="shared" si="3"/>
        <v>20672.41</v>
      </c>
      <c r="J21" s="3056"/>
      <c r="K21">
        <f t="shared" ref="K21:K26" si="4">I21/$I$27*$J$20</f>
        <v>6837.5570960104933</v>
      </c>
      <c r="X21">
        <v>0</v>
      </c>
    </row>
    <row r="22" spans="3:27">
      <c r="C22" s="2973">
        <v>12</v>
      </c>
      <c r="D22" s="2973">
        <v>33</v>
      </c>
      <c r="E22" s="2973">
        <v>99.75</v>
      </c>
      <c r="F22" s="2973">
        <v>124</v>
      </c>
      <c r="G22" s="2973">
        <v>13769.19</v>
      </c>
      <c r="H22" s="2973">
        <v>340.93</v>
      </c>
      <c r="I22" s="2973">
        <f t="shared" si="3"/>
        <v>14110.12</v>
      </c>
      <c r="J22" s="3056"/>
      <c r="K22">
        <f t="shared" si="4"/>
        <v>4667.0296850516988</v>
      </c>
      <c r="X22">
        <v>0</v>
      </c>
    </row>
    <row r="23" spans="3:27">
      <c r="C23" s="2973">
        <v>13</v>
      </c>
      <c r="D23" s="2973">
        <v>33</v>
      </c>
      <c r="E23" s="2973">
        <v>99.75</v>
      </c>
      <c r="F23" s="2973">
        <v>124</v>
      </c>
      <c r="G23" s="2973">
        <v>13745.27</v>
      </c>
      <c r="H23" s="2973">
        <v>371.09</v>
      </c>
      <c r="I23" s="2973">
        <f t="shared" si="3"/>
        <v>14116.36</v>
      </c>
      <c r="J23" s="3056"/>
      <c r="K23">
        <f t="shared" si="4"/>
        <v>4669.0936125898579</v>
      </c>
      <c r="X23">
        <v>13.44</v>
      </c>
      <c r="Y23">
        <v>13.44</v>
      </c>
    </row>
    <row r="24" spans="3:27">
      <c r="C24" s="2973">
        <v>14</v>
      </c>
      <c r="D24" s="2973">
        <v>26</v>
      </c>
      <c r="E24" s="2973">
        <v>78.75</v>
      </c>
      <c r="F24" s="2973">
        <v>96</v>
      </c>
      <c r="G24" s="2973">
        <v>10683.46</v>
      </c>
      <c r="H24" s="2973">
        <v>379.55</v>
      </c>
      <c r="I24" s="2973">
        <f t="shared" si="3"/>
        <v>11063.009999999998</v>
      </c>
      <c r="J24" s="3056"/>
      <c r="K24">
        <f t="shared" si="4"/>
        <v>3659.1748387698885</v>
      </c>
      <c r="X24">
        <v>13.44</v>
      </c>
      <c r="Y24">
        <v>13.44</v>
      </c>
    </row>
    <row r="25" spans="3:27">
      <c r="C25" s="2973">
        <v>15</v>
      </c>
      <c r="D25" s="2973">
        <v>32</v>
      </c>
      <c r="E25" s="2973">
        <v>96.75</v>
      </c>
      <c r="F25" s="2973">
        <v>120</v>
      </c>
      <c r="G25" s="2973">
        <v>12444.72</v>
      </c>
      <c r="H25" s="2973">
        <v>334.37</v>
      </c>
      <c r="I25" s="2973">
        <f t="shared" si="3"/>
        <v>12779.09</v>
      </c>
      <c r="J25" s="3056"/>
      <c r="K25">
        <f t="shared" si="4"/>
        <v>4226.7813723729714</v>
      </c>
      <c r="X25">
        <v>13.44</v>
      </c>
      <c r="Y25">
        <v>13.44</v>
      </c>
    </row>
    <row r="26" spans="3:27">
      <c r="C26" s="2973" t="s">
        <v>3192</v>
      </c>
      <c r="D26" s="2973">
        <v>1</v>
      </c>
      <c r="E26" s="2973" t="s">
        <v>3193</v>
      </c>
      <c r="F26" s="2973">
        <v>0</v>
      </c>
      <c r="G26" s="2973">
        <v>13.44</v>
      </c>
      <c r="H26" s="2973">
        <v>0</v>
      </c>
      <c r="I26" s="2973">
        <f t="shared" si="3"/>
        <v>13.44</v>
      </c>
      <c r="J26" s="3056"/>
      <c r="K26">
        <f t="shared" si="4"/>
        <v>4.4453823898800877</v>
      </c>
      <c r="X26">
        <v>94305.76999999999</v>
      </c>
      <c r="AA26">
        <v>94305.76999999999</v>
      </c>
    </row>
    <row r="27" spans="3:27" ht="14.25" thickBot="1">
      <c r="C27" s="2978"/>
      <c r="D27" s="2978"/>
      <c r="E27" s="2978"/>
      <c r="F27" s="2978">
        <f>SUM(F20:F26)</f>
        <v>972</v>
      </c>
      <c r="G27" s="2978">
        <f>SUM(G20:G26)</f>
        <v>102045.80000000002</v>
      </c>
      <c r="H27" s="2978">
        <f>SUM(H20:H26)</f>
        <v>2960.6400000000003</v>
      </c>
      <c r="I27" s="2978">
        <f>SUM(I20:I26)</f>
        <v>105006.43999999999</v>
      </c>
      <c r="J27" s="2978">
        <f>J20</f>
        <v>34731.68</v>
      </c>
      <c r="K27" t="e">
        <f t="shared" ref="K27:K28" si="5">I27/I33*$J$4</f>
        <v>#DIV/0!</v>
      </c>
    </row>
    <row r="28" spans="3:27" ht="14.25" thickBot="1">
      <c r="C28" s="2979"/>
      <c r="D28" s="2979"/>
      <c r="E28" s="2979"/>
      <c r="F28" s="2979">
        <f>F11+F19+F27</f>
        <v>2970</v>
      </c>
      <c r="G28" s="2979">
        <f>G11+G19+G27</f>
        <v>305323.03000000003</v>
      </c>
      <c r="H28" s="2979"/>
      <c r="I28" s="2979">
        <f>I11+I19+I27</f>
        <v>400646.54000000004</v>
      </c>
      <c r="J28" s="2979">
        <f>J11+J19+J27</f>
        <v>94305.76999999999</v>
      </c>
      <c r="K28" t="e">
        <f t="shared" si="5"/>
        <v>#DIV/0!</v>
      </c>
    </row>
  </sheetData>
  <mergeCells count="3">
    <mergeCell ref="J4:J8"/>
    <mergeCell ref="J12:J18"/>
    <mergeCell ref="J20:J26"/>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67" t="s">
        <v>1936</v>
      </c>
      <c r="B2" s="3067"/>
      <c r="C2" s="3067"/>
      <c r="D2" s="970" t="s">
        <v>1912</v>
      </c>
      <c r="E2" s="2230" t="s">
        <v>1913</v>
      </c>
      <c r="F2" s="1395"/>
      <c r="G2" s="2231"/>
      <c r="H2" s="2232"/>
      <c r="I2" s="2233" t="s">
        <v>1937</v>
      </c>
      <c r="J2" s="1395"/>
      <c r="K2" s="1395"/>
      <c r="L2" s="1395"/>
      <c r="M2" s="1395"/>
      <c r="N2" s="1430"/>
      <c r="O2" s="1395"/>
      <c r="P2" s="1395"/>
    </row>
    <row r="3" spans="1:16" ht="15.75" thickBot="1">
      <c r="A3" s="3068" t="s">
        <v>1910</v>
      </c>
      <c r="B3" s="3068"/>
      <c r="C3" s="3068"/>
      <c r="D3" s="46">
        <f>'数据-基础表'!AY6</f>
        <v>300.76</v>
      </c>
      <c r="E3" s="46">
        <f>'数据-基础表'!AZ5</f>
        <v>976.02561669734541</v>
      </c>
      <c r="F3" s="1395"/>
      <c r="G3" s="1402"/>
      <c r="H3" s="1250" t="s">
        <v>1911</v>
      </c>
      <c r="I3" s="55">
        <f>ROUND('数据-基础表'!B3/'数据-基础表'!A3,2)</f>
        <v>3.25</v>
      </c>
      <c r="J3" s="1395"/>
      <c r="K3" s="1395"/>
      <c r="L3" s="1395"/>
      <c r="M3" s="1395"/>
      <c r="N3" s="1430"/>
      <c r="O3" s="1395"/>
      <c r="P3" s="1395"/>
    </row>
    <row r="4" spans="1:16" ht="15">
      <c r="A4" s="3069"/>
      <c r="B4" s="3070"/>
      <c r="C4" s="3071"/>
      <c r="D4" s="2234" t="s">
        <v>1912</v>
      </c>
      <c r="E4" s="2235" t="s">
        <v>1913</v>
      </c>
      <c r="F4" s="1395"/>
      <c r="G4" s="2236" t="s">
        <v>1938</v>
      </c>
      <c r="H4" s="1250" t="s">
        <v>1918</v>
      </c>
      <c r="I4" s="55">
        <f>ROUND(SUMIF('数据-基础表'!I9:AS9,"地上",'数据-基础表'!I5:AS5)/'数据-基础表'!A3,2)</f>
        <v>2.4900000000000002</v>
      </c>
      <c r="J4" s="1395"/>
      <c r="K4" s="1395"/>
      <c r="L4" s="1395"/>
      <c r="M4" s="1395"/>
      <c r="N4" s="1430"/>
      <c r="O4" s="1395"/>
      <c r="P4" s="1395"/>
    </row>
    <row r="5" spans="1:16">
      <c r="A5" s="47" t="s">
        <v>1914</v>
      </c>
      <c r="B5" s="3072" t="s">
        <v>1915</v>
      </c>
      <c r="C5" s="3072"/>
      <c r="D5" s="48">
        <f>ROUND($D$3*E5/$E$3,2)</f>
        <v>236.48</v>
      </c>
      <c r="E5" s="49">
        <f>SUMIF('数据-基础表'!$11:$11,"住宅",'数据-基础表'!$5:$5)</f>
        <v>767.44</v>
      </c>
      <c r="F5" s="1395"/>
      <c r="G5" s="1402"/>
      <c r="H5" s="1250" t="s">
        <v>1911</v>
      </c>
      <c r="I5" s="55">
        <f>ROUND(E31/D31,2)</f>
        <v>3.25</v>
      </c>
      <c r="J5" s="1395"/>
      <c r="K5" s="1395"/>
      <c r="L5" s="1395"/>
      <c r="M5" s="1395"/>
      <c r="N5" s="1395"/>
      <c r="O5" s="1395"/>
      <c r="P5" s="1395"/>
    </row>
    <row r="6" spans="1:16" ht="15" thickBot="1">
      <c r="A6" s="2237"/>
      <c r="B6" s="3072" t="s">
        <v>1916</v>
      </c>
      <c r="C6" s="3072"/>
      <c r="D6" s="48">
        <f>ROUND($D$3*E6/$E$3,2)</f>
        <v>64.28</v>
      </c>
      <c r="E6" s="49">
        <f>E3-E5</f>
        <v>208.58561669734536</v>
      </c>
      <c r="F6" s="1395"/>
      <c r="G6" s="2238" t="s">
        <v>1917</v>
      </c>
      <c r="H6" s="1402" t="s">
        <v>1918</v>
      </c>
      <c r="I6" s="942">
        <f>ROUND(F31/D31,2)</f>
        <v>2.5499999999999998</v>
      </c>
      <c r="J6" s="1395"/>
      <c r="K6" s="1395"/>
      <c r="L6" s="1395"/>
      <c r="M6" s="1395"/>
      <c r="N6" s="1395"/>
      <c r="O6" s="1395"/>
      <c r="P6" s="1395"/>
    </row>
    <row r="7" spans="1:16" ht="15">
      <c r="A7" s="3064"/>
      <c r="B7" s="3065"/>
      <c r="C7" s="3066"/>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236.48</v>
      </c>
      <c r="E8" s="51">
        <f>SUMIF('数据-基础表'!BB10:BK10,"地上",'数据-基础表'!BB5:BK5)</f>
        <v>767.44</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236.48</v>
      </c>
      <c r="E16" s="53">
        <f>SUM(E8:E15)</f>
        <v>767.44</v>
      </c>
      <c r="F16" s="1395"/>
      <c r="G16" s="2240"/>
      <c r="H16" s="2243" t="s">
        <v>1940</v>
      </c>
      <c r="I16" s="2244"/>
      <c r="J16" s="1395"/>
      <c r="K16" s="3061" t="s">
        <v>1940</v>
      </c>
      <c r="L16" s="3062"/>
      <c r="M16" s="3062"/>
      <c r="N16" s="3062"/>
      <c r="O16" s="3062"/>
      <c r="P16" s="3063"/>
    </row>
    <row r="17" spans="1:19" ht="15">
      <c r="A17" s="2245" t="s">
        <v>1941</v>
      </c>
      <c r="B17" s="2246" t="s">
        <v>1942</v>
      </c>
      <c r="C17" s="2247" t="s">
        <v>1943</v>
      </c>
      <c r="D17" s="2248" t="s">
        <v>1931</v>
      </c>
      <c r="E17" s="2249" t="s">
        <v>1932</v>
      </c>
      <c r="F17" s="2250"/>
      <c r="G17" s="2251"/>
      <c r="H17" s="2252" t="s">
        <v>1944</v>
      </c>
      <c r="I17" s="2253" t="s">
        <v>1929</v>
      </c>
      <c r="J17" s="1395"/>
      <c r="K17" s="3058" t="s">
        <v>1945</v>
      </c>
      <c r="L17" s="3059"/>
      <c r="M17" s="3060"/>
      <c r="N17" s="3058" t="s">
        <v>1946</v>
      </c>
      <c r="O17" s="3059"/>
      <c r="P17" s="3060"/>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950" t="s">
        <v>3064</v>
      </c>
      <c r="D19" s="48">
        <f>ROUND($D$3*E19/$E$3,2)</f>
        <v>236.48</v>
      </c>
      <c r="E19" s="56">
        <f t="shared" ref="E19:E26" si="1">SUM(F19:G19)</f>
        <v>767.44</v>
      </c>
      <c r="F19" s="57">
        <f>'数据-基础表'!I20</f>
        <v>767.44</v>
      </c>
      <c r="G19" s="58"/>
      <c r="H19" s="723">
        <f>ROUND($D$3*I19/$E$3,2)</f>
        <v>64.28</v>
      </c>
      <c r="I19" s="51">
        <f t="shared" ref="I19:I26" si="2">IF($I$17="自定义",P19,M19)</f>
        <v>208.59</v>
      </c>
      <c r="J19" s="1395"/>
      <c r="K19" s="1394">
        <f t="shared" ref="K19:K26" si="3">ROUND(E$28*E19/E$27,2)</f>
        <v>208.59</v>
      </c>
      <c r="L19" s="1250">
        <f t="shared" ref="L19:L26" si="4">ROUND(IF(COUNTIF(C19,"*住宅*")&gt;0,E$29*E19/E$32,0),2)</f>
        <v>0</v>
      </c>
      <c r="M19" s="1406">
        <f>K19+L19</f>
        <v>208.59</v>
      </c>
      <c r="N19" s="2264"/>
      <c r="O19" s="2265"/>
      <c r="P19" s="1406">
        <f>N19+O19</f>
        <v>0</v>
      </c>
      <c r="R19" s="1250">
        <f t="shared" ref="R19:S26" si="5">D19+H19</f>
        <v>300.76</v>
      </c>
      <c r="S19" s="1251">
        <f t="shared" si="5"/>
        <v>976.03000000000009</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236.48</v>
      </c>
      <c r="E27" s="1397">
        <f>IF(SUM(E19:E26)='数据-基础表'!BA5,SUM(E19:E26),IF(F27="地上面积有误","面积有误","地下面积有误"))</f>
        <v>767.44</v>
      </c>
      <c r="F27" s="1396">
        <f>IF(SUM(F19:F26)=E8,SUM(F19:F26),"地上面积有误")</f>
        <v>767.44</v>
      </c>
      <c r="G27" s="1398">
        <f>SUM(G19:G26)</f>
        <v>0</v>
      </c>
      <c r="H27" s="1399">
        <f>SUM(H19:H26)</f>
        <v>64.28</v>
      </c>
      <c r="I27" s="1400">
        <f>SUM(I19:I26)</f>
        <v>208.59</v>
      </c>
      <c r="J27" s="1395"/>
      <c r="K27" s="1403">
        <f>SUM(K19:K26)</f>
        <v>208.59</v>
      </c>
      <c r="L27" s="1404">
        <f>SUM(L19:L26)</f>
        <v>0</v>
      </c>
      <c r="M27" s="1407">
        <f>SUM(M19:M26)</f>
        <v>208.59</v>
      </c>
      <c r="N27" s="1403">
        <f t="shared" ref="N27:O27" si="10">SUM(N19:N26)</f>
        <v>0</v>
      </c>
      <c r="O27" s="1404">
        <f t="shared" si="10"/>
        <v>0</v>
      </c>
      <c r="P27" s="1405">
        <f>SUM(P19:P26)</f>
        <v>0</v>
      </c>
      <c r="R27" s="1252">
        <f>IF(SUM(R19:R26)=$D$3,SUM(R19:R26),SUM(R19:R26)&amp;"误差"&amp;ROUND(SUM(R19:R26)-$D$3,2))</f>
        <v>300.76</v>
      </c>
      <c r="S27" s="1250" t="str">
        <f>IF(SUM(S19:S26)=$E$3,SUM(S19:S26),SUM(S19:S26)&amp;"误差"&amp;ROUND(SUM(S19:S26)-E3,2))</f>
        <v>976.03误差0</v>
      </c>
    </row>
    <row r="28" spans="1:19">
      <c r="A28" s="2266"/>
      <c r="B28" s="50" t="s">
        <v>1960</v>
      </c>
      <c r="C28" s="1262" t="s">
        <v>1961</v>
      </c>
      <c r="D28" s="48">
        <f>ROUND($D$3*E28/$E$3,2)</f>
        <v>64.28</v>
      </c>
      <c r="E28" s="56">
        <f>SUM(F28:G28)</f>
        <v>208.58561669734539</v>
      </c>
      <c r="F28" s="64">
        <f>'数据-基础表'!BQ5+'数据-基础表'!BS5</f>
        <v>0</v>
      </c>
      <c r="G28" s="65">
        <f>'数据-基础表'!BR5+'数据-基础表'!BT5</f>
        <v>208.58561669734539</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64.28</v>
      </c>
      <c r="E30" s="1396">
        <f>SUM(E28:E29)</f>
        <v>208.58561669734539</v>
      </c>
      <c r="F30" s="1396">
        <f>SUM(F28:F29)</f>
        <v>0</v>
      </c>
      <c r="G30" s="1398">
        <f>SUM(G28:G29)</f>
        <v>208.58561669734539</v>
      </c>
      <c r="H30" s="1395"/>
      <c r="I30" s="1395"/>
      <c r="J30" s="1395"/>
      <c r="K30" s="1395"/>
      <c r="L30" s="1395"/>
      <c r="M30" s="1395"/>
      <c r="N30" s="1395"/>
      <c r="O30" s="1395"/>
      <c r="P30" s="1395"/>
    </row>
    <row r="31" spans="1:19" ht="15.75" thickBot="1">
      <c r="A31" s="2272"/>
      <c r="B31" s="2273"/>
      <c r="C31" s="1010" t="s">
        <v>1963</v>
      </c>
      <c r="D31" s="729">
        <f>D27+D30</f>
        <v>300.76</v>
      </c>
      <c r="E31" s="729">
        <f>E27+E30</f>
        <v>976.02561669734541</v>
      </c>
      <c r="F31" s="730">
        <f>F27+F30</f>
        <v>767.44</v>
      </c>
      <c r="G31" s="731">
        <f>G27+G30</f>
        <v>208.58561669734539</v>
      </c>
      <c r="H31" s="1395"/>
      <c r="I31" s="1395"/>
      <c r="J31" s="1395"/>
      <c r="K31" s="1395"/>
      <c r="L31" s="1395"/>
      <c r="M31" s="1395"/>
      <c r="N31" s="1395"/>
      <c r="O31" s="1395"/>
      <c r="P31" s="1395"/>
    </row>
    <row r="32" spans="1:19">
      <c r="A32" s="2236"/>
      <c r="B32" s="2236" t="s">
        <v>1964</v>
      </c>
      <c r="C32" s="2236"/>
      <c r="D32" s="2236"/>
      <c r="E32" s="1277">
        <f>SUMIF(C19:C26,"*住宅*",E19:E26)</f>
        <v>767.44</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21.375" style="2278" bestFit="1"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43574</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1986</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住宅</v>
      </c>
      <c r="B6" s="2310" t="str">
        <f>IF(A6=0,"","经营性")</f>
        <v>经营性</v>
      </c>
      <c r="C6" s="2311" t="s">
        <v>3062</v>
      </c>
      <c r="D6" s="1054">
        <f>SUMIF(项目基本情况!D$12:I$12,C6,项目基本情况!D$14:I$14)</f>
        <v>70</v>
      </c>
      <c r="E6" s="1051">
        <f>IF(B6="","",SUMIF(项目基本情况!D$12:I$12,C6,项目基本情况!D$13:I$13))</f>
        <v>68902</v>
      </c>
      <c r="F6" s="72">
        <f>SUMIF(项目基本情况!D$12:I$12,C6,项目基本情况!D$15:I$15)</f>
        <v>69.39</v>
      </c>
      <c r="G6" s="73">
        <f>IF(ISERROR(ROUND(POWER(1+H6,D6-F6)*(POWER(1+H6,F6)-1)/(POWER(1+H6,D6)-1),3)),0,ROUND(POWER(1+H6,D6-F6)*(POWER(1+H6,F6)-1)/(POWER(1+H6,D6)-1),3))</f>
        <v>0.999</v>
      </c>
      <c r="H6" s="802">
        <v>4.4999999999999998E-2</v>
      </c>
      <c r="I6" s="802">
        <v>0.05</v>
      </c>
      <c r="J6" s="74">
        <v>0.08</v>
      </c>
      <c r="K6" s="1254">
        <f>SUMIF('数据-汇总表'!C$19:C$33,A6,'数据-汇总表'!E$19:E$33)</f>
        <v>767.44</v>
      </c>
      <c r="L6" s="803">
        <v>2000</v>
      </c>
      <c r="M6" s="75">
        <f t="shared" ref="M6:M14" si="0">ROUND(K6*L6/10000,0)</f>
        <v>153</v>
      </c>
      <c r="N6" s="801">
        <v>0.28749999999999998</v>
      </c>
      <c r="O6" s="75">
        <f>IF($N$5="成新度","——",ROUND(M6*N6,0))</f>
        <v>44</v>
      </c>
      <c r="P6" s="76">
        <f>IF($N$5="成新度","——",M6-O6)</f>
        <v>109</v>
      </c>
      <c r="Q6" s="804">
        <v>0.2</v>
      </c>
      <c r="R6" s="77">
        <f ca="1">SUMIF('数据-汇总表'!C$19:C$33,A6,'数据-汇总表'!R$19:R$27)</f>
        <v>300.76</v>
      </c>
      <c r="S6" s="54">
        <f>IF('数据-汇总表'!$I$17="按面积比例",SUMIF('数据-汇总表'!C$19:C$33,A6,'数据-汇总表'!K$19:K$33),SUMIF('数据-汇总表'!C$19:C$33,A6,'数据-汇总表'!N$19:N$33))</f>
        <v>208.59</v>
      </c>
      <c r="T6" s="1446">
        <f>ROUND($L$14*S6/10000,0)</f>
        <v>25</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2"/>
      <c r="AO6" s="55" t="e">
        <f ca="1">SUMIF(INDIRECT("'"&amp;AN6&amp;"'"&amp;"!A:A"),"总价",INDIRECT("'"&amp;AN6&amp;"'"&amp;"!B:B"))</f>
        <v>#REF!</v>
      </c>
      <c r="AP6" s="2313">
        <f>IF(C6="住宅",K6*L6,0)</f>
        <v>1534880</v>
      </c>
      <c r="AQ6" s="55">
        <f>ROUND($L$14*$N$14*S6/10000,0)</f>
        <v>7</v>
      </c>
      <c r="AR6" s="55">
        <f>ROUND($L$14*(1-$N$14)*S6/10000,0)</f>
        <v>18</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2011</v>
      </c>
      <c r="B14" s="2310" t="s">
        <v>2012</v>
      </c>
      <c r="C14" s="2315" t="s">
        <v>2011</v>
      </c>
      <c r="D14" s="1054"/>
      <c r="E14" s="1051"/>
      <c r="F14" s="72"/>
      <c r="G14" s="73"/>
      <c r="H14" s="1253"/>
      <c r="I14" s="1253"/>
      <c r="J14" s="1253"/>
      <c r="K14" s="1254">
        <f>SUMIF('数据-汇总表'!C$19:C$33,A14,'数据-汇总表'!E$19:E$33)</f>
        <v>208.58561669734539</v>
      </c>
      <c r="L14" s="91">
        <v>1200</v>
      </c>
      <c r="M14" s="75">
        <f t="shared" si="0"/>
        <v>25</v>
      </c>
      <c r="N14" s="92">
        <v>0.28749999999999998</v>
      </c>
      <c r="O14" s="75">
        <f t="shared" si="3"/>
        <v>7</v>
      </c>
      <c r="P14" s="76">
        <f t="shared" si="4"/>
        <v>18</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2015</v>
      </c>
      <c r="B16" s="97"/>
      <c r="C16" s="1008"/>
      <c r="D16" s="2317"/>
      <c r="E16" s="97"/>
      <c r="F16" s="97"/>
      <c r="G16" s="98">
        <f>ROUND(SUMPRODUCT(G6:G13,K6:K13)/SUMPRODUCT((G6:G13&gt;0)*(K6:K13)),3)</f>
        <v>0.999</v>
      </c>
      <c r="H16" s="99">
        <f>ROUND(SUMPRODUCT(H6:H13,K6:K13)/SUMPRODUCT((H6:H13&gt;0)*(K6:K13)),3)</f>
        <v>4.4999999999999998E-2</v>
      </c>
      <c r="I16" s="100"/>
      <c r="J16" s="100"/>
      <c r="K16" s="101">
        <f>SUM(K6:K15)</f>
        <v>976.02561669734541</v>
      </c>
      <c r="L16" s="102">
        <f>ROUND(M16*10000/SUM(K6:K14),0)</f>
        <v>1824</v>
      </c>
      <c r="M16" s="102">
        <f>SUM(M6:M14)</f>
        <v>178</v>
      </c>
      <c r="N16" s="103">
        <f>ROUND(SUMPRODUCT(M6:M14,N6:N14)/M16,3)</f>
        <v>0.28799999999999998</v>
      </c>
      <c r="O16" s="102">
        <f>SUM(O6:O14)</f>
        <v>51</v>
      </c>
      <c r="P16" s="102">
        <f>SUM(P6:P14)</f>
        <v>127</v>
      </c>
      <c r="Q16" s="104">
        <f>ROUND(SUMPRODUCT(Q6:Q13,K6:K13)/SUMPRODUCT((Q6:Q13&gt;0)*(K6:K13)),2)</f>
        <v>0.2</v>
      </c>
      <c r="R16" s="1258">
        <f ca="1">SUM(R6:R13)</f>
        <v>300.76</v>
      </c>
      <c r="S16" s="105">
        <f>SUM(S6:S13)</f>
        <v>208.59</v>
      </c>
      <c r="T16" s="106">
        <f>IF(SUMIF(T6:T13,"&lt;9E307")=M14,SUMIF(T6:T13,"&lt;9E307"),"有误，请检查")</f>
        <v>25</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2017</v>
      </c>
      <c r="B19" s="112">
        <v>0</v>
      </c>
      <c r="C19" s="2280" t="s">
        <v>2018</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2019</v>
      </c>
      <c r="B20" s="113">
        <v>3</v>
      </c>
      <c r="C20" s="2280" t="s">
        <v>2020</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2021</v>
      </c>
      <c r="B21" s="113">
        <v>0.42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2022</v>
      </c>
      <c r="B22" s="114">
        <f>B19+B20</f>
        <v>3</v>
      </c>
      <c r="C22" s="2280"/>
      <c r="D22" s="2281"/>
      <c r="E22" s="2280"/>
      <c r="F22" s="2280"/>
      <c r="G22" s="2280"/>
      <c r="H22" s="2280"/>
      <c r="I22" s="2280"/>
      <c r="J22" s="2280"/>
      <c r="K22" s="168"/>
      <c r="L22" s="2967" t="s">
        <v>3177</v>
      </c>
      <c r="M22" s="2968" t="s">
        <v>3179</v>
      </c>
      <c r="N22" s="2968" t="s">
        <v>3180</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2023</v>
      </c>
      <c r="B23" s="114">
        <f>B19+B21</f>
        <v>0.42</v>
      </c>
      <c r="C23" s="2280"/>
      <c r="D23" s="2281"/>
      <c r="E23" s="2280"/>
      <c r="F23" s="2280"/>
      <c r="G23" s="2280"/>
      <c r="H23" s="2280"/>
      <c r="I23" s="2280"/>
      <c r="J23" s="2966" t="s">
        <v>3174</v>
      </c>
      <c r="K23" s="2484">
        <v>0.2</v>
      </c>
      <c r="L23" s="168">
        <v>33</v>
      </c>
      <c r="M23" s="1584">
        <v>1</v>
      </c>
      <c r="N23" s="1584">
        <v>11</v>
      </c>
      <c r="O23" s="2970">
        <f>ROUND(N23/L23*$K$25+$K$23,4)</f>
        <v>0.33329999999999999</v>
      </c>
      <c r="P23" s="1584">
        <v>32553.02</v>
      </c>
      <c r="Q23" s="1584">
        <f>P23*O23</f>
        <v>10849.921565999999</v>
      </c>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2024</v>
      </c>
      <c r="B24" s="115">
        <f>B20-B21</f>
        <v>2.58</v>
      </c>
      <c r="C24" s="2280"/>
      <c r="D24" s="2281"/>
      <c r="E24" s="2280"/>
      <c r="F24" s="2280"/>
      <c r="G24" s="2280"/>
      <c r="H24" s="2280"/>
      <c r="I24" s="2280"/>
      <c r="J24" s="2966" t="s">
        <v>3175</v>
      </c>
      <c r="K24" s="2484">
        <v>0.6</v>
      </c>
      <c r="L24" s="168">
        <v>26</v>
      </c>
      <c r="M24" s="1584">
        <v>2</v>
      </c>
      <c r="N24" s="1584">
        <v>14</v>
      </c>
      <c r="O24" s="2970">
        <f t="shared" ref="O24:O30" si="12">ROUND(N24/L24*$K$25+$K$23,4)</f>
        <v>0.41539999999999999</v>
      </c>
      <c r="P24" s="1584">
        <v>12367.16</v>
      </c>
      <c r="Q24" s="1584">
        <f t="shared" ref="Q24:Q39" si="13">P24*O24</f>
        <v>5137.3182639999995</v>
      </c>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966" t="s">
        <v>3176</v>
      </c>
      <c r="K25" s="2484">
        <f>K24-K23</f>
        <v>0.39999999999999997</v>
      </c>
      <c r="L25" s="168">
        <v>33</v>
      </c>
      <c r="M25" s="1584">
        <v>3</v>
      </c>
      <c r="N25" s="1584">
        <v>14</v>
      </c>
      <c r="O25" s="2970">
        <f t="shared" si="12"/>
        <v>0.36969999999999997</v>
      </c>
      <c r="P25" s="1584">
        <v>15056.04</v>
      </c>
      <c r="Q25" s="1584">
        <f t="shared" si="13"/>
        <v>5566.2179880000003</v>
      </c>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2025</v>
      </c>
      <c r="B26" s="2323" t="s">
        <v>2026</v>
      </c>
      <c r="C26" s="2324" t="s">
        <v>2027</v>
      </c>
      <c r="D26" s="2281"/>
      <c r="E26" s="2280"/>
      <c r="F26" s="2280"/>
      <c r="G26" s="2280"/>
      <c r="H26" s="2280"/>
      <c r="I26" s="2280"/>
      <c r="J26" s="2966" t="s">
        <v>3178</v>
      </c>
      <c r="K26" s="2969">
        <f>M23/L23*K25+K23</f>
        <v>0.21212121212121213</v>
      </c>
      <c r="L26" s="168">
        <v>26</v>
      </c>
      <c r="M26" s="1584">
        <v>4</v>
      </c>
      <c r="N26" s="1584">
        <v>25</v>
      </c>
      <c r="O26" s="2970">
        <f t="shared" si="12"/>
        <v>0.58460000000000001</v>
      </c>
      <c r="P26" s="1584">
        <v>11860.13</v>
      </c>
      <c r="Q26" s="1584">
        <f t="shared" si="13"/>
        <v>6933.431998</v>
      </c>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2028</v>
      </c>
      <c r="B27" s="116">
        <v>65</v>
      </c>
      <c r="C27" s="1767" t="s">
        <v>2029</v>
      </c>
      <c r="D27" s="2326"/>
      <c r="E27" s="1430"/>
      <c r="F27" s="1430"/>
      <c r="G27" s="2280"/>
      <c r="H27" s="2280"/>
      <c r="I27" s="2280"/>
      <c r="J27" s="2280"/>
      <c r="K27" s="168"/>
      <c r="L27" s="168">
        <v>33</v>
      </c>
      <c r="M27" s="1584">
        <v>5</v>
      </c>
      <c r="N27" s="1584"/>
      <c r="O27" s="2970">
        <f t="shared" si="12"/>
        <v>0.2</v>
      </c>
      <c r="P27" s="1584"/>
      <c r="Q27" s="1584">
        <f t="shared" si="13"/>
        <v>0</v>
      </c>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119"/>
      <c r="C28" s="2329"/>
      <c r="D28" s="2326"/>
      <c r="E28" s="1430"/>
      <c r="F28" s="1430"/>
      <c r="G28" s="2280"/>
      <c r="H28" s="2280"/>
      <c r="I28" s="2280"/>
      <c r="J28" s="2280"/>
      <c r="K28" s="168"/>
      <c r="L28" s="168">
        <v>33</v>
      </c>
      <c r="M28" s="1584">
        <v>6</v>
      </c>
      <c r="N28" s="1584">
        <v>10</v>
      </c>
      <c r="O28" s="2970">
        <f t="shared" si="12"/>
        <v>0.32119999999999999</v>
      </c>
      <c r="P28" s="1584">
        <v>15686.35</v>
      </c>
      <c r="Q28" s="1584">
        <f t="shared" si="13"/>
        <v>5038.4556199999997</v>
      </c>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1"/>
      <c r="C29" s="1767" t="s">
        <v>2032</v>
      </c>
      <c r="D29" s="2326"/>
      <c r="E29" s="1430"/>
      <c r="F29" s="1430"/>
      <c r="G29" s="2280"/>
      <c r="H29" s="2280"/>
      <c r="I29" s="2280"/>
      <c r="J29" s="2280"/>
      <c r="K29" s="168"/>
      <c r="L29" s="168">
        <v>32</v>
      </c>
      <c r="M29" s="1584">
        <v>7</v>
      </c>
      <c r="N29" s="1584">
        <v>3</v>
      </c>
      <c r="O29" s="2970">
        <f t="shared" si="12"/>
        <v>0.23749999999999999</v>
      </c>
      <c r="P29" s="1584">
        <v>13672.84</v>
      </c>
      <c r="Q29" s="1584">
        <f t="shared" si="13"/>
        <v>3247.2995000000001</v>
      </c>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180</v>
      </c>
      <c r="C30" s="2329"/>
      <c r="D30" s="2326"/>
      <c r="E30" s="1430"/>
      <c r="F30" s="1430"/>
      <c r="G30" s="2280"/>
      <c r="H30" s="2280"/>
      <c r="I30" s="2280"/>
      <c r="J30" s="2280"/>
      <c r="K30" s="168"/>
      <c r="L30" s="168">
        <v>32</v>
      </c>
      <c r="M30" s="1584">
        <v>8</v>
      </c>
      <c r="N30" s="1584">
        <v>7</v>
      </c>
      <c r="O30" s="2970">
        <f t="shared" si="12"/>
        <v>0.28749999999999998</v>
      </c>
      <c r="P30" s="1584">
        <v>767.44</v>
      </c>
      <c r="Q30" s="1584">
        <f t="shared" si="13"/>
        <v>220.63900000000001</v>
      </c>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20">
        <f>B30-B32</f>
        <v>180</v>
      </c>
      <c r="C31" s="1767"/>
      <c r="D31" s="2326"/>
      <c r="E31" s="1430"/>
      <c r="F31" s="1430"/>
      <c r="G31" s="2280"/>
      <c r="H31" s="2280"/>
      <c r="I31" s="2280"/>
      <c r="J31" s="2280"/>
      <c r="K31" s="168"/>
      <c r="L31" s="168">
        <v>32</v>
      </c>
      <c r="M31" s="1584">
        <v>9</v>
      </c>
      <c r="N31" s="1584">
        <v>0</v>
      </c>
      <c r="O31" s="2970">
        <v>0.2</v>
      </c>
      <c r="P31" s="1584">
        <v>29653.74</v>
      </c>
      <c r="Q31" s="1584">
        <f t="shared" si="13"/>
        <v>5930.7480000000005</v>
      </c>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v>33</v>
      </c>
      <c r="M32" s="1584">
        <v>10</v>
      </c>
      <c r="N32" s="1584">
        <v>0</v>
      </c>
      <c r="O32" s="2970"/>
      <c r="P32" s="1584">
        <v>13704.19</v>
      </c>
      <c r="Q32" s="1584">
        <f t="shared" si="13"/>
        <v>0</v>
      </c>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0.03</v>
      </c>
      <c r="C33" s="1766" t="s">
        <v>2037</v>
      </c>
      <c r="D33" s="2281"/>
      <c r="E33" s="2280"/>
      <c r="F33" s="2280"/>
      <c r="G33" s="2280"/>
      <c r="H33" s="2280"/>
      <c r="I33" s="2280"/>
      <c r="J33" s="2280"/>
      <c r="K33" s="168"/>
      <c r="L33" s="168">
        <v>26</v>
      </c>
      <c r="M33" s="1584">
        <v>11</v>
      </c>
      <c r="N33" s="1584">
        <v>0</v>
      </c>
      <c r="O33" s="2970"/>
      <c r="P33" s="1584">
        <v>32252.01</v>
      </c>
      <c r="Q33" s="1584">
        <f t="shared" si="13"/>
        <v>0</v>
      </c>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2">
        <v>0.05</v>
      </c>
      <c r="C34" s="1766" t="s">
        <v>2039</v>
      </c>
      <c r="D34" s="2281" t="s">
        <v>2040</v>
      </c>
      <c r="E34" s="732"/>
      <c r="F34" s="2280"/>
      <c r="G34" s="2280"/>
      <c r="H34" s="2280"/>
      <c r="I34" s="2280"/>
      <c r="J34" s="2280"/>
      <c r="K34" s="168"/>
      <c r="L34" s="168">
        <v>33</v>
      </c>
      <c r="M34" s="1584">
        <v>12</v>
      </c>
      <c r="N34" s="1584">
        <v>0</v>
      </c>
      <c r="O34" s="2970"/>
      <c r="P34" s="1584">
        <v>20672.41</v>
      </c>
      <c r="Q34" s="1584">
        <f t="shared" si="13"/>
        <v>0</v>
      </c>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9">
        <v>180</v>
      </c>
      <c r="C35" s="1766" t="s">
        <v>2042</v>
      </c>
      <c r="D35" s="2326"/>
      <c r="E35" s="1430"/>
      <c r="F35" s="1430"/>
      <c r="G35" s="2280"/>
      <c r="H35" s="2280"/>
      <c r="I35" s="2280"/>
      <c r="J35" s="2280"/>
      <c r="K35" s="168"/>
      <c r="L35" s="168">
        <v>33</v>
      </c>
      <c r="M35" s="1584">
        <v>13</v>
      </c>
      <c r="N35" s="1584">
        <v>0</v>
      </c>
      <c r="O35" s="2970"/>
      <c r="P35" s="1584">
        <v>14110.12</v>
      </c>
      <c r="Q35" s="1584">
        <f t="shared" si="13"/>
        <v>0</v>
      </c>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3">
        <v>1.4999999999999999E-2</v>
      </c>
      <c r="C36" s="1766" t="s">
        <v>2044</v>
      </c>
      <c r="D36" s="2281"/>
      <c r="E36" s="2280"/>
      <c r="F36" s="2280"/>
      <c r="G36" s="2280"/>
      <c r="H36" s="2280"/>
      <c r="I36" s="2280"/>
      <c r="J36" s="2280"/>
      <c r="K36" s="168"/>
      <c r="L36" s="168">
        <v>26</v>
      </c>
      <c r="M36" s="1584">
        <v>14</v>
      </c>
      <c r="N36" s="1584">
        <v>0</v>
      </c>
      <c r="O36" s="2970"/>
      <c r="P36" s="1584">
        <v>14116.36</v>
      </c>
      <c r="Q36" s="1584">
        <f t="shared" si="13"/>
        <v>0</v>
      </c>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2045</v>
      </c>
      <c r="B37" s="124">
        <v>0.02</v>
      </c>
      <c r="C37" s="1766" t="s">
        <v>2046</v>
      </c>
      <c r="D37" s="2281"/>
      <c r="E37" s="2280"/>
      <c r="F37" s="2280"/>
      <c r="G37" s="2280"/>
      <c r="H37" s="2280"/>
      <c r="I37" s="2280"/>
      <c r="J37" s="2280"/>
      <c r="K37" s="168"/>
      <c r="L37" s="168">
        <v>32</v>
      </c>
      <c r="M37" s="1584">
        <v>15</v>
      </c>
      <c r="N37" s="1584">
        <v>0</v>
      </c>
      <c r="O37" s="2970"/>
      <c r="P37" s="1584">
        <v>11063.01</v>
      </c>
      <c r="Q37" s="1584">
        <f t="shared" si="13"/>
        <v>0</v>
      </c>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2047</v>
      </c>
      <c r="B38" s="122">
        <v>0.02</v>
      </c>
      <c r="C38" s="1766" t="s">
        <v>2046</v>
      </c>
      <c r="D38" s="2281"/>
      <c r="E38" s="2280"/>
      <c r="F38" s="2280"/>
      <c r="G38" s="2280"/>
      <c r="H38" s="2280"/>
      <c r="I38" s="2280"/>
      <c r="J38" s="2280"/>
      <c r="K38" s="168"/>
      <c r="L38" s="168">
        <v>33</v>
      </c>
      <c r="M38" s="1584">
        <v>16</v>
      </c>
      <c r="N38" s="1584">
        <v>0</v>
      </c>
      <c r="O38" s="2970"/>
      <c r="P38" s="1584">
        <v>12779.09</v>
      </c>
      <c r="Q38" s="1584">
        <f t="shared" si="13"/>
        <v>0</v>
      </c>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2048</v>
      </c>
      <c r="B39" s="362">
        <f ca="1">存贷款利率!I1</f>
        <v>1.4999999999999999E-2</v>
      </c>
      <c r="C39" s="1766"/>
      <c r="D39" s="2281"/>
      <c r="E39" s="2280"/>
      <c r="F39" s="2280"/>
      <c r="G39" s="2280"/>
      <c r="H39" s="2280"/>
      <c r="I39" s="2280"/>
      <c r="J39" s="2280"/>
      <c r="K39" s="168"/>
      <c r="L39" s="168">
        <v>33</v>
      </c>
      <c r="M39" s="1584">
        <v>17</v>
      </c>
      <c r="N39" s="1584">
        <v>0</v>
      </c>
      <c r="O39" s="1584"/>
      <c r="P39" s="1584">
        <v>26375.040000000001</v>
      </c>
      <c r="Q39" s="1584">
        <f t="shared" si="13"/>
        <v>0</v>
      </c>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2049</v>
      </c>
      <c r="B40" s="1303">
        <f ca="1">存贷款利率!G1</f>
        <v>4.7500000000000001E-2</v>
      </c>
      <c r="C40" s="1766" t="s">
        <v>2050</v>
      </c>
      <c r="D40" s="1584"/>
      <c r="E40" s="2281"/>
      <c r="F40" s="2280"/>
      <c r="G40" s="2280"/>
      <c r="H40" s="2280"/>
      <c r="I40" s="2280"/>
      <c r="J40" s="2280"/>
      <c r="K40" s="168"/>
      <c r="L40" s="168"/>
      <c r="M40" s="1584">
        <v>18</v>
      </c>
      <c r="N40" s="1584"/>
      <c r="O40" s="1584"/>
      <c r="P40" s="1584">
        <v>32444.04</v>
      </c>
      <c r="Q40" s="1584">
        <f>P40*O40</f>
        <v>0</v>
      </c>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2051</v>
      </c>
      <c r="B41" s="125">
        <f>B42+B43</f>
        <v>5.6000000000000001E-2</v>
      </c>
      <c r="C41" s="1767"/>
      <c r="D41" s="1584"/>
      <c r="E41" s="2281"/>
      <c r="F41" s="2280"/>
      <c r="G41" s="2280"/>
      <c r="H41" s="2280"/>
      <c r="I41" s="2280"/>
      <c r="J41" s="2280"/>
      <c r="K41" s="168"/>
      <c r="L41" s="168"/>
      <c r="M41" s="1584">
        <v>19</v>
      </c>
      <c r="N41" s="1584"/>
      <c r="O41" s="1584"/>
      <c r="P41" s="1584">
        <f>SUM(P23:P40)</f>
        <v>309132.99</v>
      </c>
      <c r="Q41" s="1584">
        <f>SUM(Q23:Q40)</f>
        <v>42924.031935999999</v>
      </c>
      <c r="R41" s="1584">
        <f>Q41/P41</f>
        <v>0.13885296401396693</v>
      </c>
      <c r="S41" s="1584">
        <f>R41*3</f>
        <v>0.41655889204190077</v>
      </c>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2052</v>
      </c>
      <c r="B42" s="126">
        <v>0.05</v>
      </c>
      <c r="C42" s="2334">
        <f>IF(B2&lt;DATE(2016,5,1),0,B42)</f>
        <v>0.05</v>
      </c>
      <c r="D42" s="2281"/>
      <c r="E42" s="2280"/>
      <c r="F42" s="2280"/>
      <c r="G42" s="2280"/>
      <c r="H42" s="2280"/>
      <c r="I42" s="2280"/>
      <c r="J42" s="2280"/>
      <c r="K42" s="168"/>
      <c r="L42" s="168"/>
      <c r="M42" s="1584">
        <v>20</v>
      </c>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2053</v>
      </c>
      <c r="B43" s="127">
        <f>B42*(B44+B45+B46)+B47</f>
        <v>6.000000000000001E-3</v>
      </c>
      <c r="C43" s="1767"/>
      <c r="D43" s="2281"/>
      <c r="E43" s="2280"/>
      <c r="F43" s="2280"/>
      <c r="G43" s="2280"/>
      <c r="H43" s="2280"/>
      <c r="I43" s="2280"/>
      <c r="J43" s="2280"/>
      <c r="K43" s="168"/>
      <c r="L43" s="168"/>
      <c r="M43" s="1584">
        <v>21</v>
      </c>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2054</v>
      </c>
      <c r="B44" s="128">
        <v>7.0000000000000007E-2</v>
      </c>
      <c r="C44" s="1766" t="s">
        <v>2055</v>
      </c>
      <c r="D44" s="2281"/>
      <c r="E44" s="2280"/>
      <c r="F44" s="2280"/>
      <c r="G44" s="2280"/>
      <c r="H44" s="2280"/>
      <c r="I44" s="2280"/>
      <c r="J44" s="2280"/>
      <c r="K44" s="168"/>
      <c r="L44" s="168"/>
      <c r="M44" s="1584">
        <v>22</v>
      </c>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2056</v>
      </c>
      <c r="B45" s="126">
        <v>0.03</v>
      </c>
      <c r="C45" s="1767" t="s">
        <v>2057</v>
      </c>
      <c r="D45" s="2281"/>
      <c r="E45" s="2280"/>
      <c r="F45" s="2280"/>
      <c r="G45" s="2280"/>
      <c r="H45" s="2280"/>
      <c r="I45" s="2280"/>
      <c r="J45" s="2280"/>
      <c r="K45" s="168"/>
      <c r="L45" s="168"/>
      <c r="M45" s="1584">
        <v>23</v>
      </c>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2058</v>
      </c>
      <c r="B46" s="126">
        <v>0.02</v>
      </c>
      <c r="C46" s="1767" t="s">
        <v>2059</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2060</v>
      </c>
      <c r="B47" s="129"/>
      <c r="C47" s="1767" t="s">
        <v>2061</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2062</v>
      </c>
      <c r="B48" s="130">
        <v>0.03</v>
      </c>
      <c r="C48" s="1774" t="s">
        <v>2063</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2064</v>
      </c>
      <c r="B49" s="126">
        <v>5.0000000000000001E-4</v>
      </c>
      <c r="C49" s="1774" t="s">
        <v>2065</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2066</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2067</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2068</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2069</v>
      </c>
      <c r="B53" s="2339"/>
      <c r="C53" s="1430" t="s">
        <v>2070</v>
      </c>
      <c r="D53" s="2340" t="s">
        <v>2071</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2072</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2073</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2074</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2075</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2076</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2077</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2078</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2079</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2080</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2081</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73" t="s">
        <v>2082</v>
      </c>
      <c r="B1" s="3074"/>
      <c r="C1" s="3074"/>
      <c r="D1" s="3074"/>
      <c r="E1" s="3074"/>
      <c r="F1" s="3074"/>
      <c r="G1" s="307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376" t="s">
        <v>2089</v>
      </c>
      <c r="H3" s="2371"/>
      <c r="I3" s="2371"/>
      <c r="J3" s="2371"/>
      <c r="K3" s="2371"/>
      <c r="L3" s="2371"/>
      <c r="M3" s="2371"/>
      <c r="N3" s="2371"/>
      <c r="O3" s="2371"/>
      <c r="P3" s="2371"/>
      <c r="Q3" s="2371"/>
      <c r="R3" s="2371"/>
    </row>
    <row r="4" spans="1:29" ht="41.25">
      <c r="A4" s="431"/>
      <c r="B4" s="1798" t="s">
        <v>2090</v>
      </c>
      <c r="C4" s="2377" t="s">
        <v>2091</v>
      </c>
      <c r="D4" s="2374"/>
      <c r="E4" s="2378"/>
      <c r="F4" s="42" t="s">
        <v>2092</v>
      </c>
      <c r="G4" s="2379" t="s">
        <v>2093</v>
      </c>
      <c r="H4" s="2371"/>
      <c r="I4" s="2371"/>
      <c r="J4" s="2371"/>
      <c r="K4" s="2371"/>
      <c r="L4" s="2371"/>
      <c r="M4" s="2371"/>
      <c r="N4" s="2371"/>
      <c r="O4" s="2371"/>
      <c r="P4" s="2371"/>
      <c r="Q4" s="2371"/>
      <c r="R4" s="2371"/>
    </row>
    <row r="5" spans="1:29" ht="41.25">
      <c r="A5" s="431"/>
      <c r="B5" s="1798" t="s">
        <v>2094</v>
      </c>
      <c r="C5" s="2377" t="s">
        <v>2095</v>
      </c>
      <c r="D5" s="2374"/>
      <c r="E5" s="2378"/>
      <c r="F5" s="1798" t="s">
        <v>2096</v>
      </c>
      <c r="G5" s="2379" t="s">
        <v>2097</v>
      </c>
      <c r="H5" s="2371"/>
      <c r="I5" s="2371"/>
      <c r="J5" s="2371"/>
      <c r="K5" s="2371"/>
      <c r="L5" s="2371"/>
      <c r="M5" s="2371"/>
      <c r="N5" s="2371"/>
      <c r="O5" s="2371"/>
      <c r="P5" s="2371"/>
      <c r="Q5" s="2371"/>
      <c r="R5" s="2371"/>
    </row>
    <row r="6" spans="1:29" ht="54">
      <c r="A6" s="431"/>
      <c r="B6" s="1798" t="s">
        <v>2098</v>
      </c>
      <c r="C6" s="2379" t="s">
        <v>2093</v>
      </c>
      <c r="D6" s="2374"/>
      <c r="E6" s="2378"/>
      <c r="F6" s="1798" t="s">
        <v>2099</v>
      </c>
      <c r="G6" s="2379" t="s">
        <v>2100</v>
      </c>
      <c r="H6" s="2371"/>
      <c r="I6" s="2371"/>
      <c r="J6" s="2371"/>
      <c r="K6" s="2371"/>
      <c r="L6" s="2371"/>
      <c r="M6" s="2371"/>
      <c r="N6" s="2371"/>
      <c r="O6" s="2371"/>
      <c r="P6" s="2371"/>
      <c r="Q6" s="2371"/>
      <c r="R6" s="2371"/>
    </row>
    <row r="7" spans="1:29" ht="41.25" thickBot="1">
      <c r="A7" s="431"/>
      <c r="B7" s="1798" t="s">
        <v>2096</v>
      </c>
      <c r="C7" s="2379" t="s">
        <v>2097</v>
      </c>
      <c r="D7" s="2380"/>
      <c r="E7" s="2381"/>
      <c r="F7" s="2382" t="s">
        <v>2101</v>
      </c>
      <c r="G7" s="2383" t="s">
        <v>2102</v>
      </c>
      <c r="H7" s="2371"/>
      <c r="I7" s="2371"/>
      <c r="J7" s="2371"/>
      <c r="K7" s="2371"/>
      <c r="L7" s="2371"/>
      <c r="M7" s="2371"/>
      <c r="N7" s="2371"/>
      <c r="O7" s="2371"/>
      <c r="P7" s="2371"/>
      <c r="Q7" s="2371"/>
      <c r="R7" s="2371"/>
    </row>
    <row r="8" spans="1:29" ht="27">
      <c r="A8" s="431"/>
      <c r="B8" s="1798" t="s">
        <v>2099</v>
      </c>
      <c r="C8" s="2379" t="s">
        <v>2100</v>
      </c>
      <c r="D8" s="2380"/>
      <c r="E8" s="2380"/>
      <c r="F8" s="1136"/>
      <c r="G8" s="1136"/>
      <c r="H8" s="2371"/>
      <c r="I8" s="2371"/>
      <c r="J8" s="2371"/>
      <c r="K8" s="2371"/>
      <c r="L8" s="2371"/>
      <c r="M8" s="2371"/>
      <c r="N8" s="2371"/>
      <c r="O8" s="2371"/>
      <c r="P8" s="2371"/>
      <c r="Q8" s="2371"/>
      <c r="R8" s="2371"/>
    </row>
    <row r="9" spans="1:29" ht="27">
      <c r="A9" s="431"/>
      <c r="B9" s="1798" t="s">
        <v>2103</v>
      </c>
      <c r="C9" s="2377" t="s">
        <v>2104</v>
      </c>
      <c r="D9" s="2374"/>
      <c r="E9" s="2380"/>
      <c r="F9" s="1136"/>
      <c r="G9" s="1136"/>
      <c r="H9" s="2371"/>
      <c r="I9" s="2371"/>
      <c r="J9" s="2371"/>
      <c r="K9" s="2371"/>
      <c r="L9" s="2371"/>
      <c r="M9" s="2371"/>
      <c r="N9" s="2371"/>
      <c r="O9" s="2371"/>
      <c r="P9" s="2371"/>
      <c r="Q9" s="2371"/>
      <c r="R9" s="2371"/>
    </row>
    <row r="10" spans="1:29" s="117" customFormat="1" ht="15.75" thickBot="1">
      <c r="A10" s="2384"/>
      <c r="B10" s="2385" t="s">
        <v>2105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2106</v>
      </c>
      <c r="B13" s="2391"/>
      <c r="C13" s="2391"/>
      <c r="D13" s="2398"/>
      <c r="E13" s="2391"/>
      <c r="F13" s="2391"/>
      <c r="G13" s="2391"/>
    </row>
    <row r="14" spans="1:29" ht="15.75" thickBot="1">
      <c r="A14" s="2402"/>
      <c r="B14" s="2403"/>
      <c r="C14" s="2404" t="s">
        <v>2107</v>
      </c>
      <c r="D14" s="2374"/>
      <c r="E14" s="2405"/>
      <c r="F14" s="2405"/>
      <c r="G14" s="2368" t="s">
        <v>2108</v>
      </c>
    </row>
    <row r="15" spans="1:29" ht="57">
      <c r="A15" s="68" t="s">
        <v>2109</v>
      </c>
      <c r="B15" s="1270" t="s">
        <v>2086</v>
      </c>
      <c r="C15" s="2406" t="str">
        <f>C3</f>
        <v>估价对象周边居住用地比例、居住小区规模和社区发展完善程度，综合评价居住社区成熟度一般</v>
      </c>
      <c r="D15" s="2374"/>
      <c r="E15" s="2407" t="s">
        <v>2110</v>
      </c>
      <c r="F15" s="1270" t="s">
        <v>2111</v>
      </c>
      <c r="G15" s="135" t="str">
        <f>G3</f>
        <v>估价对象位于XX开发区，园区建设成熟度XX，产业集聚程度XX</v>
      </c>
    </row>
    <row r="16" spans="1:29" ht="42.75">
      <c r="A16" s="645"/>
      <c r="B16" s="2408" t="s">
        <v>2090</v>
      </c>
      <c r="C16" s="2409" t="str">
        <f>C4</f>
        <v>估价对象位于XX商圈，周边商业氛围成熟，人流量大，商业繁华度好</v>
      </c>
      <c r="D16" s="2374"/>
      <c r="E16" s="2410"/>
      <c r="F16" s="2411" t="s">
        <v>2092</v>
      </c>
      <c r="G16" s="136" t="str">
        <f>G4</f>
        <v>估价对象周边道路状况、公共交通通达情况、停车便捷程度，综合评价交通便捷度较好</v>
      </c>
    </row>
    <row r="17" spans="1:18" ht="42.75">
      <c r="A17" s="645"/>
      <c r="B17" s="2408" t="s">
        <v>2094</v>
      </c>
      <c r="C17" s="2409" t="str">
        <f>C5</f>
        <v>估价对象位于XX商圈，周边办公楼项目较多，入驻率高，办公集聚程度较好</v>
      </c>
      <c r="D17" s="2380"/>
      <c r="E17" s="2410"/>
      <c r="F17" s="2411" t="s">
        <v>2112</v>
      </c>
      <c r="G17" s="1572"/>
    </row>
    <row r="18" spans="1:18" ht="57">
      <c r="A18" s="645"/>
      <c r="B18" s="2411" t="s">
        <v>2098</v>
      </c>
      <c r="C18" s="136" t="str">
        <f>C6</f>
        <v>估价对象周边道路状况、公共交通通达情况、停车便捷程度，综合评价交通便捷度较好</v>
      </c>
      <c r="D18" s="2380"/>
      <c r="E18" s="2410"/>
      <c r="F18" s="2411" t="s">
        <v>2101</v>
      </c>
      <c r="G18" s="136" t="str">
        <f>G7</f>
        <v>该园区内是否有污染型企业，绿化情况，卫生条件，整体环境状况判断</v>
      </c>
    </row>
    <row r="19" spans="1:18" ht="28.5">
      <c r="A19" s="645"/>
      <c r="B19" s="2411" t="s">
        <v>2113</v>
      </c>
      <c r="C19" s="1572"/>
      <c r="D19" s="2374"/>
      <c r="E19" s="2410"/>
      <c r="F19" s="1798" t="s">
        <v>2096</v>
      </c>
      <c r="G19" s="136" t="str">
        <f>G5</f>
        <v>估价对象所在区域公共配套设施齐备情况</v>
      </c>
    </row>
    <row r="20" spans="1:18" ht="28.5">
      <c r="A20" s="645"/>
      <c r="B20" s="2411" t="s">
        <v>2114</v>
      </c>
      <c r="C20" s="2409" t="str">
        <f>C9</f>
        <v>区域自然环境：；人文环境；综合评价环境状况一般</v>
      </c>
      <c r="D20" s="2380"/>
      <c r="E20" s="2410"/>
      <c r="F20" s="1798" t="s">
        <v>2115</v>
      </c>
      <c r="G20" s="136" t="str">
        <f>G6</f>
        <v>估价对象所在区域基础设施水平</v>
      </c>
    </row>
    <row r="21" spans="1:18" ht="28.5">
      <c r="A21" s="645"/>
      <c r="B21" s="1798" t="s">
        <v>2096</v>
      </c>
      <c r="C21" s="136" t="str">
        <f>C7</f>
        <v>估价对象所在区域公共配套设施齐备情况</v>
      </c>
      <c r="D21" s="2374"/>
      <c r="E21" s="2410"/>
      <c r="F21" s="2411" t="s">
        <v>2116</v>
      </c>
      <c r="G21" s="2412"/>
    </row>
    <row r="22" spans="1:18" ht="13.5" customHeight="1">
      <c r="A22" s="645"/>
      <c r="B22" s="1798" t="s">
        <v>2099</v>
      </c>
      <c r="C22" s="136" t="str">
        <f>C8</f>
        <v>估价对象所在区域基础设施水平</v>
      </c>
      <c r="D22" s="2374"/>
      <c r="E22" s="2410"/>
      <c r="F22" s="2411" t="s">
        <v>2105</v>
      </c>
      <c r="G22" s="1572"/>
    </row>
    <row r="23" spans="1:18" s="2371"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1"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767.44</v>
      </c>
      <c r="C1" s="1745"/>
      <c r="D1" s="1745"/>
      <c r="E1" s="1745"/>
      <c r="F1" s="1745"/>
      <c r="G1" s="1743"/>
    </row>
    <row r="2" spans="1:10" ht="16.5">
      <c r="A2" s="1746" t="s">
        <v>1349</v>
      </c>
      <c r="B2" s="1746">
        <f>SUM(C14:C23)</f>
        <v>236.48</v>
      </c>
      <c r="C2" s="1745"/>
      <c r="D2" s="1745"/>
      <c r="E2" s="1745"/>
      <c r="F2" s="1745"/>
      <c r="G2" s="1743"/>
    </row>
    <row r="3" spans="1:10" ht="16.5">
      <c r="A3" s="1746" t="s">
        <v>1358</v>
      </c>
      <c r="B3" s="1747">
        <f>项目基本情况!D3</f>
        <v>43574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207</v>
      </c>
      <c r="C5" s="1746">
        <f ca="1">ROUND(B5*10000/$B$1,0)</f>
        <v>2697</v>
      </c>
      <c r="D5" s="1746">
        <f ca="1">ROUND(B5*10000/$B$2,0)</f>
        <v>8753</v>
      </c>
      <c r="E5" s="1745"/>
      <c r="F5" s="1743"/>
      <c r="G5" s="1743"/>
    </row>
    <row r="6" spans="1:10" ht="16.5">
      <c r="A6" s="1746" t="s">
        <v>1352</v>
      </c>
      <c r="B6" s="1746">
        <f ca="1">SUM(G14:G23)</f>
        <v>207</v>
      </c>
      <c r="C6" s="1746">
        <f ca="1">ROUND(B6*10000/$B$1,0)</f>
        <v>2697</v>
      </c>
      <c r="D6" s="1746">
        <f ca="1">ROUND(B6*10000/$B$2,0)</f>
        <v>8753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767.44</v>
      </c>
      <c r="C14" s="1744">
        <f>结果表!C118</f>
        <v>236.48</v>
      </c>
      <c r="D14" s="1744">
        <f ca="1">结果表!H118</f>
        <v>207</v>
      </c>
      <c r="E14" s="1744">
        <f ca="1">ROUND(D14*10000/B14,0)</f>
        <v>2697</v>
      </c>
      <c r="F14" s="1744">
        <f ca="1">ROUND(D14*10000/C14,0)</f>
        <v>8753</v>
      </c>
      <c r="G14" s="1744">
        <f ca="1">结果表!D122</f>
        <v>207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2119</v>
      </c>
      <c r="B1" s="2422"/>
      <c r="C1" s="2423" t="s">
        <v>3062</v>
      </c>
      <c r="D1" s="2422"/>
      <c r="E1" s="2422"/>
      <c r="F1" s="2424" t="s">
        <v>2120</v>
      </c>
      <c r="G1" s="2073" t="s">
        <v>3194</v>
      </c>
      <c r="H1" s="2425" t="str">
        <f>IF(G1="现房","——","估价对象范围")</f>
        <v>估价对象范围</v>
      </c>
      <c r="I1" s="2426"/>
    </row>
    <row r="2" spans="1:12" ht="21.75" customHeight="1" thickBot="1">
      <c r="A2" s="3108" t="str">
        <f>项目基本情况!S2</f>
        <v>四川省南充市出让国有建设用地使用权及在建建筑物房地产</v>
      </c>
      <c r="B2" s="3109"/>
      <c r="C2" s="3109"/>
      <c r="D2" s="3109"/>
      <c r="E2" s="3109"/>
      <c r="F2" s="3109"/>
      <c r="G2" s="3109"/>
      <c r="H2" s="3109"/>
      <c r="I2" s="3110"/>
    </row>
    <row r="3" spans="1:12" ht="12.75">
      <c r="A3" s="3112" t="s">
        <v>2121</v>
      </c>
      <c r="B3" s="3113"/>
      <c r="C3" s="3113"/>
      <c r="D3" s="3113"/>
      <c r="E3" s="3113"/>
      <c r="F3" s="3113"/>
      <c r="G3" s="3113"/>
      <c r="H3" s="3113"/>
      <c r="I3" s="3113"/>
    </row>
    <row r="4" spans="1:12" ht="14.25">
      <c r="A4" s="2429" t="s">
        <v>2122</v>
      </c>
      <c r="B4" s="2430" t="s">
        <v>2123</v>
      </c>
      <c r="C4" s="2431" t="s">
        <v>3167</v>
      </c>
      <c r="D4" s="2431" t="s">
        <v>3168</v>
      </c>
      <c r="E4" s="3105" t="s">
        <v>2124</v>
      </c>
      <c r="F4" s="3106"/>
      <c r="G4" s="3106"/>
      <c r="H4" s="3106"/>
      <c r="I4" s="3114"/>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88" t="s">
        <v>2125</v>
      </c>
      <c r="B5" s="3024">
        <v>25</v>
      </c>
      <c r="C5" s="3091"/>
      <c r="D5" s="3111"/>
      <c r="E5" s="140" t="s">
        <v>2126</v>
      </c>
      <c r="F5" s="2433"/>
      <c r="G5" s="2433"/>
      <c r="H5" s="2433"/>
      <c r="I5" s="1834"/>
    </row>
    <row r="6" spans="1:12" ht="12.75">
      <c r="A6" s="3088"/>
      <c r="B6" s="3024"/>
      <c r="C6" s="3092"/>
      <c r="D6" s="3111"/>
      <c r="E6" s="140" t="s">
        <v>2127</v>
      </c>
      <c r="F6" s="2433"/>
      <c r="G6" s="2433"/>
      <c r="H6" s="2433"/>
      <c r="I6" s="1834"/>
    </row>
    <row r="7" spans="1:12" ht="12.75">
      <c r="A7" s="3088"/>
      <c r="B7" s="3024"/>
      <c r="C7" s="3093"/>
      <c r="D7" s="3111"/>
      <c r="E7" s="140" t="s">
        <v>2128</v>
      </c>
      <c r="F7" s="2433"/>
      <c r="G7" s="2433"/>
      <c r="H7" s="2433"/>
      <c r="I7" s="1834"/>
    </row>
    <row r="8" spans="1:12" ht="12.75">
      <c r="A8" s="3088" t="s">
        <v>2129</v>
      </c>
      <c r="B8" s="3024">
        <v>15</v>
      </c>
      <c r="C8" s="3091"/>
      <c r="D8" s="3111"/>
      <c r="E8" s="140" t="s">
        <v>2130</v>
      </c>
      <c r="F8" s="2433"/>
      <c r="G8" s="2433"/>
      <c r="H8" s="2433"/>
      <c r="I8" s="1834"/>
    </row>
    <row r="9" spans="1:12" ht="12.75">
      <c r="A9" s="3088"/>
      <c r="B9" s="3024"/>
      <c r="C9" s="3093"/>
      <c r="D9" s="3111"/>
      <c r="E9" s="140" t="s">
        <v>2131</v>
      </c>
      <c r="F9" s="2433"/>
      <c r="G9" s="2433"/>
      <c r="H9" s="2433"/>
      <c r="I9" s="1834"/>
    </row>
    <row r="10" spans="1:12" ht="12.75">
      <c r="A10" s="3088" t="s">
        <v>2132</v>
      </c>
      <c r="B10" s="3024">
        <v>15</v>
      </c>
      <c r="C10" s="3091"/>
      <c r="D10" s="3111"/>
      <c r="E10" s="140" t="s">
        <v>2133</v>
      </c>
      <c r="F10" s="2433"/>
      <c r="G10" s="2433"/>
      <c r="H10" s="2433"/>
      <c r="I10" s="1834"/>
    </row>
    <row r="11" spans="1:12" ht="12.75">
      <c r="A11" s="3088"/>
      <c r="B11" s="3024"/>
      <c r="C11" s="3093"/>
      <c r="D11" s="3111"/>
      <c r="E11" s="140" t="s">
        <v>2134</v>
      </c>
      <c r="F11" s="2433"/>
      <c r="G11" s="2433"/>
      <c r="H11" s="2433"/>
      <c r="I11" s="1834"/>
    </row>
    <row r="12" spans="1:12" ht="12.75">
      <c r="A12" s="3088" t="s">
        <v>2135</v>
      </c>
      <c r="B12" s="3024">
        <v>15</v>
      </c>
      <c r="C12" s="3091"/>
      <c r="D12" s="3111"/>
      <c r="E12" s="140" t="s">
        <v>2136</v>
      </c>
      <c r="F12" s="2433"/>
      <c r="G12" s="2433"/>
      <c r="H12" s="2433"/>
      <c r="I12" s="1834"/>
    </row>
    <row r="13" spans="1:12" ht="12.75">
      <c r="A13" s="3088"/>
      <c r="B13" s="3024"/>
      <c r="C13" s="3093"/>
      <c r="D13" s="3111"/>
      <c r="E13" s="140" t="s">
        <v>2137</v>
      </c>
      <c r="F13" s="2433"/>
      <c r="G13" s="2433"/>
      <c r="H13" s="2433"/>
      <c r="I13" s="1834"/>
    </row>
    <row r="14" spans="1:12" ht="12.75">
      <c r="A14" s="3088" t="s">
        <v>2138</v>
      </c>
      <c r="B14" s="3024">
        <v>30</v>
      </c>
      <c r="C14" s="3091">
        <v>6</v>
      </c>
      <c r="D14" s="3111">
        <v>4</v>
      </c>
      <c r="E14" s="140" t="s">
        <v>2139</v>
      </c>
      <c r="F14" s="2433"/>
      <c r="G14" s="2433"/>
      <c r="H14" s="2433"/>
      <c r="I14" s="1834"/>
    </row>
    <row r="15" spans="1:12" ht="12.75">
      <c r="A15" s="3088"/>
      <c r="B15" s="3024"/>
      <c r="C15" s="3092"/>
      <c r="D15" s="3111"/>
      <c r="E15" s="140" t="s">
        <v>2140</v>
      </c>
      <c r="F15" s="2433"/>
      <c r="G15" s="2433"/>
      <c r="H15" s="2433"/>
      <c r="I15" s="1834"/>
    </row>
    <row r="16" spans="1:12" ht="12.75">
      <c r="A16" s="3088"/>
      <c r="B16" s="3024"/>
      <c r="C16" s="3093"/>
      <c r="D16" s="3111"/>
      <c r="E16" s="140" t="s">
        <v>2141</v>
      </c>
      <c r="F16" s="2433"/>
      <c r="G16" s="2433"/>
      <c r="H16" s="2433"/>
      <c r="I16" s="1834"/>
    </row>
    <row r="17" spans="1:35" ht="15">
      <c r="A17" s="2434" t="s">
        <v>2142</v>
      </c>
      <c r="B17" s="64"/>
      <c r="C17" s="141">
        <f>SUM(C5:C16)</f>
        <v>6</v>
      </c>
      <c r="D17" s="141">
        <f>SUM(D5:D16)</f>
        <v>4</v>
      </c>
      <c r="E17" s="138"/>
      <c r="F17" s="138"/>
      <c r="G17" s="138"/>
      <c r="H17" s="138"/>
      <c r="I17" s="138"/>
      <c r="K17" s="2432"/>
      <c r="L17" s="2435" t="s">
        <v>2143</v>
      </c>
      <c r="M17" s="2435" t="s">
        <v>2144</v>
      </c>
    </row>
    <row r="18" spans="1:35" ht="15.75" thickBot="1">
      <c r="A18" s="2436" t="s">
        <v>2145</v>
      </c>
      <c r="B18" s="2437"/>
      <c r="C18" s="142">
        <f>ROUND(C17/SUM(C17:D17),2)</f>
        <v>0.6</v>
      </c>
      <c r="D18" s="142">
        <f>1-C18</f>
        <v>0.4</v>
      </c>
      <c r="E18" s="138"/>
      <c r="F18" s="138"/>
      <c r="G18" s="138"/>
      <c r="H18" s="138"/>
      <c r="I18" s="138"/>
      <c r="K18" s="2432" t="s">
        <v>2146</v>
      </c>
      <c r="L18" s="2432">
        <f>IF(C1="",'数据-汇总表'!E3,SUMIF(项目类型,C1,'数据-汇总表'!E17:E26)+SUMIF(项目类型,C1,'数据-汇总表'!I17:I26))</f>
        <v>976.03000000000009</v>
      </c>
      <c r="M18" s="2432">
        <f>IF(C1="",'数据-汇总表'!E3,SUMIF(项目类型,C1,'数据-汇总表'!E17:E26))</f>
        <v>767.44</v>
      </c>
    </row>
    <row r="19" spans="1:35" ht="15">
      <c r="A19" s="2438" t="s">
        <v>2147</v>
      </c>
      <c r="B19" s="2439" t="s">
        <v>2148</v>
      </c>
      <c r="C19" s="143">
        <f ca="1">SUMIF(INDIRECT("'"&amp;C4&amp;"'"&amp;"!A:A"),结果表!B19,INDIRECT("'"&amp;C4&amp;"'"&amp;"!B:B"))</f>
        <v>232</v>
      </c>
      <c r="D19" s="144">
        <f ca="1">SUMIF(INDIRECT("'"&amp;D4&amp;"'"&amp;"!A:A"),结果表!B19,INDIRECT("'"&amp;D4&amp;"'"&amp;"!B:B"))</f>
        <v>169</v>
      </c>
      <c r="E19" s="2438" t="s">
        <v>2149</v>
      </c>
      <c r="F19" s="2439" t="s">
        <v>2148</v>
      </c>
      <c r="G19" s="145">
        <f ca="1">ROUND(C19*$C$18+D19*$D$18,0)</f>
        <v>207</v>
      </c>
      <c r="H19" s="2440" t="s">
        <v>2150</v>
      </c>
      <c r="I19" s="138"/>
      <c r="K19" s="2432" t="s">
        <v>2151</v>
      </c>
      <c r="L19" s="2432">
        <f>IF(C1="",'数据-汇总表'!D3,SUMIF(项目类型,C1,'数据-汇总表'!D17:D26)+SUMIF(项目类型,C1,'数据-汇总表'!H17:H27))</f>
        <v>300.76</v>
      </c>
      <c r="M19" s="2432">
        <f>IF(C1="",'数据-汇总表'!D3,SUMIF(项目类型,C1,'数据-汇总表'!D17:D26))</f>
        <v>236.48</v>
      </c>
    </row>
    <row r="20" spans="1:35" ht="15">
      <c r="A20" s="2441"/>
      <c r="B20" s="1250" t="s">
        <v>2152</v>
      </c>
      <c r="C20" s="146">
        <f ca="1">SUMIF(INDIRECT("'"&amp;C4&amp;"'"&amp;"!A:A"),结果表!B20,INDIRECT("'"&amp;C4&amp;"'"&amp;"!B:B"))</f>
        <v>2377</v>
      </c>
      <c r="D20" s="147">
        <f ca="1">SUMIF(INDIRECT("'"&amp;D4&amp;"'"&amp;"!A:A"),结果表!B20,INDIRECT("'"&amp;D4&amp;"'"&amp;"!B:B"))</f>
        <v>1732</v>
      </c>
      <c r="E20" s="2441"/>
      <c r="F20" s="1250" t="s">
        <v>2152</v>
      </c>
      <c r="G20" s="148">
        <f ca="1">ROUND(C20*$C$18+D20*$D$18,0)</f>
        <v>2119</v>
      </c>
      <c r="H20" s="983" t="s">
        <v>2153</v>
      </c>
      <c r="I20" s="138"/>
    </row>
    <row r="21" spans="1:35" ht="15" customHeight="1" thickBot="1">
      <c r="A21" s="1003"/>
      <c r="B21" s="2442" t="s">
        <v>2154</v>
      </c>
      <c r="C21" s="789">
        <f ca="1">ROUND(C19*10000/L19,0)</f>
        <v>7714</v>
      </c>
      <c r="D21" s="790">
        <f ca="1">ROUND(D19*10000/L19,0)</f>
        <v>5619</v>
      </c>
      <c r="E21" s="1003"/>
      <c r="F21" s="2442" t="s">
        <v>2154</v>
      </c>
      <c r="G21" s="149">
        <f ca="1">ROUND(G19*10000/L19,0)</f>
        <v>6883</v>
      </c>
      <c r="H21" s="2443" t="s">
        <v>2153</v>
      </c>
      <c r="I21" s="138"/>
    </row>
    <row r="22" spans="1:35" ht="15" thickBot="1">
      <c r="A22" s="2284" t="s">
        <v>2155</v>
      </c>
      <c r="B22" s="2444"/>
      <c r="C22" s="2445"/>
      <c r="D22" s="791">
        <f ca="1">IF(C19&lt;D19,D19/C19-1,C19/D19-1)</f>
        <v>0.3727810650887573</v>
      </c>
      <c r="E22" s="138"/>
      <c r="F22" s="138"/>
      <c r="G22" s="138"/>
      <c r="H22" s="138"/>
      <c r="I22" s="138"/>
    </row>
    <row r="23" spans="1:35" ht="13.5" thickBot="1">
      <c r="A23" s="2422"/>
      <c r="B23" s="2422"/>
      <c r="C23" s="2422"/>
      <c r="D23" s="2422"/>
      <c r="E23" s="138"/>
      <c r="F23" s="138"/>
      <c r="G23" s="138"/>
      <c r="H23" s="138"/>
      <c r="I23" s="138"/>
    </row>
    <row r="24" spans="1:35" ht="14.25">
      <c r="A24" s="3082" t="s">
        <v>2156</v>
      </c>
      <c r="B24" s="2439" t="s">
        <v>2148</v>
      </c>
      <c r="C24" s="145">
        <f>IF(B30=0,0,D30)</f>
        <v>0</v>
      </c>
      <c r="D24" s="2446"/>
      <c r="E24" s="138"/>
      <c r="F24" s="138"/>
      <c r="G24" s="138"/>
      <c r="H24" s="138"/>
      <c r="I24" s="138"/>
    </row>
    <row r="25" spans="1:35" ht="14.25">
      <c r="A25" s="3083"/>
      <c r="B25" s="1250"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2161</v>
      </c>
      <c r="B30" s="151"/>
      <c r="C30" s="151"/>
      <c r="D30" s="151"/>
      <c r="E30" s="2929"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2162</v>
      </c>
      <c r="B32" s="2452"/>
      <c r="C32" s="153">
        <f ca="1">IF(D32="总价",G19-C24,G20-C25)</f>
        <v>207</v>
      </c>
      <c r="D32" s="2453" t="s">
        <v>2163</v>
      </c>
      <c r="E32" s="138"/>
      <c r="F32" s="138"/>
      <c r="G32" s="138"/>
      <c r="H32" s="138"/>
      <c r="I32" s="138"/>
    </row>
    <row r="33" spans="1:15" ht="15">
      <c r="A33" s="960" t="s">
        <v>2164</v>
      </c>
      <c r="B33" s="2454"/>
      <c r="C33" s="2455"/>
      <c r="D33" s="2456"/>
      <c r="E33" s="2457" t="s">
        <v>2165</v>
      </c>
      <c r="F33" s="2458" t="str">
        <f>IF(D32="楼面单价","取值（单价）","取值（总价）")</f>
        <v>取值（总价）</v>
      </c>
      <c r="G33" s="138"/>
      <c r="H33" s="138"/>
      <c r="I33" s="138"/>
    </row>
    <row r="34" spans="1:15" ht="15">
      <c r="A34" s="2459"/>
      <c r="B34" s="2460"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2167</v>
      </c>
      <c r="F34" s="1739"/>
      <c r="G34" s="138"/>
      <c r="H34" s="138"/>
      <c r="I34" s="138"/>
    </row>
    <row r="35" spans="1:15" ht="15.75" thickBot="1">
      <c r="A35" s="2462"/>
      <c r="B35" s="2463"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2169</v>
      </c>
      <c r="F35" s="163"/>
      <c r="G35" s="138"/>
      <c r="H35" s="138"/>
      <c r="I35" s="138"/>
    </row>
    <row r="36" spans="1:15" ht="15.75" thickBot="1">
      <c r="A36" s="3100" t="s">
        <v>2170</v>
      </c>
      <c r="B36" s="2465" t="s">
        <v>2171</v>
      </c>
      <c r="C36" s="154"/>
      <c r="D36" s="2466"/>
      <c r="E36" s="2467"/>
      <c r="F36" s="2468"/>
      <c r="G36" s="138"/>
      <c r="H36" s="138"/>
      <c r="I36" s="138"/>
    </row>
    <row r="37" spans="1:15" ht="15.75" thickBot="1">
      <c r="A37" s="3101"/>
      <c r="B37" s="2270" t="s">
        <v>2172</v>
      </c>
      <c r="C37" s="156"/>
      <c r="D37" s="1395"/>
      <c r="E37" s="1395"/>
      <c r="F37" s="2468"/>
      <c r="G37" s="138"/>
      <c r="H37" s="138"/>
      <c r="I37" s="138"/>
    </row>
    <row r="38" spans="1:15" ht="15.75" thickBot="1">
      <c r="A38" s="3102"/>
      <c r="B38" s="2469" t="s">
        <v>2173</v>
      </c>
      <c r="C38" s="727"/>
      <c r="D38" s="2470" t="s">
        <v>2174</v>
      </c>
      <c r="E38" s="1395"/>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8"/>
      <c r="C40" s="159"/>
      <c r="D40" s="159"/>
      <c r="E40" s="160"/>
      <c r="F40" s="2468"/>
      <c r="G40" s="138"/>
      <c r="H40" s="138"/>
      <c r="I40" s="138"/>
    </row>
    <row r="41" spans="1:15" ht="14.25">
      <c r="A41" s="2474" t="s">
        <v>2181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079" t="s">
        <v>2184</v>
      </c>
      <c r="B45" s="3080"/>
      <c r="C45" s="3081"/>
      <c r="D45" s="164">
        <f ca="1">ROUND(H101*F45,0)</f>
        <v>207</v>
      </c>
      <c r="E45" s="165" t="s">
        <v>2185</v>
      </c>
      <c r="F45" s="166">
        <v>1</v>
      </c>
      <c r="G45" s="167" t="s">
        <v>2186</v>
      </c>
      <c r="H45" s="138"/>
      <c r="I45" s="138"/>
      <c r="J45" s="3139" t="s">
        <v>2187</v>
      </c>
      <c r="K45" s="3139"/>
      <c r="L45" s="3139"/>
      <c r="M45" s="3139"/>
      <c r="N45" s="3139"/>
      <c r="O45" s="3139"/>
    </row>
    <row r="46" spans="1:15" ht="14.25" customHeight="1">
      <c r="A46" s="3076" t="s">
        <v>2188</v>
      </c>
      <c r="B46" s="3077"/>
      <c r="C46" s="3077"/>
      <c r="D46" s="3077"/>
      <c r="E46" s="3077"/>
      <c r="F46" s="3077"/>
      <c r="G46" s="3078"/>
      <c r="H46" s="2484"/>
      <c r="I46" s="168"/>
      <c r="J46" s="1812">
        <v>1</v>
      </c>
      <c r="K46" s="3139" t="s">
        <v>2189</v>
      </c>
      <c r="L46" s="3139"/>
      <c r="M46" s="3159"/>
      <c r="N46" s="3159"/>
      <c r="O46" s="3159"/>
    </row>
    <row r="47" spans="1:15" ht="12" customHeight="1">
      <c r="A47" s="169" t="s">
        <v>2190</v>
      </c>
      <c r="B47" s="170"/>
      <c r="C47" s="171"/>
      <c r="D47" s="172" t="s">
        <v>2191</v>
      </c>
      <c r="E47" s="24" t="s">
        <v>2192</v>
      </c>
      <c r="F47" s="173" t="s">
        <v>2193</v>
      </c>
      <c r="G47" s="174" t="s">
        <v>2194</v>
      </c>
      <c r="H47" s="2484"/>
      <c r="I47" s="168"/>
      <c r="J47" s="1812">
        <v>2</v>
      </c>
      <c r="K47" s="3139" t="s">
        <v>2195</v>
      </c>
      <c r="L47" s="3139"/>
      <c r="M47" s="3160">
        <f>'数据-取费表'!B2</f>
        <v>43574</v>
      </c>
      <c r="N47" s="3160"/>
      <c r="O47" s="3160"/>
    </row>
    <row r="48" spans="1:15" ht="25.5">
      <c r="A48" s="3107" t="s">
        <v>2196</v>
      </c>
      <c r="B48" s="3090"/>
      <c r="C48" s="3090"/>
      <c r="D48" s="140">
        <f>IF(H48="情况1",0,IF(H48="情况2",D52,IF(H48="情况3",D53,IF(H48="情况4",D54))))</f>
        <v>0</v>
      </c>
      <c r="E48" s="1801" t="str">
        <f>IF(H48="情况4","(销售额-原购置价)×税（费）率","销售额×税（费）率")</f>
        <v>销售额×税（费）率</v>
      </c>
      <c r="F48" s="175" t="str">
        <f>IF(H48="情况1","免征",'数据-取费表'!B41)</f>
        <v>免征</v>
      </c>
      <c r="G48" s="2485" t="s">
        <v>2197</v>
      </c>
      <c r="H48" s="2486" t="s">
        <v>2198</v>
      </c>
      <c r="I48" s="2484"/>
      <c r="J48" s="1812">
        <v>3</v>
      </c>
      <c r="K48" s="3139" t="s">
        <v>2199</v>
      </c>
      <c r="L48" s="3139"/>
      <c r="M48" s="3161">
        <f ca="1">H101</f>
        <v>207</v>
      </c>
      <c r="N48" s="3161"/>
      <c r="O48" s="3161"/>
    </row>
    <row r="49" spans="1:35" ht="25.5" customHeight="1">
      <c r="A49" s="176" t="s">
        <v>2200</v>
      </c>
      <c r="B49" s="3075" t="s">
        <v>2201</v>
      </c>
      <c r="C49" s="3075"/>
      <c r="D49" s="177">
        <v>0</v>
      </c>
      <c r="E49" s="23" t="s">
        <v>2202</v>
      </c>
      <c r="F49" s="28" t="s">
        <v>34</v>
      </c>
      <c r="G49" s="3145"/>
      <c r="H49" s="138"/>
      <c r="I49" s="2487"/>
      <c r="J49" s="1812">
        <v>4</v>
      </c>
      <c r="K49" s="3139" t="str">
        <f>IF(项目基本情况!E8="房地产抵押价值","房地产抵押价值","抵押担保权已注销时的房地产抵押价值")</f>
        <v>房地产抵押价值</v>
      </c>
      <c r="L49" s="3139"/>
      <c r="M49" s="3161">
        <f ca="1">IF(项目基本情况!E8="房地产抵押价值",H107,H109)</f>
        <v>207</v>
      </c>
      <c r="N49" s="3161"/>
      <c r="O49" s="3161"/>
    </row>
    <row r="50" spans="1:35" ht="25.5" customHeight="1">
      <c r="A50" s="178"/>
      <c r="B50" s="3075" t="s">
        <v>2203</v>
      </c>
      <c r="C50" s="3075"/>
      <c r="D50" s="179"/>
      <c r="E50" s="31"/>
      <c r="F50" s="180"/>
      <c r="G50" s="3146"/>
      <c r="H50" s="138"/>
      <c r="I50" s="2487"/>
      <c r="J50" s="3139" t="s">
        <v>2204</v>
      </c>
      <c r="K50" s="3139"/>
      <c r="L50" s="3139"/>
      <c r="M50" s="3139"/>
      <c r="N50" s="3139"/>
      <c r="O50" s="3139"/>
    </row>
    <row r="51" spans="1:35" ht="12" customHeight="1">
      <c r="A51" s="181"/>
      <c r="B51" s="3075" t="s">
        <v>2205</v>
      </c>
      <c r="C51" s="3075"/>
      <c r="D51" s="182"/>
      <c r="E51" s="30"/>
      <c r="F51" s="180"/>
      <c r="G51" s="3147"/>
      <c r="H51" s="138"/>
      <c r="I51" s="2487"/>
      <c r="J51" s="2488" t="s">
        <v>2206</v>
      </c>
      <c r="K51" s="3139" t="s">
        <v>2207</v>
      </c>
      <c r="L51" s="3139"/>
      <c r="M51" s="2488" t="s">
        <v>2208</v>
      </c>
      <c r="N51" s="2488" t="s">
        <v>2209</v>
      </c>
      <c r="O51" s="2488" t="s">
        <v>2210</v>
      </c>
    </row>
    <row r="52" spans="1:35" ht="24" customHeight="1">
      <c r="A52" s="183" t="s">
        <v>2211</v>
      </c>
      <c r="B52" s="3075" t="s">
        <v>2212</v>
      </c>
      <c r="C52" s="3075"/>
      <c r="D52" s="182">
        <f ca="1">ROUND(D45*'数据-取费表'!B41/(1+'数据-取费表'!C42),0)</f>
        <v>11</v>
      </c>
      <c r="E52" s="11" t="s">
        <v>2213</v>
      </c>
      <c r="F52" s="184">
        <f>'数据-取费表'!B41</f>
        <v>5.6000000000000001E-2</v>
      </c>
      <c r="G52" s="2489"/>
      <c r="H52" s="138"/>
      <c r="I52" s="2487"/>
      <c r="J52" s="1812">
        <v>1</v>
      </c>
      <c r="K52" s="3140" t="s">
        <v>2214</v>
      </c>
      <c r="L52" s="3140"/>
      <c r="M52" s="1754">
        <f>D48</f>
        <v>0</v>
      </c>
      <c r="N52" s="1812" t="str">
        <f>E48</f>
        <v>销售额×税（费）率</v>
      </c>
      <c r="O52" s="1755" t="str">
        <f>F48</f>
        <v>免征</v>
      </c>
    </row>
    <row r="53" spans="1:35" ht="12" customHeight="1">
      <c r="A53" s="183" t="s">
        <v>2215</v>
      </c>
      <c r="B53" s="3098" t="s">
        <v>2216</v>
      </c>
      <c r="C53" s="3099"/>
      <c r="D53" s="182">
        <f ca="1">ROUND(D45*'数据-取费表'!B41/(1+'数据-取费表'!C42),0)</f>
        <v>11</v>
      </c>
      <c r="E53" s="11" t="s">
        <v>2213</v>
      </c>
      <c r="F53" s="184">
        <f>'数据-取费表'!B41</f>
        <v>5.6000000000000001E-2</v>
      </c>
      <c r="G53" s="2489"/>
      <c r="H53" s="138"/>
      <c r="I53" s="2487"/>
      <c r="J53" s="1812">
        <v>2</v>
      </c>
      <c r="K53" s="3140" t="s">
        <v>2217</v>
      </c>
      <c r="L53" s="3140"/>
      <c r="M53" s="1754">
        <f t="shared" ref="M53:O54" ca="1" si="0">D55</f>
        <v>0</v>
      </c>
      <c r="N53" s="1812" t="str">
        <f t="shared" si="0"/>
        <v>销售额×税（费）率</v>
      </c>
      <c r="O53" s="1755">
        <f t="shared" si="0"/>
        <v>5.0000000000000001E-4</v>
      </c>
    </row>
    <row r="54" spans="1:35" ht="12" customHeight="1">
      <c r="A54" s="183" t="s">
        <v>2218</v>
      </c>
      <c r="B54" s="3098" t="s">
        <v>2219</v>
      </c>
      <c r="C54" s="3099"/>
      <c r="D54" s="182">
        <f ca="1">C68</f>
        <v>11</v>
      </c>
      <c r="E54" s="30" t="s">
        <v>2220</v>
      </c>
      <c r="F54" s="184">
        <f>'数据-取费表'!B41</f>
        <v>5.6000000000000001E-2</v>
      </c>
      <c r="G54" s="2489"/>
      <c r="H54" s="2490"/>
      <c r="I54" s="2487"/>
      <c r="J54" s="1812">
        <v>3</v>
      </c>
      <c r="K54" s="3140" t="s">
        <v>2221</v>
      </c>
      <c r="L54" s="3140"/>
      <c r="M54" s="1754">
        <f t="shared" ca="1" si="0"/>
        <v>117</v>
      </c>
      <c r="N54" s="1812" t="str">
        <f t="shared" si="0"/>
        <v>增值额×税（费）率</v>
      </c>
      <c r="O54" s="1756" t="str">
        <f t="shared" si="0"/>
        <v>——</v>
      </c>
    </row>
    <row r="55" spans="1:35" ht="24" customHeight="1">
      <c r="A55" s="3089" t="s">
        <v>2222</v>
      </c>
      <c r="B55" s="3090"/>
      <c r="C55" s="3090"/>
      <c r="D55" s="185">
        <f ca="1">IF(H55="个人住宅",0,ROUND(D45*I55,0))</f>
        <v>0</v>
      </c>
      <c r="E55" s="11" t="s">
        <v>2223</v>
      </c>
      <c r="F55" s="184">
        <f>IF(H55="正常",I55,"免征")</f>
        <v>5.0000000000000001E-4</v>
      </c>
      <c r="G55" s="2489"/>
      <c r="H55" s="2486" t="s">
        <v>2224</v>
      </c>
      <c r="I55" s="186">
        <f>'数据-取费表'!B49</f>
        <v>5.0000000000000001E-4</v>
      </c>
      <c r="J55" s="1812" t="str">
        <f>IF(H59="非个人房产","",4)</f>
        <v/>
      </c>
      <c r="K55" s="3140" t="str">
        <f>IF(H59="非个人房产","——","个人所得税")</f>
        <v>——</v>
      </c>
      <c r="L55" s="3140"/>
      <c r="M55" s="1757" t="str">
        <f>D59</f>
        <v>——</v>
      </c>
      <c r="N55" s="1810" t="str">
        <f>E59</f>
        <v>——</v>
      </c>
      <c r="O55" s="1758" t="str">
        <f>F59</f>
        <v>——</v>
      </c>
    </row>
    <row r="56" spans="1:35" ht="24.75">
      <c r="A56" s="3089" t="s">
        <v>2225</v>
      </c>
      <c r="B56" s="3090"/>
      <c r="C56" s="3090"/>
      <c r="D56" s="185">
        <f ca="1">IF(H56="个人住宅",D57,D58)</f>
        <v>117</v>
      </c>
      <c r="E56" s="11" t="s">
        <v>2226</v>
      </c>
      <c r="F56" s="184" t="str">
        <f>IF(H56="正常",F58,"免征")</f>
        <v>——</v>
      </c>
      <c r="G56" s="2491" t="s">
        <v>2227</v>
      </c>
      <c r="H56" s="2492" t="s">
        <v>2224</v>
      </c>
      <c r="I56" s="2493"/>
      <c r="J56" s="1812" t="str">
        <f>IF(项目基本情况!K6="上海银行",IF(J55="",4,J55+1),"")</f>
        <v/>
      </c>
      <c r="K56" s="3163" t="str">
        <f>IF(项目基本情况!K6="上海银行","其他处置费用","")</f>
        <v/>
      </c>
      <c r="L56" s="3164"/>
      <c r="M56" s="1754" t="str">
        <f>IF(项目基本情况!K6="上海银行",M69,"")</f>
        <v/>
      </c>
      <c r="N56" s="3166" t="str">
        <f>IF(项目基本情况!K6="上海银行","包含处置中涉及的律师、诉讼、拍卖、评估等费用","")</f>
        <v/>
      </c>
      <c r="O56" s="3167"/>
    </row>
    <row r="57" spans="1:35" ht="12.75">
      <c r="A57" s="183" t="s">
        <v>2200</v>
      </c>
      <c r="B57" s="3105" t="s">
        <v>2228</v>
      </c>
      <c r="C57" s="3114"/>
      <c r="D57" s="187">
        <v>0</v>
      </c>
      <c r="E57" s="23" t="s">
        <v>2202</v>
      </c>
      <c r="F57" s="155"/>
      <c r="G57" s="2489"/>
      <c r="H57" s="2493"/>
      <c r="I57" s="2493"/>
      <c r="J57" s="3140">
        <f>IF(AND(J55="",J56=""),4,IF(项目基本情况!K6="上海银行",结果表!J56+1,结果表!J55+1))</f>
        <v>4</v>
      </c>
      <c r="K57" s="3140" t="s">
        <v>2229</v>
      </c>
      <c r="L57" s="2494" t="s">
        <v>2230</v>
      </c>
      <c r="M57" s="1759"/>
      <c r="N57" s="1760">
        <f ca="1">SUMIF(M52:M56,"&lt;9e307")</f>
        <v>117</v>
      </c>
      <c r="O57" s="2495"/>
      <c r="P57" s="1753">
        <f ca="1">N57/M49</f>
        <v>0.56521739130434778</v>
      </c>
    </row>
    <row r="58" spans="1:35" ht="24.75">
      <c r="A58" s="183" t="s">
        <v>2211</v>
      </c>
      <c r="B58" s="3105" t="s">
        <v>2231</v>
      </c>
      <c r="C58" s="3106"/>
      <c r="D58" s="185">
        <f ca="1">IF(H58="转让取得",C81,C97)</f>
        <v>117</v>
      </c>
      <c r="E58" s="11" t="s">
        <v>2226</v>
      </c>
      <c r="F58" s="24" t="s">
        <v>34</v>
      </c>
      <c r="G58" s="2489"/>
      <c r="H58" s="2492" t="s">
        <v>2232</v>
      </c>
      <c r="I58" s="2493"/>
      <c r="J58" s="3140"/>
      <c r="K58" s="3140"/>
      <c r="L58" s="2494" t="s">
        <v>2233</v>
      </c>
      <c r="M58" s="1761"/>
      <c r="N58" s="2496" t="str">
        <f ca="1">NUMBERSTRING(INT(N57*10000),2)&amp;"元整"</f>
        <v>壹佰壹拾柒万元整</v>
      </c>
      <c r="O58" s="2497"/>
    </row>
    <row r="59" spans="1:35" ht="24.75" thickBot="1">
      <c r="A59" s="3143" t="s">
        <v>2234</v>
      </c>
      <c r="B59" s="3144"/>
      <c r="C59" s="3144"/>
      <c r="D59" s="188" t="str">
        <f>IF(H59="非个人房产","——",IF(H59="个人住宅",0,ROUND(D45*I59,0)))</f>
        <v>——</v>
      </c>
      <c r="E59" s="189" t="str">
        <f>IF(H59="非个人房产","——","销售额×税（费）率")</f>
        <v>——</v>
      </c>
      <c r="F59" s="190" t="str">
        <f>IF(H59="非个人房产","——",IF(H59="个人住宅","免征",I59))</f>
        <v>——</v>
      </c>
      <c r="G59" s="2498" t="s">
        <v>2227</v>
      </c>
      <c r="H59" s="2492" t="s">
        <v>2235</v>
      </c>
      <c r="I59" s="191">
        <v>0.01</v>
      </c>
      <c r="J59" s="3141">
        <f>J57+1</f>
        <v>5</v>
      </c>
      <c r="K59" s="3140" t="s">
        <v>2236</v>
      </c>
      <c r="L59" s="1812" t="s">
        <v>2230</v>
      </c>
      <c r="M59" s="1762"/>
      <c r="N59" s="1763">
        <f ca="1">M49-N57</f>
        <v>90</v>
      </c>
      <c r="O59" s="2499"/>
    </row>
    <row r="60" spans="1:35" ht="12" customHeight="1">
      <c r="A60" s="2500"/>
      <c r="B60" s="2422"/>
      <c r="C60" s="2422"/>
      <c r="D60" s="2422"/>
      <c r="E60" s="2169"/>
      <c r="F60" s="2493"/>
      <c r="G60" s="2493"/>
      <c r="H60" s="2501"/>
      <c r="I60" s="138"/>
      <c r="J60" s="3142"/>
      <c r="K60" s="3140"/>
      <c r="L60" s="2494" t="s">
        <v>2233</v>
      </c>
      <c r="M60" s="1761"/>
      <c r="N60" s="2496" t="str">
        <f ca="1">NUMBERSTRING(INT(N59*10000),2)&amp;"元整"</f>
        <v>玖拾万元整</v>
      </c>
      <c r="O60" s="2497"/>
    </row>
    <row r="61" spans="1:35" ht="13.5" thickBot="1">
      <c r="A61" s="3087" t="s">
        <v>2237</v>
      </c>
      <c r="B61" s="3087"/>
      <c r="C61" s="3087"/>
      <c r="D61" s="3087"/>
      <c r="E61" s="3087"/>
      <c r="F61" s="2493"/>
      <c r="G61" s="2493"/>
      <c r="H61" s="2501"/>
      <c r="I61" s="138"/>
      <c r="J61" s="1812">
        <f>J59+1</f>
        <v>6</v>
      </c>
      <c r="K61" s="3140" t="s">
        <v>2238</v>
      </c>
      <c r="L61" s="3140"/>
      <c r="M61" s="1764"/>
      <c r="N61" s="1765">
        <f ca="1">ROUND(N59*10000/'数据-汇总表'!E3,0)</f>
        <v>922</v>
      </c>
      <c r="O61" s="2502"/>
    </row>
    <row r="62" spans="1:35" ht="12.75">
      <c r="A62" s="3103" t="s">
        <v>2239</v>
      </c>
      <c r="B62" s="3104"/>
      <c r="C62" s="1804"/>
      <c r="D62" s="1804" t="s">
        <v>2240</v>
      </c>
      <c r="E62" s="192" t="s">
        <v>2241</v>
      </c>
      <c r="F62" s="2493"/>
      <c r="G62" s="2493"/>
      <c r="H62" s="2501"/>
      <c r="I62" s="138"/>
    </row>
    <row r="63" spans="1:35" ht="12.75">
      <c r="A63" s="203" t="s">
        <v>775</v>
      </c>
      <c r="B63" s="193" t="s">
        <v>2242</v>
      </c>
      <c r="C63" s="194">
        <f ca="1">ROUND((C64+C65)/(1+'数据-取费表'!C42),0)</f>
        <v>197</v>
      </c>
      <c r="D63" s="195"/>
      <c r="E63" s="196"/>
      <c r="F63" s="2493"/>
      <c r="G63" s="2493"/>
      <c r="H63" s="2501"/>
      <c r="I63" s="138"/>
      <c r="J63" s="3165" t="s">
        <v>2243</v>
      </c>
      <c r="K63" s="2503" t="s">
        <v>2244</v>
      </c>
      <c r="L63" s="1752">
        <f ca="1">IF(M49&gt;10000,M49*0.5%,IF(AND(M49&gt;1000,M49&lt;=10000),M49*1%,IF(AND(M49&gt;100,M49&lt;=1000),M49*3%,IF(AND(M49&gt;10,M49&lt;=100),M49*5%,M49*8%))))</f>
        <v>6.21</v>
      </c>
      <c r="M63" s="24">
        <f ca="1">ROUND(L63,1)</f>
        <v>6.2</v>
      </c>
      <c r="Z63" s="2427"/>
      <c r="AI63" s="2428"/>
    </row>
    <row r="64" spans="1:35" ht="14.25" customHeight="1">
      <c r="A64" s="197" t="s">
        <v>770</v>
      </c>
      <c r="B64" s="198" t="s">
        <v>2245</v>
      </c>
      <c r="C64" s="199">
        <f ca="1">D45</f>
        <v>207</v>
      </c>
      <c r="D64" s="200" t="s">
        <v>32</v>
      </c>
      <c r="E64" s="201"/>
      <c r="F64" s="2493"/>
      <c r="G64" s="2493"/>
      <c r="H64" s="2501"/>
      <c r="I64" s="138"/>
      <c r="J64" s="3165"/>
      <c r="K64" s="2503" t="s">
        <v>2246</v>
      </c>
      <c r="L64" s="1752">
        <f ca="1">IF(M49&gt;2000,M49*0.5%,IF(AND(M49&gt;1000,M49&lt;=2000),M49*0.6%,IF(AND(M49&gt;500,M49&lt;=1000),M49*0.7%,IF(AND(M49&gt;200,M49&lt;=500),M49*0.8%,IF(AND(M49&gt;100,M49&lt;=200),M49*0.9%,IF(AND(M49&gt;50,M49&lt;=100),M49*1%,IF(AND(M49&gt;20,M49&lt;=50),M49*1.5%,IF(AND(M49&gt;10,M49&lt;=20),M49*2%,IF(AND(M49&gt;1,M49&lt;=10),M49*2.5%)))))))))</f>
        <v>1.6560000000000001</v>
      </c>
      <c r="M64" s="24">
        <f t="shared" ref="M64:M65" ca="1" si="1">ROUND(L64,1)</f>
        <v>1.7</v>
      </c>
      <c r="N64" s="138" t="s">
        <v>2247</v>
      </c>
      <c r="Z64" s="2427"/>
      <c r="AI64" s="2428"/>
    </row>
    <row r="65" spans="1:35" ht="14.25" customHeight="1">
      <c r="A65" s="197" t="s">
        <v>771</v>
      </c>
      <c r="B65" s="198" t="s">
        <v>2248</v>
      </c>
      <c r="C65" s="202"/>
      <c r="D65" s="200"/>
      <c r="E65" s="201"/>
      <c r="F65" s="2493"/>
      <c r="G65" s="2493"/>
      <c r="H65" s="2501"/>
      <c r="I65" s="138"/>
      <c r="J65" s="3165"/>
      <c r="K65" s="2503" t="s">
        <v>2249</v>
      </c>
      <c r="L65" s="1752">
        <f ca="1">IF(M49&gt;1000,M49*0.1%,IF(AND(M49&gt;500,M49&lt;=1000),M49*0.5%,IF(AND(M49&gt;50,M49&lt;=500),M49*1%,IF(AND(M49&gt;1,M49&lt;=50),M49*1.5%))))</f>
        <v>2.0699999999999998</v>
      </c>
      <c r="M65" s="24">
        <f t="shared" ca="1" si="1"/>
        <v>2.1</v>
      </c>
      <c r="N65" s="138" t="s">
        <v>2247</v>
      </c>
      <c r="Z65" s="2427"/>
      <c r="AI65" s="2428"/>
    </row>
    <row r="66" spans="1:35" ht="14.25" customHeight="1">
      <c r="A66" s="203" t="s">
        <v>772</v>
      </c>
      <c r="B66" s="204" t="s">
        <v>2250</v>
      </c>
      <c r="C66" s="205"/>
      <c r="D66" s="206" t="s">
        <v>32</v>
      </c>
      <c r="E66" s="1776" t="s">
        <v>1367</v>
      </c>
      <c r="F66" s="2493"/>
      <c r="G66" s="2493"/>
      <c r="H66" s="2501"/>
      <c r="I66" s="138"/>
      <c r="J66" s="3165"/>
      <c r="K66" s="2503" t="s">
        <v>2251</v>
      </c>
      <c r="L66" s="1752">
        <f ca="1">M49*0.5%</f>
        <v>1.0349999999999999</v>
      </c>
      <c r="M66" s="24">
        <f ca="1">IF(L66&gt;0.5,0.5,ROUND(L66,0))</f>
        <v>0.5</v>
      </c>
      <c r="N66" s="138" t="s">
        <v>2252</v>
      </c>
      <c r="Z66" s="2427"/>
      <c r="AI66" s="2428"/>
    </row>
    <row r="67" spans="1:35" ht="14.25" customHeight="1">
      <c r="A67" s="203" t="s">
        <v>773</v>
      </c>
      <c r="B67" s="204" t="s">
        <v>2253</v>
      </c>
      <c r="C67" s="207">
        <f ca="1">C63-C66</f>
        <v>197</v>
      </c>
      <c r="D67" s="200" t="s">
        <v>32</v>
      </c>
      <c r="E67" s="201"/>
      <c r="F67" s="2493"/>
      <c r="G67" s="2493"/>
      <c r="H67" s="2501"/>
      <c r="I67" s="138"/>
      <c r="J67" s="3165"/>
      <c r="K67" s="2503" t="s">
        <v>2254</v>
      </c>
      <c r="L67" s="1752">
        <f ca="1">IF(M49&gt;=10000,(8.25+(M49-10000)*0.01%),IF(AND(M49&gt;=8000,M49&lt;10000),(7.85+(M49-8000)*0.02%),IF(AND(M49&gt;=5000,M49&lt;8000),(6.65+(M49-5000)*0.04%),IF(AND(M49&gt;=2000,M49&lt;5000),(4.25+(PM49-2000)*0.08%),IF(AND(M49&gt;=1000,M49&lt;2000),(2.75+(M49-1000)*0.15%),IF(AND(M49&gt;=100,M49&lt;1000),(0.5+(M49-100)*0.25%),IF(AND(M49&gt;0,M49&lt;100),M49*0.5%)))))))</f>
        <v>0.76750000000000007</v>
      </c>
      <c r="M67" s="24">
        <f ca="1">ROUND(L67*0.9,1)</f>
        <v>0.7</v>
      </c>
      <c r="Z67" s="2427"/>
      <c r="AI67" s="2428"/>
    </row>
    <row r="68" spans="1:35" ht="14.25" customHeight="1" thickBot="1">
      <c r="A68" s="208" t="s">
        <v>774</v>
      </c>
      <c r="B68" s="209" t="s">
        <v>2255</v>
      </c>
      <c r="C68" s="210">
        <f ca="1">IF(C67&lt;=0,0,ROUND(C67*D68,0))</f>
        <v>11</v>
      </c>
      <c r="D68" s="211">
        <f>'数据-取费表'!B41</f>
        <v>5.6000000000000001E-2</v>
      </c>
      <c r="E68" s="212"/>
      <c r="F68" s="2493"/>
      <c r="G68" s="2493"/>
      <c r="H68" s="2501"/>
      <c r="I68" s="138"/>
      <c r="J68" s="3165"/>
      <c r="K68" s="2503" t="s">
        <v>2256</v>
      </c>
      <c r="L68" s="1752">
        <f ca="1">IF(M49&gt;10000,M49*0.5%,IF(AND(M49&gt;5000,M49&lt;=10000),M49*1%,IF(AND(M49&gt;1000,M49&lt;=5000),M49*2%,IF(AND(M49&gt;200,M49&lt;=1000),M49*3%,M49*5%))))</f>
        <v>6.21</v>
      </c>
      <c r="M68" s="24">
        <f ca="1">ROUND(L68,1)</f>
        <v>6.2</v>
      </c>
      <c r="Z68" s="2427"/>
      <c r="AI68" s="2428"/>
    </row>
    <row r="69" spans="1:35" s="2450" customFormat="1" ht="16.5" customHeight="1">
      <c r="A69" s="2504"/>
      <c r="B69" s="2505"/>
      <c r="C69" s="2506"/>
      <c r="D69" s="2507"/>
      <c r="E69" s="2508"/>
      <c r="F69" s="2169"/>
      <c r="G69" s="2169"/>
      <c r="H69" s="2168"/>
      <c r="I69" s="2422"/>
      <c r="J69" s="3165"/>
      <c r="K69" s="2503" t="s">
        <v>2257</v>
      </c>
      <c r="L69" s="2509"/>
      <c r="M69" s="24">
        <f ca="1">ROUND(SUM(M63:M68),0)</f>
        <v>17</v>
      </c>
      <c r="N69" s="1753">
        <f ca="1">M69/M49</f>
        <v>8.2125603864734303E-2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4" t="s">
        <v>2258</v>
      </c>
      <c r="B70" s="3125"/>
      <c r="C70" s="3125"/>
      <c r="D70" s="3125"/>
      <c r="E70" s="3125"/>
      <c r="F70" s="3125"/>
      <c r="G70" s="3125"/>
      <c r="H70" s="312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3" t="s">
        <v>2239</v>
      </c>
      <c r="B71" s="3104"/>
      <c r="C71" s="1804"/>
      <c r="D71" s="1804" t="s">
        <v>2240</v>
      </c>
      <c r="E71" s="213" t="s">
        <v>2241</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2259</v>
      </c>
      <c r="C72" s="207">
        <f ca="1">ROUND(D45/(1+'数据-取费表'!C42),0)</f>
        <v>197</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2260</v>
      </c>
      <c r="C73" s="207">
        <f ca="1">C74+C78</f>
        <v>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2261</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2262</v>
      </c>
      <c r="C75" s="218"/>
      <c r="D75" s="200" t="s">
        <v>32</v>
      </c>
      <c r="E75" s="219" t="s">
        <v>2263</v>
      </c>
      <c r="F75" s="2515" t="s">
        <v>2264</v>
      </c>
      <c r="G75" s="219" t="s">
        <v>2265</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2266</v>
      </c>
      <c r="C76" s="200">
        <f>IF(F75="购房发票",ROUND(C75*H75*D76,0),0)</f>
        <v>0</v>
      </c>
      <c r="D76" s="222">
        <v>0.05</v>
      </c>
      <c r="E76" s="3098" t="s">
        <v>2267</v>
      </c>
      <c r="F76" s="3075"/>
      <c r="G76" s="3075"/>
      <c r="H76" s="312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7" t="s">
        <v>2270</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2271</v>
      </c>
      <c r="C78" s="225">
        <f ca="1">ROUND(D45*D78/(1+'数据-取费表'!C42),0)</f>
        <v>1</v>
      </c>
      <c r="D78" s="226">
        <f>'数据-取费表'!B43</f>
        <v>6.000000000000001E-3</v>
      </c>
      <c r="E78" s="3084" t="s">
        <v>2272</v>
      </c>
      <c r="F78" s="3085"/>
      <c r="G78" s="3085"/>
      <c r="H78" s="309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2273</v>
      </c>
      <c r="C79" s="207">
        <f ca="1">C72-C73</f>
        <v>196</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2274</v>
      </c>
      <c r="C80" s="227">
        <f ca="1">IF(C79&lt;=0,0,C79/C73)</f>
        <v>196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2275</v>
      </c>
      <c r="C81" s="228">
        <f ca="1">ROUND(IF(C79&lt;=0,0,IF(C80&gt;=200%,C79*60%-C73*35%,IF(C80&gt;=100%,C79*50%-C73*15%,IF(C80&gt;=50%,C79*40%-C73*5%,IF(C80&lt;50%,C79*30%,0))))),0)</f>
        <v>117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4" t="s">
        <v>2276</v>
      </c>
      <c r="B83" s="3125"/>
      <c r="C83" s="3125"/>
      <c r="D83" s="3125"/>
      <c r="E83" s="3125"/>
      <c r="F83" s="3125"/>
      <c r="G83" s="3125"/>
      <c r="H83" s="312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3" t="s">
        <v>2239</v>
      </c>
      <c r="B84" s="3104"/>
      <c r="C84" s="1804"/>
      <c r="D84" s="1804" t="s">
        <v>2240</v>
      </c>
      <c r="E84" s="213" t="s">
        <v>2241</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2259</v>
      </c>
      <c r="C85" s="207">
        <f ca="1">ROUND(D45/(1+'数据-取费表'!C42),0)</f>
        <v>197</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2260</v>
      </c>
      <c r="C86" s="207">
        <f ca="1">IF(H88="仅含出让金",C87+C90+C91+C92+C93+C94,C87+C91+C92+C93+C94)</f>
        <v>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2277</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2278</v>
      </c>
      <c r="C88" s="236"/>
      <c r="D88" s="226"/>
      <c r="E88" s="237" t="s">
        <v>2279</v>
      </c>
      <c r="F88" s="1800"/>
      <c r="G88" s="238"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2268</v>
      </c>
      <c r="C89" s="225">
        <f>ROUND(C88*D89,0)</f>
        <v>0</v>
      </c>
      <c r="D89" s="226">
        <f>'数据-取费表'!B48+'数据-取费表'!B49</f>
        <v>3.0499999999999999E-2</v>
      </c>
      <c r="E89" s="237" t="s">
        <v>2281</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2282</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2283</v>
      </c>
      <c r="B91" s="198" t="s">
        <v>2284</v>
      </c>
      <c r="C91" s="225">
        <f>IF(H91="——",成本法!C33,I91)</f>
        <v>0</v>
      </c>
      <c r="D91" s="226"/>
      <c r="E91" s="3084" t="s">
        <v>2285</v>
      </c>
      <c r="F91" s="3085"/>
      <c r="G91" s="3085"/>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2287</v>
      </c>
      <c r="B92" s="198" t="s">
        <v>2288</v>
      </c>
      <c r="C92" s="225">
        <f>ROUND((C87+C90+C91)*D92,0)</f>
        <v>0</v>
      </c>
      <c r="D92" s="226">
        <v>0.1</v>
      </c>
      <c r="E92" s="3084" t="s">
        <v>2289</v>
      </c>
      <c r="F92" s="3085"/>
      <c r="G92" s="3085"/>
      <c r="H92" s="309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2290</v>
      </c>
      <c r="B93" s="198" t="s">
        <v>2271</v>
      </c>
      <c r="C93" s="225">
        <f ca="1">ROUND(D45*D93/(1+'数据-取费表'!C42),0)</f>
        <v>1</v>
      </c>
      <c r="D93" s="226">
        <f>'数据-取费表'!B43</f>
        <v>6.000000000000001E-3</v>
      </c>
      <c r="E93" s="3084" t="s">
        <v>2272</v>
      </c>
      <c r="F93" s="3085"/>
      <c r="G93" s="3085"/>
      <c r="H93" s="309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2291</v>
      </c>
      <c r="B94" s="198" t="s">
        <v>2292</v>
      </c>
      <c r="C94" s="236">
        <f>ROUND((C87+C90+C91)*D94,0)</f>
        <v>0</v>
      </c>
      <c r="D94" s="226">
        <v>0.2</v>
      </c>
      <c r="E94" s="3095" t="s">
        <v>2293</v>
      </c>
      <c r="F94" s="3096"/>
      <c r="G94" s="3096"/>
      <c r="H94" s="3097"/>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2273</v>
      </c>
      <c r="C95" s="207">
        <f ca="1">ROUND(C85-C86,0)</f>
        <v>196</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2274</v>
      </c>
      <c r="C96" s="227">
        <f ca="1">IF(C95&lt;=0,0,C95/C86)</f>
        <v>196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2275</v>
      </c>
      <c r="C97" s="228">
        <f ca="1">ROUND(IF(C95&lt;=0,0,IF(C96&gt;=200%,C95*60%-C86*35%,IF(C96&gt;=100%,C95*50%-C86*15%,IF(C96&gt;=50%,C95*40%-C86*5%,IF(C96&lt;50%,C95*30%,0))))),0)</f>
        <v>117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2294</v>
      </c>
      <c r="B99" s="2422"/>
      <c r="C99" s="2422"/>
      <c r="D99" s="2422"/>
      <c r="E99" s="2169"/>
      <c r="F99" s="2169"/>
      <c r="G99" s="2169"/>
      <c r="H99" s="2168"/>
      <c r="I99" s="138"/>
    </row>
    <row r="100" spans="1:35" ht="18.75" customHeight="1">
      <c r="A100" s="3069" t="s">
        <v>2295</v>
      </c>
      <c r="B100" s="3070"/>
      <c r="C100" s="3070"/>
      <c r="D100" s="3086"/>
      <c r="E100" s="3070" t="s">
        <v>2296</v>
      </c>
      <c r="F100" s="3070"/>
      <c r="G100" s="3070"/>
      <c r="H100" s="3086"/>
      <c r="I100" s="138"/>
    </row>
    <row r="101" spans="1:35" ht="18.75" customHeight="1">
      <c r="A101" s="3148" t="s">
        <v>2297</v>
      </c>
      <c r="B101" s="3149"/>
      <c r="C101" s="736" t="str">
        <f>C4</f>
        <v>成本法</v>
      </c>
      <c r="D101" s="737" t="str">
        <f>D4</f>
        <v>假设开发法</v>
      </c>
      <c r="E101" s="3162" t="s">
        <v>2298</v>
      </c>
      <c r="F101" s="3116"/>
      <c r="G101" s="2524" t="s">
        <v>2299</v>
      </c>
      <c r="H101" s="1048">
        <f ca="1">H118</f>
        <v>207</v>
      </c>
      <c r="I101" s="138"/>
    </row>
    <row r="102" spans="1:35" ht="18.75" customHeight="1">
      <c r="A102" s="3118" t="s">
        <v>2300</v>
      </c>
      <c r="B102" s="2524" t="s">
        <v>2299</v>
      </c>
      <c r="C102" s="736">
        <f ca="1">C19</f>
        <v>232</v>
      </c>
      <c r="D102" s="737">
        <f ca="1">D19</f>
        <v>169</v>
      </c>
      <c r="E102" s="3162"/>
      <c r="F102" s="3116"/>
      <c r="G102" s="2524" t="s">
        <v>2301</v>
      </c>
      <c r="H102" s="371">
        <f ca="1">I118</f>
        <v>2697</v>
      </c>
      <c r="I102" s="138"/>
    </row>
    <row r="103" spans="1:35" ht="42.75" customHeight="1">
      <c r="A103" s="3118"/>
      <c r="B103" s="2524" t="s">
        <v>2301</v>
      </c>
      <c r="C103" s="738">
        <f ca="1">C20</f>
        <v>2377</v>
      </c>
      <c r="D103" s="739">
        <f ca="1">D20</f>
        <v>1732</v>
      </c>
      <c r="E103" s="3157" t="s">
        <v>2302</v>
      </c>
      <c r="F103" s="3158"/>
      <c r="G103" s="2525" t="s">
        <v>2303</v>
      </c>
      <c r="H103" s="1048">
        <f>IF(D36="正常操作",H104+H105+H106,H105+H106)</f>
        <v>0</v>
      </c>
      <c r="I103" s="138"/>
    </row>
    <row r="104" spans="1:35" ht="18.75" customHeight="1">
      <c r="A104" s="3118" t="s">
        <v>2304</v>
      </c>
      <c r="B104" s="2526" t="s">
        <v>2299</v>
      </c>
      <c r="C104" s="740">
        <f ca="1">H118</f>
        <v>207</v>
      </c>
      <c r="D104" s="741"/>
      <c r="E104" s="2270" t="s">
        <v>2305</v>
      </c>
      <c r="F104" s="2261"/>
      <c r="G104" s="2525" t="s">
        <v>2303</v>
      </c>
      <c r="H104" s="1049">
        <f>IF(D36="同一抵押权人同一抵押物续贷",C36&amp;"（未扣减，详见特别提示）",C36)</f>
        <v>0</v>
      </c>
      <c r="I104" s="138"/>
    </row>
    <row r="105" spans="1:35" ht="18.75" customHeight="1" thickBot="1">
      <c r="A105" s="3119"/>
      <c r="B105" s="2527" t="s">
        <v>2301</v>
      </c>
      <c r="C105" s="742">
        <f ca="1">I118</f>
        <v>2697</v>
      </c>
      <c r="D105" s="743"/>
      <c r="E105" s="2270" t="s">
        <v>2306</v>
      </c>
      <c r="F105" s="2261"/>
      <c r="G105" s="2525" t="s">
        <v>2303</v>
      </c>
      <c r="H105" s="1049">
        <f>C37</f>
        <v>0</v>
      </c>
      <c r="I105" s="138"/>
    </row>
    <row r="106" spans="1:35" ht="18.75" customHeight="1">
      <c r="A106" s="2422" t="s">
        <v>2307</v>
      </c>
      <c r="B106" s="2422"/>
      <c r="C106" s="2422"/>
      <c r="D106" s="2422"/>
      <c r="E106" s="2528" t="s">
        <v>2308</v>
      </c>
      <c r="F106" s="2261"/>
      <c r="G106" s="2525" t="s">
        <v>2303</v>
      </c>
      <c r="H106" s="1049">
        <f>C38</f>
        <v>0</v>
      </c>
      <c r="I106" s="138"/>
    </row>
    <row r="107" spans="1:35" ht="18.75" customHeight="1">
      <c r="A107" s="138"/>
      <c r="B107" s="138"/>
      <c r="C107" s="138"/>
      <c r="D107" s="138"/>
      <c r="E107" s="3115" t="str">
        <f>IF(项目基本情况!E8="已注销","——","3.房地产抵押价值")</f>
        <v>3.房地产抵押价值</v>
      </c>
      <c r="F107" s="3116"/>
      <c r="G107" s="2524" t="s">
        <v>2299</v>
      </c>
      <c r="H107" s="1048">
        <f ca="1">IF(E107="——","——",H101-H103)</f>
        <v>207</v>
      </c>
      <c r="I107" s="138"/>
    </row>
    <row r="108" spans="1:35" ht="18.75" customHeight="1">
      <c r="A108" s="138"/>
      <c r="B108" s="138"/>
      <c r="C108" s="138"/>
      <c r="D108" s="138"/>
      <c r="E108" s="3115"/>
      <c r="F108" s="3116"/>
      <c r="G108" s="2524" t="s">
        <v>2301</v>
      </c>
      <c r="H108" s="371">
        <f ca="1">ROUND(H107*10000/'数据-汇总表'!E3,0)</f>
        <v>2121</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4" t="s">
        <v>2299</v>
      </c>
      <c r="H109" s="348" t="str">
        <f>IF(E109="——","——",H101-H105-H106)</f>
        <v>——</v>
      </c>
      <c r="I109" s="138"/>
    </row>
    <row r="110" spans="1:35" ht="18.75" customHeight="1">
      <c r="A110" s="138"/>
      <c r="B110" s="138"/>
      <c r="C110" s="138"/>
      <c r="D110" s="138"/>
      <c r="E110" s="3115"/>
      <c r="F110" s="3116"/>
      <c r="G110" s="2524" t="s">
        <v>2301</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4" t="s">
        <v>2299</v>
      </c>
      <c r="H111" s="1048" t="str">
        <f>IF(E111="——","——",N59)</f>
        <v>——</v>
      </c>
      <c r="I111" s="138"/>
    </row>
    <row r="112" spans="1:35" ht="18.75" customHeight="1" thickBot="1">
      <c r="A112" s="138"/>
      <c r="B112" s="138"/>
      <c r="C112" s="138"/>
      <c r="D112" s="138"/>
      <c r="E112" s="3152"/>
      <c r="F112" s="3153"/>
      <c r="G112" s="2529" t="s">
        <v>2301</v>
      </c>
      <c r="H112" s="790" t="str">
        <f>IF(E111="——","——",N61)</f>
        <v>——</v>
      </c>
      <c r="I112" s="138"/>
    </row>
    <row r="113" spans="1:11" ht="18.75" customHeight="1">
      <c r="A113" s="138"/>
      <c r="B113" s="138"/>
      <c r="C113" s="138"/>
      <c r="D113" s="138"/>
      <c r="E113" s="3120" t="s">
        <v>2307</v>
      </c>
      <c r="F113" s="3120"/>
      <c r="G113" s="3120"/>
      <c r="H113" s="3120"/>
      <c r="I113" s="138"/>
    </row>
    <row r="114" spans="1:11" ht="3.75" customHeight="1">
      <c r="A114" s="2422"/>
      <c r="B114" s="2422"/>
      <c r="C114" s="2422"/>
      <c r="D114" s="2422"/>
      <c r="E114" s="2500"/>
      <c r="F114" s="2500"/>
      <c r="G114" s="2500"/>
      <c r="H114" s="2500"/>
      <c r="I114" s="2422"/>
    </row>
    <row r="115" spans="1:11" ht="18.75" customHeight="1">
      <c r="A115" s="3133" t="s">
        <v>2309</v>
      </c>
      <c r="B115" s="3134"/>
      <c r="C115" s="3134"/>
      <c r="D115" s="3134"/>
      <c r="E115" s="3134"/>
      <c r="F115" s="3134"/>
      <c r="G115" s="3134"/>
      <c r="H115" s="3134"/>
      <c r="I115" s="3135"/>
    </row>
    <row r="116" spans="1:11" ht="27" customHeight="1">
      <c r="A116" s="3024" t="s">
        <v>2310</v>
      </c>
      <c r="B116" s="3121" t="s">
        <v>2311</v>
      </c>
      <c r="C116" s="3121" t="s">
        <v>2312</v>
      </c>
      <c r="D116" s="3137" t="s">
        <v>2313</v>
      </c>
      <c r="E116" s="3138"/>
      <c r="F116" s="3129" t="s">
        <v>2314</v>
      </c>
      <c r="G116" s="3129"/>
      <c r="H116" s="3024" t="s">
        <v>2315</v>
      </c>
      <c r="I116" s="3024"/>
    </row>
    <row r="117" spans="1:11" ht="18.75" customHeight="1">
      <c r="A117" s="3024"/>
      <c r="B117" s="3122"/>
      <c r="C117" s="3122"/>
      <c r="D117" s="1798" t="s">
        <v>2316</v>
      </c>
      <c r="E117" s="1798" t="s">
        <v>2317</v>
      </c>
      <c r="F117" s="1798" t="s">
        <v>2316</v>
      </c>
      <c r="G117" s="1798" t="s">
        <v>2318</v>
      </c>
      <c r="H117" s="1798" t="s">
        <v>2316</v>
      </c>
      <c r="I117" s="1798" t="s">
        <v>2318</v>
      </c>
    </row>
    <row r="118" spans="1:11" ht="24.75" customHeight="1">
      <c r="A118" s="2530" t="str">
        <f>项目基本情况!S2</f>
        <v>四川省南充市出让国有建设用地使用权及在建建筑物房地产</v>
      </c>
      <c r="B118" s="1798">
        <f>M18</f>
        <v>767.44</v>
      </c>
      <c r="C118" s="1798">
        <f>M19</f>
        <v>236.48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207</v>
      </c>
      <c r="I118" s="1798">
        <f ca="1">ROUND(IF(D32="楼面单价",C32,H118*10000/B118),0)</f>
        <v>2697</v>
      </c>
    </row>
    <row r="119" spans="1:11" ht="18.75" customHeight="1">
      <c r="A119" s="3024" t="s">
        <v>2319</v>
      </c>
      <c r="B119" s="3024"/>
      <c r="C119" s="3024"/>
      <c r="D119" s="3126" t="e">
        <f ca="1">NUMBERSTRING(INT(D118*10000),2)&amp;"元整"</f>
        <v>#REF!</v>
      </c>
      <c r="E119" s="3128"/>
      <c r="F119" s="3126" t="e">
        <f ca="1">NUMBERSTRING(INT(F118*10000),2)&amp;"元整"</f>
        <v>#REF!</v>
      </c>
      <c r="G119" s="3128"/>
      <c r="H119" s="3126" t="str">
        <f ca="1">NUMBERSTRING(INT(H118*10000),2)&amp;"元整"</f>
        <v>贰佰零柒万元整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7" t="str">
        <f>IF(D120=0,"故，本次评估不存在"&amp;A120,"故，本次评估"&amp;A120&amp;"为人民币"&amp;D120&amp;"万元整。")</f>
        <v>故，本次评估不存在估价师知悉的法定优先受偿款</v>
      </c>
    </row>
    <row r="121" spans="1:11" ht="18.75" customHeight="1">
      <c r="A121" s="3130" t="s">
        <v>2319</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207</v>
      </c>
      <c r="E122" s="3155"/>
      <c r="F122" s="3155"/>
      <c r="G122" s="3155"/>
      <c r="H122" s="3155"/>
      <c r="I122" s="3156"/>
    </row>
    <row r="123" spans="1:11" ht="18.75" customHeight="1">
      <c r="A123" s="3024" t="s">
        <v>2319</v>
      </c>
      <c r="B123" s="3024"/>
      <c r="C123" s="3024"/>
      <c r="D123" s="3126" t="str">
        <f ca="1">NUMBERSTRING(INT(D122*10000),2)&amp;"元整"</f>
        <v>贰佰零柒万元整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4" t="s">
        <v>2319</v>
      </c>
      <c r="B125" s="3024"/>
      <c r="C125" s="3024"/>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4" t="s">
        <v>2319</v>
      </c>
      <c r="B127" s="3024"/>
      <c r="C127" s="3024"/>
      <c r="D127" s="3126" t="e">
        <f>NUMBERSTRING(INT(D126*10000),2)&amp;"元整"</f>
        <v>#VALUE!</v>
      </c>
      <c r="E127" s="3127"/>
      <c r="F127" s="3127"/>
      <c r="G127" s="3127"/>
      <c r="H127" s="3127"/>
      <c r="I127" s="3128"/>
    </row>
    <row r="128" spans="1:11" ht="21.75" customHeight="1">
      <c r="A128" s="3136" t="s">
        <v>2320</v>
      </c>
      <c r="B128" s="3136"/>
      <c r="C128" s="3136"/>
      <c r="D128" s="3136"/>
      <c r="E128" s="3136"/>
      <c r="F128" s="3136"/>
      <c r="G128" s="3136"/>
      <c r="H128" s="3136"/>
      <c r="I128" s="3136"/>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2323</v>
      </c>
      <c r="G135" s="2548"/>
      <c r="H135" s="2548"/>
      <c r="I135" s="2549" t="s">
        <v>2324</v>
      </c>
    </row>
    <row r="136" spans="1:35" ht="21.75" customHeight="1">
      <c r="A136" s="795"/>
      <c r="B136" s="2550"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2326</v>
      </c>
    </row>
    <row r="139" spans="1:35" ht="21.75" customHeight="1">
      <c r="A139" s="795"/>
      <c r="B139" s="2550" t="s">
        <v>2327</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2326</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四川省南充市出让国有建设用地使用权及在建建筑物房地产抵押价值预评估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232</v>
      </c>
      <c r="C2" s="243" t="s">
        <v>2330</v>
      </c>
      <c r="D2" s="2553" t="s">
        <v>70</v>
      </c>
      <c r="E2" s="1443" t="e">
        <f ca="1">SUMIF(INDIRECT("'"&amp;G2&amp;"'"&amp;"!A:A"),"承租人权益价值",INDIRECT("'"&amp;G2&amp;"'"&amp;"!c:c"))</f>
        <v>#REF!</v>
      </c>
      <c r="F2" s="2554" t="s">
        <v>2330</v>
      </c>
      <c r="G2" s="2555"/>
    </row>
    <row r="3" spans="1:9" s="244" customFormat="1" ht="18" customHeight="1" thickBot="1">
      <c r="A3" s="247" t="s">
        <v>2331</v>
      </c>
      <c r="B3" s="248">
        <f ca="1">ROUND(B2*10000/(IF(B1="",'数据-汇总表'!E3,INDIRECT("'数据-取费表'!k"&amp;$G$1))),0)</f>
        <v>2377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113</v>
      </c>
      <c r="D5" s="255" t="s">
        <v>2336</v>
      </c>
      <c r="E5" s="256" t="s">
        <v>2337</v>
      </c>
      <c r="F5" s="256" t="s">
        <v>2338</v>
      </c>
      <c r="G5" s="257"/>
    </row>
    <row r="6" spans="1:9" s="258" customFormat="1" ht="13.5" customHeight="1">
      <c r="A6" s="952" t="s">
        <v>2339</v>
      </c>
      <c r="B6" s="259" t="s">
        <v>2340</v>
      </c>
      <c r="C6" s="260">
        <f>'土地比较法-住宅、综合'!B2</f>
        <v>110</v>
      </c>
      <c r="D6" s="261"/>
      <c r="E6" s="262"/>
      <c r="F6" s="262"/>
      <c r="G6" s="263"/>
    </row>
    <row r="7" spans="1:9" s="258" customFormat="1" ht="13.5" customHeight="1">
      <c r="A7" s="952" t="s">
        <v>2341</v>
      </c>
      <c r="B7" s="259" t="s">
        <v>2342</v>
      </c>
      <c r="C7" s="264">
        <f>ROUND(C6*F7,0)</f>
        <v>3</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6" t="s">
        <v>3160</v>
      </c>
    </row>
    <row r="9" spans="1:9" s="258" customFormat="1" ht="13.5" customHeight="1">
      <c r="A9" s="953" t="s">
        <v>800</v>
      </c>
      <c r="B9" s="268" t="s">
        <v>2345</v>
      </c>
      <c r="C9" s="269">
        <f ca="1">ROUND(D9*E9/10000,0)</f>
        <v>5</v>
      </c>
      <c r="D9" s="1035">
        <f ca="1">IF(B1="",'数据-汇总表'!E5,IF(INDIRECT("'数据-取费表'!c"&amp;$G$1)="住宅",INDIRECT("'数据-取费表'!k"&amp;$G$1),0))</f>
        <v>767.44</v>
      </c>
      <c r="E9" s="269">
        <f>'数据-取费表'!B27</f>
        <v>65</v>
      </c>
      <c r="F9" s="265"/>
      <c r="G9" s="2557"/>
      <c r="H9" s="1393"/>
      <c r="I9" s="2558" t="s">
        <v>2346</v>
      </c>
    </row>
    <row r="10" spans="1:9" s="258" customFormat="1" ht="13.5" customHeight="1">
      <c r="A10" s="953" t="s">
        <v>801</v>
      </c>
      <c r="B10" s="268" t="s">
        <v>2347</v>
      </c>
      <c r="C10" s="269">
        <f ca="1">ROUND(D10*E10/10000,0)</f>
        <v>0</v>
      </c>
      <c r="D10" s="1035">
        <f ca="1">IF(B1="",'数据-汇总表'!E6,IF(INDIRECT("'数据-取费表'!c"&amp;$G$1)="住宅",INDIRECT("'数据-取费表'!s"&amp;$G$1),INDIRECT("'数据-取费表'!k"&amp;$G$1)+INDIRECT("'数据-取费表'!s"&amp;$G$1)))</f>
        <v>208.58561669734536</v>
      </c>
      <c r="E10" s="269">
        <f>'数据-取费表'!B28</f>
        <v>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18</v>
      </c>
      <c r="D19" s="1039">
        <f ca="1">D9+D10</f>
        <v>976.02561669734541</v>
      </c>
      <c r="E19" s="255">
        <f>'数据-取费表'!B31</f>
        <v>180</v>
      </c>
      <c r="F19" s="275"/>
      <c r="G19" s="2556"/>
    </row>
    <row r="20" spans="1:7" s="258" customFormat="1" ht="13.5" customHeight="1">
      <c r="A20" s="299" t="s">
        <v>2360</v>
      </c>
      <c r="B20" s="254" t="s">
        <v>2361</v>
      </c>
      <c r="C20" s="276">
        <f ca="1">ROUND((C5+C19)*F20,0)</f>
        <v>3</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2</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2</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4</v>
      </c>
      <c r="D27" s="279">
        <f ca="1">C29</f>
        <v>5.9999999999999995E-4</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4</v>
      </c>
      <c r="D28" s="279"/>
      <c r="E28" s="280"/>
      <c r="F28" s="290"/>
      <c r="G28" s="291"/>
    </row>
    <row r="29" spans="1:7" s="258" customFormat="1" ht="13.5" customHeight="1">
      <c r="A29" s="954"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151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61</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51</v>
      </c>
      <c r="D34" s="261"/>
      <c r="E34" s="264"/>
      <c r="F34" s="301">
        <f ca="1">IF('数据-取费表'!B24=0,1,IF(B1="",'数据-取费表'!N16,INDIRECT("'数据-取费表'!n"&amp;$G$1)))</f>
        <v>0.28799999999999998</v>
      </c>
      <c r="G34" s="263" t="s">
        <v>2393</v>
      </c>
    </row>
    <row r="35" spans="1:7" ht="13.5" customHeight="1">
      <c r="A35" s="954" t="s">
        <v>796</v>
      </c>
      <c r="B35" s="259" t="s">
        <v>2394</v>
      </c>
      <c r="C35" s="264">
        <f ca="1">ROUND(C34*F35,0)</f>
        <v>2</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2397</v>
      </c>
    </row>
    <row r="37" spans="1:7" s="302" customFormat="1" ht="13.5" customHeight="1">
      <c r="A37" s="954" t="s">
        <v>798</v>
      </c>
      <c r="B37" s="259" t="s">
        <v>2398</v>
      </c>
      <c r="C37" s="293">
        <f ca="1">ROUND(E37*D37*F34/10000,0)</f>
        <v>5</v>
      </c>
      <c r="D37" s="261">
        <f ca="1">D19</f>
        <v>976.02561669734541</v>
      </c>
      <c r="E37" s="293">
        <f>'数据-取费表'!B35</f>
        <v>180</v>
      </c>
      <c r="F37" s="303"/>
      <c r="G37" s="305" t="s">
        <v>2399</v>
      </c>
    </row>
    <row r="38" spans="1:7" ht="13.5" customHeight="1">
      <c r="A38" s="954" t="s">
        <v>799</v>
      </c>
      <c r="B38" s="259" t="s">
        <v>2400</v>
      </c>
      <c r="C38" s="264">
        <f ca="1">ROUND(C34*F38,0)</f>
        <v>1</v>
      </c>
      <c r="D38" s="264"/>
      <c r="E38" s="264"/>
      <c r="F38" s="303">
        <f>'数据-取费表'!B36</f>
        <v>1.4999999999999999E-2</v>
      </c>
      <c r="G38" s="263" t="s">
        <v>2395</v>
      </c>
    </row>
    <row r="39" spans="1:7" s="258" customFormat="1" ht="13.5" customHeight="1">
      <c r="A39" s="299" t="s">
        <v>2401</v>
      </c>
      <c r="B39" s="254" t="s">
        <v>2402</v>
      </c>
      <c r="C39" s="276">
        <f ca="1">ROUND(C33*F20,0)</f>
        <v>1</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1</v>
      </c>
      <c r="D41" s="279">
        <f ca="1">C44</f>
        <v>2.0000000000000001E-4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v>
      </c>
      <c r="D42" s="282"/>
      <c r="E42" s="282"/>
      <c r="F42" s="283"/>
      <c r="G42" s="3168" t="s">
        <v>2411</v>
      </c>
    </row>
    <row r="43" spans="1:7" ht="13.5" customHeight="1">
      <c r="A43" s="954" t="s">
        <v>792</v>
      </c>
      <c r="B43" s="259" t="s">
        <v>2412</v>
      </c>
      <c r="C43" s="282">
        <f ca="1">ROUND(IF('数据-取费表'!B22&lt;=1,C39*F22*'数据-取费表'!B21/2,C39*(POWER((1+F22),'数据-取费表'!B21/2)-1)),0)</f>
        <v>0</v>
      </c>
      <c r="D43" s="282"/>
      <c r="E43" s="282"/>
      <c r="F43" s="283"/>
      <c r="G43" s="3169"/>
    </row>
    <row r="44" spans="1:7" ht="13.5" customHeight="1">
      <c r="A44" s="954" t="s">
        <v>793</v>
      </c>
      <c r="B44" s="259" t="s">
        <v>2413</v>
      </c>
      <c r="C44" s="282">
        <f ca="1">ROUND(IF('数据-取费表'!B22&lt;=1,C40*F22*'数据-取费表'!B21/2,C40*(POWER((1+F22),'数据-取费表'!B21/2)-1)),4)</f>
        <v>2.0000000000000001E-4</v>
      </c>
      <c r="D44" s="282"/>
      <c r="E44" s="282"/>
      <c r="F44" s="283"/>
      <c r="G44" s="3170"/>
    </row>
    <row r="45" spans="1:7" s="258" customFormat="1" ht="13.5" customHeight="1">
      <c r="A45" s="299" t="s">
        <v>2414</v>
      </c>
      <c r="B45" s="288" t="s">
        <v>2380</v>
      </c>
      <c r="C45" s="289">
        <f ca="1">C46</f>
        <v>12</v>
      </c>
      <c r="D45" s="279">
        <f ca="1">C47</f>
        <v>4.0000000000000001E-3</v>
      </c>
      <c r="E45" s="280" t="s">
        <v>2406</v>
      </c>
      <c r="F45" s="290"/>
      <c r="G45" s="291" t="s">
        <v>2415</v>
      </c>
    </row>
    <row r="46" spans="1:7" s="258" customFormat="1" ht="13.5" customHeight="1">
      <c r="A46" s="954" t="s">
        <v>791</v>
      </c>
      <c r="B46" s="292" t="s">
        <v>2416</v>
      </c>
      <c r="C46" s="293">
        <f ca="1">ROUND((C33+C39)*F27,0)</f>
        <v>12</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81</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81</v>
      </c>
      <c r="D51" s="276"/>
      <c r="E51" s="276"/>
      <c r="F51" s="308"/>
      <c r="G51" s="278" t="s">
        <v>2427</v>
      </c>
    </row>
    <row r="52" spans="1:7" s="252" customFormat="1" ht="16.5" thickBot="1">
      <c r="A52" s="309" t="s">
        <v>2428</v>
      </c>
      <c r="B52" s="310"/>
      <c r="C52" s="311">
        <f ca="1">C31+C51</f>
        <v>232</v>
      </c>
      <c r="D52" s="310"/>
      <c r="E52" s="310"/>
      <c r="F52" s="310"/>
      <c r="G52" s="312"/>
    </row>
    <row r="55" spans="1:7" ht="15">
      <c r="B55" s="314" t="s">
        <v>2429</v>
      </c>
      <c r="C55" s="315"/>
    </row>
    <row r="56" spans="1:7">
      <c r="B56" s="317" t="s">
        <v>1509</v>
      </c>
      <c r="C56" s="319">
        <f ca="1">1-C57</f>
        <v>0.65100000000000002</v>
      </c>
    </row>
    <row r="57" spans="1:7">
      <c r="B57" s="317" t="s">
        <v>1510</v>
      </c>
      <c r="C57" s="318">
        <f ca="1">ROUND(C51/C52,3)</f>
        <v>0.34899999999999998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9"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332</v>
      </c>
      <c r="C2" s="243" t="s">
        <v>2330</v>
      </c>
      <c r="D2" s="2553" t="s">
        <v>70</v>
      </c>
      <c r="E2" s="1443" t="e">
        <f ca="1">SUMIF(INDIRECT("'"&amp;G2&amp;"'"&amp;"!A:A"),"承租人权益价值",INDIRECT("'"&amp;G2&amp;"'"&amp;"!c:c"))</f>
        <v>#REF!</v>
      </c>
      <c r="F2" s="2554" t="s">
        <v>2330</v>
      </c>
      <c r="G2" s="2555"/>
    </row>
    <row r="3" spans="1:8" s="244" customFormat="1" ht="18" customHeight="1" thickBot="1">
      <c r="A3" s="247" t="s">
        <v>2331</v>
      </c>
      <c r="B3" s="248">
        <f ca="1">ROUND(B2*10000/(IF(B1="",'数据-汇总表'!E3,INDIRECT("'数据-取费表'!k"&amp;$G$1))),0)</f>
        <v>3402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49884</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49884</v>
      </c>
      <c r="D8" s="266"/>
      <c r="E8" s="264"/>
      <c r="F8" s="265"/>
      <c r="G8" s="2556"/>
    </row>
    <row r="9" spans="1:8" s="258" customFormat="1" ht="13.5" customHeight="1">
      <c r="A9" s="953" t="s">
        <v>800</v>
      </c>
      <c r="B9" s="268" t="s">
        <v>2345</v>
      </c>
      <c r="C9" s="269">
        <f ca="1">ROUND(D9*E9,0)</f>
        <v>49884</v>
      </c>
      <c r="D9" s="1035">
        <f ca="1">IF(B1="",'数据-汇总表'!E5,IF(INDIRECT("'数据-取费表'!c"&amp;$G$1)="住宅",INDIRECT("'数据-取费表'!k"&amp;$G$1),0))</f>
        <v>767.44</v>
      </c>
      <c r="E9" s="269">
        <f>'数据-取费表'!B27</f>
        <v>65</v>
      </c>
      <c r="F9" s="265"/>
      <c r="G9" s="270"/>
    </row>
    <row r="10" spans="1:8" s="258" customFormat="1" ht="13.5" customHeight="1">
      <c r="A10" s="953" t="s">
        <v>801</v>
      </c>
      <c r="B10" s="268" t="s">
        <v>2347</v>
      </c>
      <c r="C10" s="269">
        <f ca="1">ROUND(D10*E10,0)</f>
        <v>0</v>
      </c>
      <c r="D10" s="1035">
        <f ca="1">IF(B1="",'数据-汇总表'!E6,IF(INDIRECT("'数据-取费表'!c"&amp;$G$1)="住宅",INDIRECT("'数据-取费表'!s"&amp;$G$1),INDIRECT("'数据-取费表'!k"&amp;$G$1)+INDIRECT("'数据-取费表'!s"&amp;$G$1)))</f>
        <v>208.58561669734536</v>
      </c>
      <c r="E10" s="269">
        <f>'数据-取费表'!B28</f>
        <v>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175685</v>
      </c>
      <c r="D19" s="1039">
        <f ca="1">D9+D10</f>
        <v>976.02561669734541</v>
      </c>
      <c r="E19" s="255">
        <f>'数据-取费表'!B31</f>
        <v>180</v>
      </c>
      <c r="F19" s="275"/>
      <c r="G19" s="2556"/>
    </row>
    <row r="20" spans="1:7" s="258" customFormat="1" ht="13.5" customHeight="1">
      <c r="A20" s="299" t="s">
        <v>2441</v>
      </c>
      <c r="B20" s="254" t="s">
        <v>2442</v>
      </c>
      <c r="C20" s="276">
        <f ca="1">ROUND((C5+C19)*F20,0)</f>
        <v>4511</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34019</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7451</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26243</v>
      </c>
      <c r="D24" s="282"/>
      <c r="E24" s="282"/>
      <c r="F24" s="283"/>
      <c r="G24" s="284" t="s">
        <v>2453</v>
      </c>
    </row>
    <row r="25" spans="1:7" s="258" customFormat="1" ht="24">
      <c r="A25" s="954" t="s">
        <v>2343</v>
      </c>
      <c r="B25" s="259" t="s">
        <v>2454</v>
      </c>
      <c r="C25" s="1384">
        <f ca="1">ROUND(IF('数据-取费表'!B22&lt;=1,C20*F22*'数据-取费表'!B22/2,C20*(POWER((1+F22),'数据-取费表'!B22/2)-1)),0)</f>
        <v>325</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46016</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46016</v>
      </c>
      <c r="D28" s="279"/>
      <c r="E28" s="280"/>
      <c r="F28" s="290"/>
      <c r="G28" s="291"/>
    </row>
    <row r="29" spans="1:7" s="258" customFormat="1" ht="13.5" customHeight="1">
      <c r="A29" s="954"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336606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2117945</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1785183</v>
      </c>
      <c r="D34" s="261"/>
      <c r="E34" s="264"/>
      <c r="F34" s="301"/>
      <c r="G34" s="263"/>
    </row>
    <row r="35" spans="1:7" ht="13.5" customHeight="1">
      <c r="A35" s="954" t="s">
        <v>796</v>
      </c>
      <c r="B35" s="259" t="s">
        <v>2394</v>
      </c>
      <c r="C35" s="264">
        <f ca="1">ROUND(C34*F35,0)</f>
        <v>53555</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76744</v>
      </c>
      <c r="D36" s="264"/>
      <c r="E36" s="264"/>
      <c r="F36" s="303">
        <f>'数据-取费表'!B34</f>
        <v>0.05</v>
      </c>
      <c r="G36" s="304" t="s">
        <v>2397</v>
      </c>
    </row>
    <row r="37" spans="1:7" s="302" customFormat="1" ht="13.5" customHeight="1">
      <c r="A37" s="954" t="s">
        <v>798</v>
      </c>
      <c r="B37" s="259" t="s">
        <v>2398</v>
      </c>
      <c r="C37" s="293">
        <f ca="1">ROUND(E37*D37,0)</f>
        <v>175685</v>
      </c>
      <c r="D37" s="261">
        <f ca="1">D19</f>
        <v>976.02561669734541</v>
      </c>
      <c r="E37" s="293">
        <f>'数据-取费表'!B35</f>
        <v>180</v>
      </c>
      <c r="F37" s="303"/>
      <c r="G37" s="305"/>
    </row>
    <row r="38" spans="1:7" ht="13.5" customHeight="1">
      <c r="A38" s="954" t="s">
        <v>799</v>
      </c>
      <c r="B38" s="259" t="s">
        <v>2400</v>
      </c>
      <c r="C38" s="264">
        <f ca="1">ROUND(C34*F38,0)</f>
        <v>26778</v>
      </c>
      <c r="D38" s="264"/>
      <c r="E38" s="264"/>
      <c r="F38" s="303">
        <f>'数据-取费表'!B36</f>
        <v>1.4999999999999999E-2</v>
      </c>
      <c r="G38" s="263" t="s">
        <v>2395</v>
      </c>
    </row>
    <row r="39" spans="1:7" s="258" customFormat="1" ht="13.5" customHeight="1">
      <c r="A39" s="299" t="s">
        <v>2401</v>
      </c>
      <c r="B39" s="254" t="s">
        <v>2402</v>
      </c>
      <c r="C39" s="276">
        <f ca="1">ROUND(C33*F20,0)</f>
        <v>42359</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155736</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152682</v>
      </c>
      <c r="D42" s="282"/>
      <c r="E42" s="282"/>
      <c r="F42" s="283"/>
      <c r="G42" s="3168" t="s">
        <v>2458</v>
      </c>
    </row>
    <row r="43" spans="1:7" ht="13.5" customHeight="1">
      <c r="A43" s="954" t="s">
        <v>792</v>
      </c>
      <c r="B43" s="259" t="s">
        <v>2412</v>
      </c>
      <c r="C43" s="282">
        <f ca="1">ROUND(IF('数据-取费表'!B22&lt;=1,C39*F22*'数据-取费表'!B20/2,C39*(POWER((1+F22),'数据-取费表'!B20/2)-1)),0)</f>
        <v>3054</v>
      </c>
      <c r="D43" s="282"/>
      <c r="E43" s="282"/>
      <c r="F43" s="283"/>
      <c r="G43" s="3169"/>
    </row>
    <row r="44" spans="1:7" ht="13.5" customHeight="1">
      <c r="A44" s="954" t="s">
        <v>793</v>
      </c>
      <c r="B44" s="259" t="s">
        <v>2413</v>
      </c>
      <c r="C44" s="282">
        <f ca="1">ROUND(IF('数据-取费表'!B22&lt;=1,C40*F22*'数据-取费表'!B20/2,C40*(POWER((1+F22),'数据-取费表'!B20/2)-1)),4)</f>
        <v>1.4E-3</v>
      </c>
      <c r="D44" s="282"/>
      <c r="E44" s="282"/>
      <c r="F44" s="283"/>
      <c r="G44" s="3170"/>
    </row>
    <row r="45" spans="1:7" s="258" customFormat="1" ht="13.5" customHeight="1">
      <c r="A45" s="299" t="s">
        <v>2414</v>
      </c>
      <c r="B45" s="288" t="s">
        <v>2380</v>
      </c>
      <c r="C45" s="289">
        <f ca="1">C46</f>
        <v>432061</v>
      </c>
      <c r="D45" s="279">
        <f ca="1">C47</f>
        <v>4.0000000000000001E-3</v>
      </c>
      <c r="E45" s="280" t="s">
        <v>2406</v>
      </c>
      <c r="F45" s="290"/>
      <c r="G45" s="291" t="s">
        <v>2415</v>
      </c>
    </row>
    <row r="46" spans="1:7" s="258" customFormat="1" ht="13.5" customHeight="1">
      <c r="A46" s="954" t="s">
        <v>791</v>
      </c>
      <c r="B46" s="292" t="s">
        <v>2416</v>
      </c>
      <c r="C46" s="293">
        <f ca="1">ROUND((C33+C39)*F27,0)</f>
        <v>432061</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2982851</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2982851</v>
      </c>
      <c r="D51" s="276"/>
      <c r="E51" s="276"/>
      <c r="F51" s="308"/>
      <c r="G51" s="278" t="s">
        <v>2427</v>
      </c>
    </row>
    <row r="52" spans="1:7" s="252" customFormat="1" ht="16.5" thickBot="1">
      <c r="A52" s="309" t="s">
        <v>2428</v>
      </c>
      <c r="B52" s="310"/>
      <c r="C52" s="311">
        <f ca="1">C31+C51</f>
        <v>3319457</v>
      </c>
      <c r="D52" s="310"/>
      <c r="E52" s="310"/>
      <c r="F52" s="310"/>
      <c r="G52" s="312"/>
    </row>
    <row r="55" spans="1:7" ht="15">
      <c r="B55" s="314" t="s">
        <v>2429</v>
      </c>
      <c r="C55" s="315"/>
    </row>
    <row r="56" spans="1:7">
      <c r="B56" s="317" t="s">
        <v>1509</v>
      </c>
      <c r="C56" s="319">
        <f ca="1">1-C57</f>
        <v>0.10099999999999998</v>
      </c>
    </row>
    <row r="57" spans="1:7">
      <c r="B57" s="317" t="s">
        <v>1510</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 sqref="C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169</v>
      </c>
      <c r="C2" s="320" t="s">
        <v>2462</v>
      </c>
      <c r="D2" s="320"/>
      <c r="E2" s="320"/>
      <c r="F2" s="320"/>
      <c r="G2" s="320"/>
      <c r="H2" s="320"/>
      <c r="I2" s="320"/>
      <c r="J2" s="320"/>
      <c r="K2" s="320"/>
    </row>
    <row r="3" spans="1:33" ht="18" customHeight="1" thickBot="1">
      <c r="A3" s="247" t="s">
        <v>2331</v>
      </c>
      <c r="B3" s="248">
        <f ca="1">ROUND(B2*10000/IF(C1="",'数据-汇总表'!E3,INDIRECT("'数据-取费表'!K"&amp;$K$1)),0)</f>
        <v>1732</v>
      </c>
      <c r="C3" s="320" t="s">
        <v>2463</v>
      </c>
      <c r="D3" s="320"/>
      <c r="E3" s="320"/>
      <c r="F3" s="320"/>
      <c r="G3" s="320"/>
      <c r="H3" s="320"/>
      <c r="I3" s="320"/>
      <c r="J3" s="320"/>
      <c r="K3" s="320"/>
    </row>
    <row r="4" spans="1:33" s="959" customFormat="1" ht="16.5" customHeight="1">
      <c r="A4" s="956" t="s">
        <v>2464</v>
      </c>
      <c r="B4" s="957"/>
      <c r="C4" s="999">
        <f>SUM(C8:K8)</f>
        <v>460.464</v>
      </c>
      <c r="D4" s="957"/>
      <c r="E4" s="957"/>
      <c r="F4" s="957"/>
      <c r="G4" s="957"/>
      <c r="H4" s="957"/>
      <c r="I4" s="957"/>
      <c r="J4" s="957"/>
      <c r="K4" s="958"/>
    </row>
    <row r="5" spans="1:33" s="963" customFormat="1" ht="15">
      <c r="A5" s="960" t="s">
        <v>2465</v>
      </c>
      <c r="B5" s="961" t="s">
        <v>2466</v>
      </c>
      <c r="C5" s="2560" t="s">
        <v>3062</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v>6000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767.44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2470</v>
      </c>
      <c r="B8" s="177" t="s">
        <v>2471</v>
      </c>
      <c r="C8" s="1000">
        <f>C6*C7/10000</f>
        <v>460.464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127</v>
      </c>
      <c r="D11" s="976"/>
      <c r="E11" s="375"/>
      <c r="F11" s="977">
        <f ca="1">1-IF('数据-取费表'!B24=0,1,IF(C1="",'数据-取费表'!N16,INDIRECT("'数据-取费表'!n"&amp;$K$1)))</f>
        <v>0.71199999999999997</v>
      </c>
      <c r="G11" s="8"/>
      <c r="H11" s="971"/>
      <c r="I11" s="971"/>
      <c r="J11" s="971"/>
      <c r="K11" s="972"/>
    </row>
    <row r="12" spans="1:33" s="978" customFormat="1" ht="13.5" customHeight="1">
      <c r="A12" s="974" t="s">
        <v>1331</v>
      </c>
      <c r="B12" s="975" t="s">
        <v>2480</v>
      </c>
      <c r="C12" s="24">
        <f ca="1">ROUND(C11*F12,0)</f>
        <v>4</v>
      </c>
      <c r="D12" s="976"/>
      <c r="E12" s="375"/>
      <c r="F12" s="979">
        <f>'数据-取费表'!B33</f>
        <v>0.03</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5</v>
      </c>
      <c r="D13" s="1036"/>
      <c r="E13" s="375"/>
      <c r="F13" s="979">
        <f>'数据-取费表'!B34</f>
        <v>0.05</v>
      </c>
      <c r="G13" s="8" t="s">
        <v>2483</v>
      </c>
      <c r="H13" s="971"/>
      <c r="I13" s="971"/>
      <c r="J13" s="971"/>
      <c r="K13" s="972"/>
    </row>
    <row r="14" spans="1:33" s="980" customFormat="1" ht="13.5" customHeight="1">
      <c r="A14" s="974" t="s">
        <v>1333</v>
      </c>
      <c r="B14" s="975" t="s">
        <v>2484</v>
      </c>
      <c r="C14" s="24">
        <f ca="1">ROUND(D14*E14*F11/10000,0)</f>
        <v>13</v>
      </c>
      <c r="D14" s="1036">
        <f ca="1">IF(C1="",'数据-汇总表'!E3,INDIRECT("'数据-取费表'!K"&amp;$K$1)+INDIRECT("'数据-取费表'!S"&amp;$K$1))</f>
        <v>976.02561669734541</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2</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151</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976.02561669734541</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5</v>
      </c>
      <c r="D18" s="1036"/>
      <c r="E18" s="24"/>
      <c r="F18" s="979"/>
      <c r="G18" s="2562"/>
      <c r="H18" s="1580"/>
      <c r="I18" s="2563" t="s">
        <v>2492</v>
      </c>
      <c r="J18" s="982"/>
      <c r="K18" s="983"/>
    </row>
    <row r="19" spans="1:33" s="978" customFormat="1" ht="13.5" customHeight="1">
      <c r="A19" s="974" t="s">
        <v>805</v>
      </c>
      <c r="B19" s="975" t="s">
        <v>2493</v>
      </c>
      <c r="C19" s="24">
        <f ca="1">ROUND(D19*E19/10000,0)</f>
        <v>5</v>
      </c>
      <c r="D19" s="1036">
        <f ca="1">IF(C1="",'数据-汇总表'!E5,IF(INDIRECT("'数据-取费表'!c"&amp;$K$1)="住宅",INDIRECT("'数据-取费表'!k"&amp;$K$1),0))</f>
        <v>767.44</v>
      </c>
      <c r="E19" s="24">
        <f>'数据-取费表'!B27</f>
        <v>65</v>
      </c>
      <c r="F19" s="979"/>
      <c r="G19" s="15"/>
      <c r="H19" s="1582"/>
      <c r="I19" s="984"/>
      <c r="J19" s="984"/>
      <c r="K19" s="985"/>
    </row>
    <row r="20" spans="1:33" s="978" customFormat="1" ht="13.5" customHeight="1">
      <c r="A20" s="974" t="s">
        <v>806</v>
      </c>
      <c r="B20" s="975" t="s">
        <v>2494</v>
      </c>
      <c r="C20" s="24">
        <f ca="1">ROUND(D20*E20/10000,0)</f>
        <v>0</v>
      </c>
      <c r="D20" s="1036">
        <f ca="1">IF(C1="",'数据-汇总表'!E6,IF(INDIRECT("'数据-取费表'!c"&amp;$K$1)="住宅",INDIRECT("'数据-取费表'!s"&amp;$K$1),INDIRECT("'数据-取费表'!k"&amp;$K$1)+INDIRECT("'数据-取费表'!s"&amp;$K$1)))</f>
        <v>208.58561669734536</v>
      </c>
      <c r="E20" s="24">
        <f>'数据-取费表'!B28</f>
        <v>0</v>
      </c>
      <c r="F20" s="979"/>
      <c r="G20" s="15"/>
      <c r="H20" s="984"/>
      <c r="I20" s="984"/>
      <c r="J20" s="984"/>
      <c r="K20" s="985"/>
    </row>
    <row r="21" spans="1:33" s="978" customFormat="1" ht="13.5" customHeight="1">
      <c r="A21" s="964" t="s">
        <v>802</v>
      </c>
      <c r="B21" s="988" t="s">
        <v>2495</v>
      </c>
      <c r="C21" s="989">
        <f ca="1">C16+C17+C18</f>
        <v>156</v>
      </c>
      <c r="D21" s="990"/>
      <c r="E21" s="325"/>
      <c r="F21" s="325"/>
      <c r="G21" s="140" t="s">
        <v>2496</v>
      </c>
      <c r="H21" s="982"/>
      <c r="I21" s="982"/>
      <c r="J21" s="982"/>
      <c r="K21" s="983"/>
    </row>
    <row r="22" spans="1:33" s="978" customFormat="1" ht="13.5" customHeight="1">
      <c r="A22" s="964" t="s">
        <v>2468</v>
      </c>
      <c r="B22" s="988" t="s">
        <v>2497</v>
      </c>
      <c r="C22" s="989">
        <f ca="1">ROUND(C21*F22,0)</f>
        <v>3</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7</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10</v>
      </c>
      <c r="D25" s="324">
        <f ca="1">C26</f>
        <v>0.13089999999999999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0.13089999999999999</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10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2508</v>
      </c>
      <c r="B28" s="2565" t="s">
        <v>2509</v>
      </c>
      <c r="C28" s="331">
        <f ca="1">C30</f>
        <v>33</v>
      </c>
      <c r="D28" s="324">
        <f ca="1">C29</f>
        <v>0.17699999999999999</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0.17699999999999999</v>
      </c>
      <c r="D29" s="328"/>
      <c r="E29" s="329"/>
      <c r="F29" s="334"/>
      <c r="G29" s="140" t="s">
        <v>2511</v>
      </c>
      <c r="H29" s="982"/>
      <c r="I29" s="982"/>
      <c r="J29" s="982"/>
      <c r="K29" s="983"/>
    </row>
    <row r="30" spans="1:33" s="335" customFormat="1" ht="13.5" customHeight="1">
      <c r="A30" s="974" t="s">
        <v>804</v>
      </c>
      <c r="B30" s="997" t="s">
        <v>2512</v>
      </c>
      <c r="C30" s="336">
        <f ca="1">ROUND((C21+C22+C23)*F28,0)</f>
        <v>33</v>
      </c>
      <c r="D30" s="328"/>
      <c r="E30" s="329"/>
      <c r="F30" s="334"/>
      <c r="G30" s="140"/>
      <c r="H30" s="982"/>
      <c r="I30" s="982"/>
      <c r="J30" s="982"/>
      <c r="K30" s="983"/>
    </row>
    <row r="31" spans="1:33" s="978" customFormat="1" ht="13.5" customHeight="1" thickBot="1">
      <c r="A31" s="2566" t="s">
        <v>2513</v>
      </c>
      <c r="B31" s="1008" t="s">
        <v>2514</v>
      </c>
      <c r="C31" s="1009">
        <f>ROUND(C4*F31/(1+'数据-取费表'!C42),0)</f>
        <v>25</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169</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73" t="s">
        <v>1399</v>
      </c>
      <c r="C6" s="1299">
        <f ca="1">ROUND(F6*F8*F7*(1-F9)/10000,0)</f>
        <v>0</v>
      </c>
      <c r="D6" s="164" t="s">
        <v>3033</v>
      </c>
      <c r="E6" s="347" t="s">
        <v>1401</v>
      </c>
      <c r="F6" s="348">
        <f ca="1">INDIRECT("'数据-取费表'!u"&amp;$G$1)</f>
        <v>0</v>
      </c>
      <c r="G6" s="1854"/>
      <c r="H6" s="1294" t="s">
        <v>1032</v>
      </c>
      <c r="I6" s="3173" t="s">
        <v>1399</v>
      </c>
      <c r="J6" s="346">
        <f ca="1">ROUND(M6*M8*M7*(1-M9)/10000,0)</f>
        <v>0</v>
      </c>
      <c r="K6" s="164" t="s">
        <v>3032</v>
      </c>
      <c r="L6" s="347" t="s">
        <v>1401</v>
      </c>
      <c r="M6" s="348">
        <f ca="1">INDIRECT("'数据-取费表'!z"&amp;$G$1)</f>
        <v>0</v>
      </c>
    </row>
    <row r="7" spans="1:37" ht="18" customHeight="1">
      <c r="A7" s="1298"/>
      <c r="B7" s="3174"/>
      <c r="C7" s="1300"/>
      <c r="D7" s="352"/>
      <c r="E7" s="1301" t="s">
        <v>1402</v>
      </c>
      <c r="F7" s="348">
        <f ca="1">IF(INDIRECT("'数据-取费表'!ah"&amp;$G$1)="",INDIRECT("'数据-取费表'!k"&amp;$G$1),INDIRECT("'数据-取费表'!ah"&amp;$G$1))</f>
        <v>0</v>
      </c>
      <c r="G7" s="1854"/>
      <c r="H7" s="349"/>
      <c r="I7" s="3174"/>
      <c r="J7" s="351"/>
      <c r="K7" s="352"/>
      <c r="L7" s="347" t="s">
        <v>1402</v>
      </c>
      <c r="M7" s="348">
        <f ca="1">F7</f>
        <v>0</v>
      </c>
    </row>
    <row r="8" spans="1:37" ht="18" customHeight="1">
      <c r="A8" s="349"/>
      <c r="B8" s="3174"/>
      <c r="C8" s="351"/>
      <c r="D8" s="352"/>
      <c r="E8" s="347" t="s">
        <v>1403</v>
      </c>
      <c r="F8" s="348">
        <f ca="1">INDIRECT("'数据-取费表'!ai"&amp;$G$1)</f>
        <v>0</v>
      </c>
      <c r="G8" s="1854"/>
      <c r="H8" s="349"/>
      <c r="I8" s="3174"/>
      <c r="J8" s="351"/>
      <c r="K8" s="352"/>
      <c r="L8" s="347" t="s">
        <v>1403</v>
      </c>
      <c r="M8" s="348">
        <f ca="1">INDIRECT("'数据-取费表'!ai"&amp;$G$1)</f>
        <v>0</v>
      </c>
    </row>
    <row r="9" spans="1:37" ht="18" customHeight="1">
      <c r="A9" s="349"/>
      <c r="B9" s="3175"/>
      <c r="C9" s="351"/>
      <c r="D9" s="352"/>
      <c r="E9" s="347" t="s">
        <v>1404</v>
      </c>
      <c r="F9" s="357">
        <f ca="1">INDIRECT("'数据-取费表'!w"&amp;$G$1)</f>
        <v>0</v>
      </c>
      <c r="G9" s="1854"/>
      <c r="H9" s="349"/>
      <c r="I9" s="317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3042</v>
      </c>
      <c r="E10" s="358" t="s">
        <v>1406</v>
      </c>
      <c r="F10" s="1369"/>
      <c r="G10" s="1854"/>
      <c r="H10" s="1294" t="s">
        <v>1036</v>
      </c>
      <c r="I10" s="1826" t="s">
        <v>1405</v>
      </c>
      <c r="J10" s="346">
        <f ca="1">ROUND(IF(M10="押一",J6/12*M11,IF(M10="押二",J6/12*2*M11,IF(M10="押三",J6/12*3*M11,J11*M11))),0)</f>
        <v>0</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180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3034</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1" t="s">
        <v>1544</v>
      </c>
      <c r="L53" s="3172"/>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3" t="s">
        <v>1399</v>
      </c>
      <c r="C6" s="1299">
        <f ca="1">ROUND(F6*F8*F7*(1-F9),0)</f>
        <v>0</v>
      </c>
      <c r="D6" s="164" t="s">
        <v>3030</v>
      </c>
      <c r="E6" s="347" t="s">
        <v>1401</v>
      </c>
      <c r="F6" s="348">
        <f ca="1">INDIRECT("'数据-取费表'!u"&amp;$G$1)</f>
        <v>0</v>
      </c>
      <c r="G6" s="1854"/>
      <c r="H6" s="1294" t="s">
        <v>1032</v>
      </c>
      <c r="I6" s="3173" t="s">
        <v>1399</v>
      </c>
      <c r="J6" s="346">
        <f ca="1">ROUND(M6*M8*M7*(1-M9),0)</f>
        <v>0</v>
      </c>
      <c r="K6" s="1837" t="s">
        <v>3031</v>
      </c>
      <c r="L6" s="347" t="s">
        <v>1401</v>
      </c>
      <c r="M6" s="348">
        <f ca="1">INDIRECT("'数据-取费表'!z"&amp;$G$1)</f>
        <v>0</v>
      </c>
    </row>
    <row r="7" spans="1:37" ht="18" customHeight="1">
      <c r="A7" s="1298"/>
      <c r="B7" s="3174"/>
      <c r="C7" s="1300"/>
      <c r="D7" s="352"/>
      <c r="E7" s="1301" t="s">
        <v>1402</v>
      </c>
      <c r="F7" s="348">
        <f ca="1">IF(INDIRECT("'数据-取费表'!ah"&amp;$G$1)="",INDIRECT("'数据-取费表'!k"&amp;$G$1),INDIRECT("'数据-取费表'!ah"&amp;$G$1))</f>
        <v>0</v>
      </c>
      <c r="G7" s="1854"/>
      <c r="H7" s="349"/>
      <c r="I7" s="3174"/>
      <c r="J7" s="351"/>
      <c r="K7" s="352"/>
      <c r="L7" s="347" t="s">
        <v>1402</v>
      </c>
      <c r="M7" s="348">
        <f ca="1">F7</f>
        <v>0</v>
      </c>
    </row>
    <row r="8" spans="1:37" ht="18" customHeight="1">
      <c r="A8" s="349"/>
      <c r="B8" s="3174"/>
      <c r="C8" s="351"/>
      <c r="D8" s="352"/>
      <c r="E8" s="347" t="s">
        <v>1403</v>
      </c>
      <c r="F8" s="348">
        <f ca="1">INDIRECT("'数据-取费表'!ai"&amp;$G$1)</f>
        <v>0</v>
      </c>
      <c r="G8" s="1854"/>
      <c r="H8" s="349"/>
      <c r="I8" s="3174"/>
      <c r="J8" s="351"/>
      <c r="K8" s="352"/>
      <c r="L8" s="347" t="s">
        <v>1403</v>
      </c>
      <c r="M8" s="348">
        <f ca="1">INDIRECT("'数据-取费表'!ai"&amp;$G$1)</f>
        <v>0</v>
      </c>
    </row>
    <row r="9" spans="1:37" ht="18" customHeight="1">
      <c r="A9" s="349"/>
      <c r="B9" s="3175"/>
      <c r="C9" s="351"/>
      <c r="D9" s="352"/>
      <c r="E9" s="347" t="s">
        <v>1404</v>
      </c>
      <c r="F9" s="357">
        <f ca="1">INDIRECT("'数据-取费表'!w"&amp;$G$1)</f>
        <v>0</v>
      </c>
      <c r="G9" s="1854"/>
      <c r="H9" s="349"/>
      <c r="I9" s="317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38" t="s">
        <v>3043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1" t="s">
        <v>1544</v>
      </c>
      <c r="L53" s="317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2525</v>
      </c>
      <c r="B1" s="2568"/>
      <c r="C1" s="2568"/>
      <c r="D1" s="2568"/>
      <c r="E1" s="2569"/>
    </row>
    <row r="2" spans="1:6" ht="15.75">
      <c r="A2" s="2570" t="s">
        <v>2329</v>
      </c>
      <c r="B2" s="2571">
        <f ca="1">SUMIF(B6:B13,"&lt;&gt;#ref!",B6:B13)</f>
        <v>0</v>
      </c>
      <c r="C2" s="2572" t="s">
        <v>2518</v>
      </c>
      <c r="D2" s="2573" t="s">
        <v>2519</v>
      </c>
      <c r="E2" s="2574">
        <f>SUM(E6:E13)</f>
        <v>0</v>
      </c>
    </row>
    <row r="3" spans="1:6" ht="15.75">
      <c r="A3" s="2570" t="s">
        <v>1391</v>
      </c>
      <c r="B3" s="2571" t="e">
        <f ca="1">ROUND(B2*10000/E2,0)</f>
        <v>#DIV/0!</v>
      </c>
      <c r="C3" s="2572" t="s">
        <v>2526</v>
      </c>
      <c r="D3" s="2575"/>
      <c r="E3" s="2576"/>
    </row>
    <row r="4" spans="1:6" ht="15.75">
      <c r="A4" s="2577"/>
      <c r="B4" s="2575"/>
      <c r="C4" s="2575"/>
      <c r="D4" s="2575"/>
      <c r="E4" s="2576"/>
    </row>
    <row r="5" spans="1:6" ht="15">
      <c r="A5" s="2578" t="s">
        <v>2520</v>
      </c>
      <c r="B5" s="3176" t="s">
        <v>2521</v>
      </c>
      <c r="C5" s="3176"/>
      <c r="D5" s="2579"/>
      <c r="E5" s="2580" t="s">
        <v>2522</v>
      </c>
      <c r="F5" s="2581" t="s">
        <v>2523</v>
      </c>
    </row>
    <row r="6" spans="1:6">
      <c r="A6" s="2582">
        <f>'数据-取费表'!AN6</f>
        <v>0</v>
      </c>
      <c r="B6" s="2581" t="e">
        <f ca="1">IF(F6="是",'数据-取费表'!AO6,0)</f>
        <v>#REF!</v>
      </c>
      <c r="C6" s="2572" t="s">
        <v>2518</v>
      </c>
      <c r="D6" s="2575"/>
      <c r="E6" s="2583">
        <f>IF(OR(A6=0,F6="否"),0,'数据-取费表'!K6+'数据-取费表'!S6)</f>
        <v>0</v>
      </c>
      <c r="F6" s="2584" t="s">
        <v>2524</v>
      </c>
    </row>
    <row r="7" spans="1:6">
      <c r="A7" s="2582">
        <f>'数据-取费表'!AN7</f>
        <v>0</v>
      </c>
      <c r="B7" s="2581" t="e">
        <f ca="1">IF(F7="是",'数据-取费表'!AO7,0)</f>
        <v>#REF!</v>
      </c>
      <c r="C7" s="2572" t="s">
        <v>2518</v>
      </c>
      <c r="D7" s="2575"/>
      <c r="E7" s="2583">
        <f>IF(OR(A7=0,F7="否"),0,'数据-取费表'!K7+'数据-取费表'!S7)</f>
        <v>0</v>
      </c>
      <c r="F7" s="2584" t="s">
        <v>2524</v>
      </c>
    </row>
    <row r="8" spans="1:6">
      <c r="A8" s="2582">
        <f>'数据-取费表'!AN8</f>
        <v>0</v>
      </c>
      <c r="B8" s="2581" t="e">
        <f ca="1">IF(F8="是",'数据-取费表'!AO8,0)</f>
        <v>#REF!</v>
      </c>
      <c r="C8" s="2572" t="s">
        <v>2518</v>
      </c>
      <c r="D8" s="2575"/>
      <c r="E8" s="2583">
        <f>IF(OR(A8=0,F8="否"),0,'数据-取费表'!K8+'数据-取费表'!S8)</f>
        <v>0</v>
      </c>
      <c r="F8" s="2584" t="s">
        <v>2524</v>
      </c>
    </row>
    <row r="9" spans="1:6">
      <c r="A9" s="2582">
        <f>'数据-取费表'!AN9</f>
        <v>0</v>
      </c>
      <c r="B9" s="2581" t="e">
        <f ca="1">IF(F9="是",'数据-取费表'!AO9,0)</f>
        <v>#REF!</v>
      </c>
      <c r="C9" s="2572" t="s">
        <v>2518</v>
      </c>
      <c r="D9" s="2575"/>
      <c r="E9" s="2583">
        <f>IF(OR(A9=0,F9="否"),0,'数据-取费表'!K9+'数据-取费表'!S9)</f>
        <v>0</v>
      </c>
      <c r="F9" s="2584" t="s">
        <v>2524</v>
      </c>
    </row>
    <row r="10" spans="1:6">
      <c r="A10" s="2582">
        <f>'数据-取费表'!AN10</f>
        <v>0</v>
      </c>
      <c r="B10" s="2581" t="e">
        <f ca="1">IF(F10="是",'数据-取费表'!AO10,0)</f>
        <v>#REF!</v>
      </c>
      <c r="C10" s="2572" t="s">
        <v>2518</v>
      </c>
      <c r="D10" s="2575"/>
      <c r="E10" s="2583">
        <f>IF(OR(A10=0,F10="否"),0,'数据-取费表'!K10+'数据-取费表'!S10)</f>
        <v>0</v>
      </c>
      <c r="F10" s="2584" t="s">
        <v>2524</v>
      </c>
    </row>
    <row r="11" spans="1:6">
      <c r="A11" s="2582">
        <f>'数据-取费表'!AN11</f>
        <v>0</v>
      </c>
      <c r="B11" s="2581" t="e">
        <f ca="1">IF(F11="是",'数据-取费表'!AO11,0)</f>
        <v>#REF!</v>
      </c>
      <c r="C11" s="2572" t="s">
        <v>2518</v>
      </c>
      <c r="D11" s="2575"/>
      <c r="E11" s="2583">
        <f>IF(OR(A11=0,F11="否"),0,'数据-取费表'!K11+'数据-取费表'!S11)</f>
        <v>0</v>
      </c>
      <c r="F11" s="2584" t="s">
        <v>2524</v>
      </c>
    </row>
    <row r="12" spans="1:6">
      <c r="A12" s="2582">
        <f>'数据-取费表'!AN12</f>
        <v>0</v>
      </c>
      <c r="B12" s="2581" t="e">
        <f ca="1">IF(F12="是",'数据-取费表'!AO12,0)</f>
        <v>#REF!</v>
      </c>
      <c r="C12" s="2572" t="s">
        <v>2518</v>
      </c>
      <c r="D12" s="2575"/>
      <c r="E12" s="2583">
        <f>IF(OR(A12=0,F12="否"),0,'数据-取费表'!K12+'数据-取费表'!S12)</f>
        <v>0</v>
      </c>
      <c r="F12" s="2584" t="s">
        <v>2524</v>
      </c>
    </row>
    <row r="13" spans="1:6" ht="15" thickBot="1">
      <c r="A13" s="2585">
        <f>'数据-取费表'!AN13</f>
        <v>0</v>
      </c>
      <c r="B13" s="2581" t="e">
        <f ca="1">IF(F13="是",'数据-取费表'!AO13,0)</f>
        <v>#REF!</v>
      </c>
      <c r="C13" s="2586" t="s">
        <v>2518</v>
      </c>
      <c r="D13" s="2587"/>
      <c r="E13" s="2583">
        <f>IF(OR(A13=0,F13="否"),0,'数据-取费表'!K13+'数据-取费表'!S13)</f>
        <v>0</v>
      </c>
      <c r="F13" s="2584"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3" t="s">
        <v>1073</v>
      </c>
      <c r="B1" s="3194"/>
      <c r="C1" s="3195"/>
      <c r="D1" s="3196">
        <f>SUM(I10,I15,I20,I21,I23)</f>
        <v>0</v>
      </c>
      <c r="E1" s="3196"/>
      <c r="F1" s="3196"/>
      <c r="G1" s="3196"/>
      <c r="H1" s="3196"/>
      <c r="I1" s="3197"/>
    </row>
    <row r="2" spans="1:9">
      <c r="A2" s="3183" t="s">
        <v>1074</v>
      </c>
      <c r="B2" s="3184" t="s">
        <v>1075</v>
      </c>
      <c r="C2" s="3184"/>
      <c r="D2" s="1304" t="s">
        <v>1076</v>
      </c>
      <c r="E2" s="1304" t="s">
        <v>1077</v>
      </c>
      <c r="F2" s="1304" t="s">
        <v>1078</v>
      </c>
      <c r="G2" s="1304" t="s">
        <v>1079</v>
      </c>
      <c r="H2" s="1304" t="s">
        <v>1080</v>
      </c>
      <c r="I2" s="1305" t="s">
        <v>1081</v>
      </c>
    </row>
    <row r="3" spans="1:9">
      <c r="A3" s="3183"/>
      <c r="B3" s="3184" t="s">
        <v>1082</v>
      </c>
      <c r="C3" s="3184"/>
      <c r="D3" s="1306"/>
      <c r="E3" s="1304"/>
      <c r="F3" s="1307"/>
      <c r="G3" s="1307"/>
      <c r="H3" s="1308"/>
      <c r="I3" s="1309">
        <f>ROUND(D3*E3*F3*G3*H3/10000,0)</f>
        <v>0</v>
      </c>
    </row>
    <row r="4" spans="1:9">
      <c r="A4" s="3183"/>
      <c r="B4" s="3184" t="s">
        <v>1083</v>
      </c>
      <c r="C4" s="3184"/>
      <c r="D4" s="1306"/>
      <c r="E4" s="1304"/>
      <c r="F4" s="1307"/>
      <c r="G4" s="1307"/>
      <c r="H4" s="1308"/>
      <c r="I4" s="1309">
        <f t="shared" ref="I4:I9" si="0">ROUND(D4*E4*F4*G4*H4/10000,0)</f>
        <v>0</v>
      </c>
    </row>
    <row r="5" spans="1:9">
      <c r="A5" s="3183"/>
      <c r="B5" s="3184" t="s">
        <v>1084</v>
      </c>
      <c r="C5" s="3184"/>
      <c r="D5" s="1306"/>
      <c r="E5" s="1304"/>
      <c r="F5" s="1307"/>
      <c r="G5" s="1307"/>
      <c r="H5" s="1308"/>
      <c r="I5" s="1309">
        <f t="shared" si="0"/>
        <v>0</v>
      </c>
    </row>
    <row r="6" spans="1:9">
      <c r="A6" s="3183"/>
      <c r="B6" s="3184" t="s">
        <v>1085</v>
      </c>
      <c r="C6" s="3184"/>
      <c r="D6" s="1306"/>
      <c r="E6" s="1304"/>
      <c r="F6" s="1307"/>
      <c r="G6" s="1307"/>
      <c r="H6" s="1308"/>
      <c r="I6" s="1309">
        <f t="shared" si="0"/>
        <v>0</v>
      </c>
    </row>
    <row r="7" spans="1:9">
      <c r="A7" s="3183"/>
      <c r="B7" s="3184" t="s">
        <v>1086</v>
      </c>
      <c r="C7" s="3184"/>
      <c r="D7" s="1306"/>
      <c r="E7" s="1304"/>
      <c r="F7" s="1307"/>
      <c r="G7" s="1307"/>
      <c r="H7" s="1308"/>
      <c r="I7" s="1309">
        <f t="shared" si="0"/>
        <v>0</v>
      </c>
    </row>
    <row r="8" spans="1:9">
      <c r="A8" s="3183"/>
      <c r="B8" s="3184" t="s">
        <v>1087</v>
      </c>
      <c r="C8" s="3184"/>
      <c r="D8" s="1306"/>
      <c r="E8" s="1304"/>
      <c r="F8" s="1307"/>
      <c r="G8" s="1307"/>
      <c r="H8" s="1308"/>
      <c r="I8" s="1309">
        <f t="shared" si="0"/>
        <v>0</v>
      </c>
    </row>
    <row r="9" spans="1:9">
      <c r="A9" s="3183"/>
      <c r="B9" s="3184" t="s">
        <v>1088</v>
      </c>
      <c r="C9" s="3184"/>
      <c r="D9" s="1306"/>
      <c r="E9" s="1304"/>
      <c r="F9" s="1307"/>
      <c r="G9" s="1307"/>
      <c r="H9" s="1308"/>
      <c r="I9" s="1309">
        <f t="shared" si="0"/>
        <v>0</v>
      </c>
    </row>
    <row r="10" spans="1:9">
      <c r="A10" s="3183"/>
      <c r="B10" s="3185" t="s">
        <v>1089</v>
      </c>
      <c r="C10" s="3185"/>
      <c r="D10" s="1310"/>
      <c r="E10" s="1310" t="e">
        <f>ROUND(D1*10000/D10/H9,0)</f>
        <v>#DIV/0!</v>
      </c>
      <c r="F10" s="1311"/>
      <c r="G10" s="1311"/>
      <c r="H10" s="1312"/>
      <c r="I10" s="1313">
        <f>SUM(I3:I9)</f>
        <v>0</v>
      </c>
    </row>
    <row r="11" spans="1:9" ht="14.25">
      <c r="A11" s="3183" t="s">
        <v>1090</v>
      </c>
      <c r="B11" s="3184" t="s">
        <v>1091</v>
      </c>
      <c r="C11" s="3184"/>
      <c r="D11" s="1306" t="s">
        <v>1092</v>
      </c>
      <c r="E11" s="1306" t="s">
        <v>1093</v>
      </c>
      <c r="F11" s="1307" t="s">
        <v>1094</v>
      </c>
      <c r="G11" s="1307" t="s">
        <v>1080</v>
      </c>
      <c r="H11" s="1314" t="s">
        <v>1095</v>
      </c>
      <c r="I11" s="1305" t="s">
        <v>1081</v>
      </c>
    </row>
    <row r="12" spans="1:9">
      <c r="A12" s="3183"/>
      <c r="B12" s="3184" t="s">
        <v>1096</v>
      </c>
      <c r="C12" s="3184"/>
      <c r="D12" s="1306"/>
      <c r="E12" s="1306"/>
      <c r="F12" s="1307"/>
      <c r="G12" s="1308"/>
      <c r="H12" s="1315"/>
      <c r="I12" s="1305">
        <f>ROUND(D12*E12*F12*G12/10000,0)</f>
        <v>0</v>
      </c>
    </row>
    <row r="13" spans="1:9">
      <c r="A13" s="3183"/>
      <c r="B13" s="3184" t="s">
        <v>1097</v>
      </c>
      <c r="C13" s="3184"/>
      <c r="D13" s="1306"/>
      <c r="E13" s="1306"/>
      <c r="F13" s="1307"/>
      <c r="G13" s="1308"/>
      <c r="H13" s="1315"/>
      <c r="I13" s="1305">
        <f>ROUND(D13*E13*F13*G13/10000,0)</f>
        <v>0</v>
      </c>
    </row>
    <row r="14" spans="1:9">
      <c r="A14" s="3183"/>
      <c r="B14" s="3184" t="s">
        <v>1098</v>
      </c>
      <c r="C14" s="3184"/>
      <c r="D14" s="1306"/>
      <c r="E14" s="1306"/>
      <c r="F14" s="1307"/>
      <c r="G14" s="1308"/>
      <c r="H14" s="1315"/>
      <c r="I14" s="1305">
        <f>ROUND(D14*E14*F14*G14/10000,0)</f>
        <v>0</v>
      </c>
    </row>
    <row r="15" spans="1:9">
      <c r="A15" s="3183"/>
      <c r="B15" s="3185" t="s">
        <v>1089</v>
      </c>
      <c r="C15" s="3185"/>
      <c r="D15" s="1310"/>
      <c r="E15" s="1310">
        <f>SUM(E12:E14)</f>
        <v>0</v>
      </c>
      <c r="F15" s="1311"/>
      <c r="G15" s="1308"/>
      <c r="H15" s="1315"/>
      <c r="I15" s="1316">
        <f>SUM(I12:I14)</f>
        <v>0</v>
      </c>
    </row>
    <row r="16" spans="1:9" ht="24">
      <c r="A16" s="3183" t="s">
        <v>1099</v>
      </c>
      <c r="B16" s="3184" t="s">
        <v>1100</v>
      </c>
      <c r="C16" s="3184"/>
      <c r="D16" s="1306" t="s">
        <v>1076</v>
      </c>
      <c r="E16" s="1317" t="s">
        <v>1101</v>
      </c>
      <c r="F16" s="1307" t="s">
        <v>1102</v>
      </c>
      <c r="G16" s="1308" t="s">
        <v>1080</v>
      </c>
      <c r="H16" s="1314" t="s">
        <v>1095</v>
      </c>
      <c r="I16" s="1305" t="s">
        <v>1081</v>
      </c>
    </row>
    <row r="17" spans="1:9" ht="14.25">
      <c r="A17" s="3183"/>
      <c r="B17" s="3184" t="s">
        <v>1103</v>
      </c>
      <c r="C17" s="3184"/>
      <c r="D17" s="1306"/>
      <c r="E17" s="1306"/>
      <c r="F17" s="1307"/>
      <c r="G17" s="1308"/>
      <c r="H17" s="1318"/>
      <c r="I17" s="1319">
        <f>ROUND(D17*E17*F17*G17/10000,0)</f>
        <v>0</v>
      </c>
    </row>
    <row r="18" spans="1:9" ht="14.25">
      <c r="A18" s="3183"/>
      <c r="B18" s="3184" t="s">
        <v>1104</v>
      </c>
      <c r="C18" s="3184"/>
      <c r="D18" s="1306"/>
      <c r="E18" s="1306"/>
      <c r="F18" s="1307"/>
      <c r="G18" s="1308"/>
      <c r="H18" s="1318"/>
      <c r="I18" s="1319">
        <f>ROUND(D18*E18*F18*G18/10000,0)</f>
        <v>0</v>
      </c>
    </row>
    <row r="19" spans="1:9" ht="14.25">
      <c r="A19" s="3183"/>
      <c r="B19" s="3184" t="s">
        <v>1105</v>
      </c>
      <c r="C19" s="3184"/>
      <c r="D19" s="1306"/>
      <c r="E19" s="1306"/>
      <c r="F19" s="1307"/>
      <c r="G19" s="1308"/>
      <c r="H19" s="1318"/>
      <c r="I19" s="1319">
        <f>ROUND(D19*E19*F19*G19/10000,0)</f>
        <v>0</v>
      </c>
    </row>
    <row r="20" spans="1:9">
      <c r="A20" s="3183"/>
      <c r="B20" s="3185" t="s">
        <v>1089</v>
      </c>
      <c r="C20" s="3185"/>
      <c r="D20" s="1310">
        <f>SUM(D17:D19)</f>
        <v>0</v>
      </c>
      <c r="E20" s="1310"/>
      <c r="F20" s="1311"/>
      <c r="G20" s="1308"/>
      <c r="H20" s="1315"/>
      <c r="I20" s="1316">
        <f>SUM(I17:I19)</f>
        <v>0</v>
      </c>
    </row>
    <row r="21" spans="1:9">
      <c r="A21" s="3183" t="s">
        <v>1106</v>
      </c>
      <c r="B21" s="3186"/>
      <c r="C21" s="3186"/>
      <c r="D21" s="3186"/>
      <c r="E21" s="3186"/>
      <c r="F21" s="3186"/>
      <c r="G21" s="3186"/>
      <c r="H21" s="1768">
        <v>0.1</v>
      </c>
      <c r="I21" s="1313">
        <f>ROUND(I10*H21,0)</f>
        <v>0</v>
      </c>
    </row>
    <row r="22" spans="1:9" ht="14.25">
      <c r="A22" s="3187" t="s">
        <v>1107</v>
      </c>
      <c r="B22" s="3188"/>
      <c r="C22" s="3189"/>
      <c r="D22" s="1320" t="s">
        <v>1108</v>
      </c>
      <c r="E22" s="1320" t="s">
        <v>1109</v>
      </c>
      <c r="F22" s="1321" t="s">
        <v>1110</v>
      </c>
      <c r="G22" s="1321" t="s">
        <v>1111</v>
      </c>
      <c r="H22" s="1314" t="s">
        <v>1112</v>
      </c>
      <c r="I22" s="1305" t="s">
        <v>1113</v>
      </c>
    </row>
    <row r="23" spans="1:9" ht="14.25" thickBot="1">
      <c r="A23" s="3190"/>
      <c r="B23" s="3191"/>
      <c r="C23" s="3192"/>
      <c r="D23" s="1322"/>
      <c r="E23" s="1322"/>
      <c r="F23" s="1322"/>
      <c r="G23" s="1323"/>
      <c r="H23" s="1324"/>
      <c r="I23" s="1325">
        <f>ROUND(E23*D23*F23*(1-G23)/10000,0)</f>
        <v>0</v>
      </c>
    </row>
    <row r="26" spans="1:9">
      <c r="A26" s="1326" t="s">
        <v>1114</v>
      </c>
      <c r="B26" s="1326"/>
      <c r="C26" s="1326"/>
      <c r="D26" s="1326"/>
      <c r="E26" s="3180">
        <f>C27-C30-C31-C32</f>
        <v>0</v>
      </c>
      <c r="F26" s="3180"/>
      <c r="G26" s="3180"/>
      <c r="H26" s="1740" t="s">
        <v>1336</v>
      </c>
    </row>
    <row r="27" spans="1:9">
      <c r="A27" s="1327">
        <v>1</v>
      </c>
      <c r="B27" s="1328" t="s">
        <v>1115</v>
      </c>
      <c r="C27" s="1328">
        <f>C28+C29</f>
        <v>0</v>
      </c>
      <c r="D27" s="1328"/>
      <c r="E27" s="3181"/>
      <c r="F27" s="3181"/>
      <c r="G27" s="3181"/>
    </row>
    <row r="28" spans="1:9">
      <c r="A28" s="1329" t="s">
        <v>1116</v>
      </c>
      <c r="B28" s="1328" t="s">
        <v>1117</v>
      </c>
      <c r="C28" s="1328"/>
      <c r="D28" s="1328"/>
      <c r="E28" s="3181"/>
      <c r="F28" s="3181"/>
      <c r="G28" s="318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2"/>
      <c r="F32" s="3182"/>
      <c r="G32" s="3182"/>
    </row>
    <row r="33" spans="1:7" hidden="1">
      <c r="A33" s="3177" t="s">
        <v>1126</v>
      </c>
      <c r="B33" s="3178"/>
      <c r="C33" s="3178"/>
      <c r="D33" s="3179"/>
      <c r="E33" s="3180"/>
      <c r="F33" s="3180"/>
      <c r="G33" s="3180"/>
    </row>
    <row r="34" spans="1:7" hidden="1">
      <c r="A34" s="1331">
        <v>1</v>
      </c>
      <c r="B34" s="1328" t="s">
        <v>1127</v>
      </c>
      <c r="C34" s="1328"/>
      <c r="D34" s="1328"/>
      <c r="E34" s="3181"/>
      <c r="F34" s="3181"/>
      <c r="G34" s="3181"/>
    </row>
    <row r="35" spans="1:7" hidden="1">
      <c r="A35" s="1331">
        <v>2</v>
      </c>
      <c r="B35" s="1328" t="s">
        <v>1128</v>
      </c>
      <c r="C35" s="1328"/>
      <c r="D35" s="1328"/>
      <c r="E35" s="3181"/>
      <c r="F35" s="3181"/>
      <c r="G35" s="3181"/>
    </row>
    <row r="36" spans="1:7" hidden="1">
      <c r="A36" s="1331">
        <v>3</v>
      </c>
      <c r="B36" s="1328" t="s">
        <v>1129</v>
      </c>
      <c r="C36" s="1328"/>
      <c r="D36" s="1328"/>
      <c r="E36" s="3181"/>
      <c r="F36" s="3181"/>
      <c r="G36" s="3181"/>
    </row>
    <row r="37" spans="1:7" hidden="1">
      <c r="A37" s="1331">
        <v>4</v>
      </c>
      <c r="B37" s="1328" t="s">
        <v>1130</v>
      </c>
      <c r="C37" s="1328"/>
      <c r="D37" s="1328"/>
      <c r="E37" s="3181"/>
      <c r="F37" s="3181"/>
      <c r="G37" s="3181"/>
    </row>
    <row r="38" spans="1:7" hidden="1">
      <c r="A38" s="3177" t="s">
        <v>1131</v>
      </c>
      <c r="B38" s="3178"/>
      <c r="C38" s="3178"/>
      <c r="D38" s="3179"/>
      <c r="E38" s="3180"/>
      <c r="F38" s="3180"/>
      <c r="G38" s="31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8" t="s">
        <v>2528</v>
      </c>
      <c r="C1" s="1637" t="s">
        <v>2529</v>
      </c>
      <c r="D1" s="1624"/>
      <c r="E1" s="2589"/>
      <c r="F1" s="2590" t="s">
        <v>2530</v>
      </c>
      <c r="G1" s="1634" t="s">
        <v>2531</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2532</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2533</v>
      </c>
      <c r="D3" s="399">
        <f>IF(D1="",'数据-汇总表'!E3,SUMIF('数据-汇总表'!$C19:$C33,D1,'数据-汇总表'!$E19:$E33))</f>
        <v>976.02561669734541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2534</v>
      </c>
      <c r="B4" s="402"/>
      <c r="C4" s="3216" t="s">
        <v>2535</v>
      </c>
      <c r="D4" s="3217"/>
      <c r="E4" s="3218" t="s">
        <v>2536</v>
      </c>
      <c r="F4" s="3219"/>
      <c r="G4" s="3216" t="s">
        <v>2537</v>
      </c>
      <c r="H4" s="3217"/>
      <c r="I4" s="3216" t="s">
        <v>2538</v>
      </c>
      <c r="J4" s="3217"/>
      <c r="K4" s="2602" t="s">
        <v>2539</v>
      </c>
      <c r="L4" s="1133"/>
      <c r="M4" s="1134"/>
      <c r="N4" s="1134"/>
      <c r="O4" s="1134"/>
      <c r="P4" s="3220" t="s">
        <v>2540</v>
      </c>
      <c r="Q4" s="3221"/>
      <c r="R4" s="3226" t="s">
        <v>2536</v>
      </c>
      <c r="S4" s="3227"/>
      <c r="T4" s="3226" t="s">
        <v>2537</v>
      </c>
      <c r="U4" s="3227"/>
      <c r="V4" s="3232" t="s">
        <v>2538</v>
      </c>
      <c r="W4" s="3232"/>
      <c r="X4" s="1816"/>
      <c r="Y4" s="3226" t="s">
        <v>2540</v>
      </c>
      <c r="Z4" s="3227"/>
      <c r="AA4" s="3213" t="s">
        <v>2536</v>
      </c>
      <c r="AB4" s="3213" t="s">
        <v>2537</v>
      </c>
      <c r="AC4" s="3213" t="s">
        <v>2538</v>
      </c>
    </row>
    <row r="5" spans="1:29" ht="15">
      <c r="A5" s="404"/>
      <c r="B5" s="405"/>
      <c r="C5" s="3235" t="s">
        <v>2541</v>
      </c>
      <c r="D5" s="3236"/>
      <c r="E5" s="3242" t="s">
        <v>2542</v>
      </c>
      <c r="F5" s="3243"/>
      <c r="G5" s="3235" t="s">
        <v>2543</v>
      </c>
      <c r="H5" s="3236"/>
      <c r="I5" s="3235" t="s">
        <v>2544</v>
      </c>
      <c r="J5" s="3236"/>
      <c r="K5" s="2603"/>
      <c r="L5" s="1133"/>
      <c r="M5" s="1134"/>
      <c r="N5" s="1134"/>
      <c r="O5" s="1134"/>
      <c r="P5" s="3222"/>
      <c r="Q5" s="3223"/>
      <c r="R5" s="3228"/>
      <c r="S5" s="3229"/>
      <c r="T5" s="3228"/>
      <c r="U5" s="3229"/>
      <c r="V5" s="3232"/>
      <c r="W5" s="3232"/>
      <c r="X5" s="1816"/>
      <c r="Y5" s="3228"/>
      <c r="Z5" s="3229"/>
      <c r="AA5" s="3214"/>
      <c r="AB5" s="3214"/>
      <c r="AC5" s="3214"/>
    </row>
    <row r="6" spans="1:29" ht="15.75" thickBot="1">
      <c r="A6" s="406"/>
      <c r="B6" s="407"/>
      <c r="C6" s="3233" t="s">
        <v>2545</v>
      </c>
      <c r="D6" s="3234"/>
      <c r="E6" s="3240" t="s">
        <v>2545</v>
      </c>
      <c r="F6" s="3241"/>
      <c r="G6" s="3233" t="s">
        <v>2545</v>
      </c>
      <c r="H6" s="3234"/>
      <c r="I6" s="3233" t="s">
        <v>2545</v>
      </c>
      <c r="J6" s="3234"/>
      <c r="K6" s="2603" t="s">
        <v>2546</v>
      </c>
      <c r="L6" s="1133"/>
      <c r="M6" s="1134"/>
      <c r="N6" s="1134"/>
      <c r="O6" s="1134"/>
      <c r="P6" s="3224"/>
      <c r="Q6" s="3225"/>
      <c r="R6" s="3228"/>
      <c r="S6" s="3229"/>
      <c r="T6" s="3230"/>
      <c r="U6" s="3231"/>
      <c r="V6" s="3232"/>
      <c r="W6" s="3232"/>
      <c r="X6" s="1816"/>
      <c r="Y6" s="3230"/>
      <c r="Z6" s="3231"/>
      <c r="AA6" s="3215"/>
      <c r="AB6" s="3215"/>
      <c r="AC6" s="3215"/>
    </row>
    <row r="7" spans="1:29" s="117" customFormat="1" ht="15.75" thickBot="1">
      <c r="A7" s="408" t="s">
        <v>2547</v>
      </c>
      <c r="B7" s="409"/>
      <c r="C7" s="410">
        <f>'数据-取费表'!B2</f>
        <v>43574</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37" t="s">
        <v>2548</v>
      </c>
      <c r="Q7" s="3239"/>
      <c r="R7" s="770" t="s">
        <v>23</v>
      </c>
      <c r="S7" s="771">
        <f t="shared" ref="S7:S15" si="0">F7</f>
        <v>0</v>
      </c>
      <c r="T7" s="770" t="s">
        <v>23</v>
      </c>
      <c r="U7" s="771">
        <f t="shared" ref="U7:U15" si="1">H7</f>
        <v>0</v>
      </c>
      <c r="V7" s="770" t="s">
        <v>23</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2550</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37" t="s">
        <v>2551</v>
      </c>
      <c r="Q8" s="3238"/>
      <c r="R8" s="770" t="s">
        <v>23</v>
      </c>
      <c r="S8" s="771">
        <f t="shared" si="0"/>
        <v>0</v>
      </c>
      <c r="T8" s="770" t="s">
        <v>23</v>
      </c>
      <c r="U8" s="771">
        <f t="shared" si="1"/>
        <v>0</v>
      </c>
      <c r="V8" s="770" t="s">
        <v>23</v>
      </c>
      <c r="W8" s="771">
        <f t="shared" si="2"/>
        <v>0</v>
      </c>
      <c r="X8" s="772"/>
      <c r="Y8" s="3237" t="s">
        <v>2551</v>
      </c>
      <c r="Z8" s="323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12"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2"/>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2"/>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2"/>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2"/>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2558</v>
      </c>
      <c r="B15" s="69" t="s">
        <v>2086</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0" t="s">
        <v>2559</v>
      </c>
      <c r="Q15" s="1813" t="str">
        <f t="shared" si="6"/>
        <v>居住社区成熟度</v>
      </c>
      <c r="R15" s="774" t="s">
        <v>21</v>
      </c>
      <c r="S15" s="775">
        <f t="shared" si="0"/>
        <v>100</v>
      </c>
      <c r="T15" s="774" t="s">
        <v>21</v>
      </c>
      <c r="U15" s="775">
        <f t="shared" si="1"/>
        <v>100</v>
      </c>
      <c r="V15" s="774" t="s">
        <v>21</v>
      </c>
      <c r="W15" s="775">
        <f t="shared" si="2"/>
        <v>100</v>
      </c>
      <c r="X15" s="1816"/>
      <c r="Y15" s="3203" t="s">
        <v>2559</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11"/>
      <c r="Q16" s="1813"/>
      <c r="R16" s="774"/>
      <c r="S16" s="775"/>
      <c r="T16" s="774"/>
      <c r="U16" s="775"/>
      <c r="V16" s="774"/>
      <c r="W16" s="775"/>
      <c r="X16" s="1816"/>
      <c r="Y16" s="3204"/>
      <c r="Z16" s="1817"/>
      <c r="AA16" s="1814">
        <v>1</v>
      </c>
      <c r="AB16" s="1814">
        <v>1</v>
      </c>
      <c r="AC16" s="1814">
        <v>1</v>
      </c>
    </row>
    <row r="17" spans="1:29" ht="85.5">
      <c r="A17" s="428"/>
      <c r="B17" s="451" t="s">
        <v>2098</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1"/>
      <c r="Q17" s="1813" t="str">
        <f>B17</f>
        <v>交通便捷度</v>
      </c>
      <c r="R17" s="774" t="s">
        <v>21</v>
      </c>
      <c r="S17" s="775">
        <f>F17</f>
        <v>100</v>
      </c>
      <c r="T17" s="774" t="s">
        <v>21</v>
      </c>
      <c r="U17" s="775">
        <f>H17</f>
        <v>100</v>
      </c>
      <c r="V17" s="774" t="s">
        <v>21</v>
      </c>
      <c r="W17" s="775">
        <f>J17</f>
        <v>100</v>
      </c>
      <c r="X17" s="1816"/>
      <c r="Y17" s="3204"/>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11"/>
      <c r="Q18" s="1813"/>
      <c r="R18" s="774"/>
      <c r="S18" s="775"/>
      <c r="T18" s="774"/>
      <c r="U18" s="775"/>
      <c r="V18" s="774"/>
      <c r="W18" s="775"/>
      <c r="X18" s="1816"/>
      <c r="Y18" s="3204"/>
      <c r="Z18" s="1817"/>
      <c r="AA18" s="1814">
        <v>1</v>
      </c>
      <c r="AB18" s="1814">
        <v>1</v>
      </c>
      <c r="AC18" s="1814">
        <v>1</v>
      </c>
    </row>
    <row r="19" spans="1:29" ht="42.75">
      <c r="A19" s="428"/>
      <c r="B19" s="451" t="s">
        <v>2096</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1"/>
      <c r="Q19" s="1813" t="str">
        <f>B19</f>
        <v>公共配套设施</v>
      </c>
      <c r="R19" s="774" t="s">
        <v>21</v>
      </c>
      <c r="S19" s="775">
        <f>F19</f>
        <v>100</v>
      </c>
      <c r="T19" s="774" t="s">
        <v>21</v>
      </c>
      <c r="U19" s="775">
        <f>H19</f>
        <v>100</v>
      </c>
      <c r="V19" s="774" t="s">
        <v>21</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11"/>
      <c r="Q20" s="1813"/>
      <c r="R20" s="774"/>
      <c r="S20" s="775"/>
      <c r="T20" s="774"/>
      <c r="U20" s="775"/>
      <c r="V20" s="774"/>
      <c r="W20" s="775"/>
      <c r="X20" s="1816"/>
      <c r="Y20" s="3204"/>
      <c r="Z20" s="1817"/>
      <c r="AA20" s="1814">
        <v>1</v>
      </c>
      <c r="AB20" s="1814">
        <v>1</v>
      </c>
      <c r="AC20" s="1814">
        <v>1</v>
      </c>
    </row>
    <row r="21" spans="1:29" ht="28.5">
      <c r="A21" s="428"/>
      <c r="B21" s="1387" t="s">
        <v>2099</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11"/>
      <c r="Q22" s="1813"/>
      <c r="R22" s="774"/>
      <c r="S22" s="775"/>
      <c r="T22" s="774"/>
      <c r="U22" s="775"/>
      <c r="V22" s="774"/>
      <c r="W22" s="775"/>
      <c r="X22" s="1816"/>
      <c r="Y22" s="3204"/>
      <c r="Z22" s="1817"/>
      <c r="AA22" s="1814">
        <v>1</v>
      </c>
      <c r="AB22" s="1814">
        <v>1</v>
      </c>
      <c r="AC22" s="1814">
        <v>1</v>
      </c>
    </row>
    <row r="23" spans="1:29" ht="57">
      <c r="A23" s="428"/>
      <c r="B23" s="451" t="s">
        <v>2103</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1"/>
      <c r="Q23" s="1813" t="str">
        <f>B23</f>
        <v>自然及人文环境</v>
      </c>
      <c r="R23" s="774" t="s">
        <v>21</v>
      </c>
      <c r="S23" s="775">
        <f>F23</f>
        <v>100</v>
      </c>
      <c r="T23" s="774" t="s">
        <v>21</v>
      </c>
      <c r="U23" s="775">
        <f>H23</f>
        <v>100</v>
      </c>
      <c r="V23" s="774" t="s">
        <v>21</v>
      </c>
      <c r="W23" s="775">
        <f>J23</f>
        <v>100</v>
      </c>
      <c r="X23" s="1816"/>
      <c r="Y23" s="3204"/>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11"/>
      <c r="Q24" s="1813"/>
      <c r="R24" s="774"/>
      <c r="S24" s="775"/>
      <c r="T24" s="774"/>
      <c r="U24" s="775"/>
      <c r="V24" s="774"/>
      <c r="W24" s="775"/>
      <c r="X24" s="1816"/>
      <c r="Y24" s="3204"/>
      <c r="Z24" s="1817"/>
      <c r="AA24" s="1814">
        <v>1</v>
      </c>
      <c r="AB24" s="1814">
        <v>1</v>
      </c>
      <c r="AC24" s="1814">
        <v>1</v>
      </c>
    </row>
    <row r="25" spans="1:29" ht="15">
      <c r="A25" s="428"/>
      <c r="B25" s="422" t="s">
        <v>2560</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1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4"/>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11"/>
      <c r="Q26" s="1813" t="str">
        <f t="shared" si="11"/>
        <v>朝向</v>
      </c>
      <c r="R26" s="774" t="s">
        <v>21</v>
      </c>
      <c r="S26" s="775">
        <f t="shared" si="12"/>
        <v>100</v>
      </c>
      <c r="T26" s="774" t="s">
        <v>21</v>
      </c>
      <c r="U26" s="775">
        <f t="shared" si="13"/>
        <v>100</v>
      </c>
      <c r="V26" s="774" t="s">
        <v>21</v>
      </c>
      <c r="W26" s="775">
        <f t="shared" si="14"/>
        <v>100</v>
      </c>
      <c r="X26" s="1816"/>
      <c r="Y26" s="320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11"/>
      <c r="Q27" s="1798">
        <f t="shared" si="11"/>
        <v>111</v>
      </c>
      <c r="R27" s="770" t="s">
        <v>21</v>
      </c>
      <c r="S27" s="771">
        <f t="shared" si="12"/>
        <v>100</v>
      </c>
      <c r="T27" s="770" t="s">
        <v>21</v>
      </c>
      <c r="U27" s="771">
        <f t="shared" si="13"/>
        <v>100</v>
      </c>
      <c r="V27" s="770" t="s">
        <v>21</v>
      </c>
      <c r="W27" s="771">
        <f t="shared" si="14"/>
        <v>100</v>
      </c>
      <c r="X27" s="772"/>
      <c r="Y27" s="320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11"/>
      <c r="Q28" s="1813">
        <f t="shared" si="11"/>
        <v>111</v>
      </c>
      <c r="R28" s="774" t="s">
        <v>21</v>
      </c>
      <c r="S28" s="775">
        <f t="shared" si="12"/>
        <v>100</v>
      </c>
      <c r="T28" s="774" t="s">
        <v>21</v>
      </c>
      <c r="U28" s="775">
        <f t="shared" si="13"/>
        <v>100</v>
      </c>
      <c r="V28" s="774" t="s">
        <v>21</v>
      </c>
      <c r="W28" s="775">
        <f t="shared" si="14"/>
        <v>100</v>
      </c>
      <c r="X28" s="1816"/>
      <c r="Y28" s="320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11"/>
      <c r="Q29" s="1813">
        <f t="shared" si="11"/>
        <v>111</v>
      </c>
      <c r="R29" s="774" t="s">
        <v>21</v>
      </c>
      <c r="S29" s="775">
        <f t="shared" si="12"/>
        <v>100</v>
      </c>
      <c r="T29" s="774" t="s">
        <v>21</v>
      </c>
      <c r="U29" s="775">
        <f t="shared" si="13"/>
        <v>100</v>
      </c>
      <c r="V29" s="774" t="s">
        <v>21</v>
      </c>
      <c r="W29" s="775">
        <f t="shared" si="14"/>
        <v>100</v>
      </c>
      <c r="X29" s="1816"/>
      <c r="Y29" s="320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11"/>
      <c r="Q30" s="1813">
        <f t="shared" si="11"/>
        <v>111</v>
      </c>
      <c r="R30" s="774" t="s">
        <v>21</v>
      </c>
      <c r="S30" s="775">
        <f t="shared" si="12"/>
        <v>100</v>
      </c>
      <c r="T30" s="774" t="s">
        <v>21</v>
      </c>
      <c r="U30" s="775">
        <f t="shared" si="13"/>
        <v>100</v>
      </c>
      <c r="V30" s="774" t="s">
        <v>21</v>
      </c>
      <c r="W30" s="775">
        <f t="shared" si="14"/>
        <v>100</v>
      </c>
      <c r="X30" s="1816"/>
      <c r="Y30" s="320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11"/>
      <c r="Q31" s="1813">
        <f t="shared" si="11"/>
        <v>111</v>
      </c>
      <c r="R31" s="774" t="s">
        <v>21</v>
      </c>
      <c r="S31" s="775">
        <f t="shared" si="12"/>
        <v>100</v>
      </c>
      <c r="T31" s="774" t="s">
        <v>21</v>
      </c>
      <c r="U31" s="775">
        <f t="shared" si="13"/>
        <v>100</v>
      </c>
      <c r="V31" s="774" t="s">
        <v>21</v>
      </c>
      <c r="W31" s="775">
        <f t="shared" si="14"/>
        <v>100</v>
      </c>
      <c r="X31" s="1816"/>
      <c r="Y31" s="3204"/>
      <c r="Z31" s="1817">
        <f t="shared" si="18"/>
        <v>111</v>
      </c>
      <c r="AA31" s="1814">
        <f t="shared" si="15"/>
        <v>1</v>
      </c>
      <c r="AB31" s="1814">
        <f t="shared" si="16"/>
        <v>1</v>
      </c>
      <c r="AC31" s="1814">
        <f t="shared" si="17"/>
        <v>1</v>
      </c>
    </row>
    <row r="32" spans="1:29" ht="15">
      <c r="A32" s="440" t="s">
        <v>2562</v>
      </c>
      <c r="B32" s="71" t="s">
        <v>2563</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05" t="s">
        <v>2564</v>
      </c>
      <c r="Q32" s="1813" t="str">
        <f t="shared" si="11"/>
        <v>建筑类型</v>
      </c>
      <c r="R32" s="774" t="s">
        <v>21</v>
      </c>
      <c r="S32" s="775">
        <f t="shared" si="12"/>
        <v>100</v>
      </c>
      <c r="T32" s="774" t="s">
        <v>21</v>
      </c>
      <c r="U32" s="775">
        <f t="shared" si="13"/>
        <v>100</v>
      </c>
      <c r="V32" s="774" t="s">
        <v>21</v>
      </c>
      <c r="W32" s="775">
        <f t="shared" si="14"/>
        <v>100</v>
      </c>
      <c r="X32" s="1816"/>
      <c r="Y32" s="3208"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4" t="e">
        <f t="shared" si="15"/>
        <v>#N/A</v>
      </c>
      <c r="AB33" s="1814" t="e">
        <f t="shared" si="16"/>
        <v>#N/A</v>
      </c>
      <c r="AC33" s="1814" t="e">
        <f t="shared" si="17"/>
        <v>#N/A</v>
      </c>
    </row>
    <row r="34" spans="1:29" ht="15">
      <c r="A34" s="472"/>
      <c r="B34" s="422" t="s">
        <v>2566</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208"/>
      <c r="Z34" s="1817" t="str">
        <f t="shared" si="18"/>
        <v>建筑结构</v>
      </c>
      <c r="AA34" s="1814">
        <f t="shared" si="15"/>
        <v>1</v>
      </c>
      <c r="AB34" s="1814">
        <f t="shared" si="16"/>
        <v>1</v>
      </c>
      <c r="AC34" s="1814">
        <f t="shared" si="17"/>
        <v>1</v>
      </c>
    </row>
    <row r="35" spans="1:29" ht="15">
      <c r="A35" s="472"/>
      <c r="B35" s="422" t="s">
        <v>2567</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208"/>
      <c r="Z35" s="1817" t="str">
        <f t="shared" si="18"/>
        <v>建筑品质</v>
      </c>
      <c r="AA35" s="1814">
        <f t="shared" si="15"/>
        <v>1</v>
      </c>
      <c r="AB35" s="1814">
        <f t="shared" si="16"/>
        <v>1</v>
      </c>
      <c r="AC35" s="1814">
        <f t="shared" si="17"/>
        <v>1</v>
      </c>
    </row>
    <row r="36" spans="1:29" ht="15">
      <c r="A36" s="472"/>
      <c r="B36" s="422" t="s">
        <v>2568</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208"/>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6"/>
      <c r="Q37" s="1798"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2570</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06" t="s">
        <v>2564</v>
      </c>
      <c r="Q38" s="1813" t="str">
        <f t="shared" si="11"/>
        <v>物业管理</v>
      </c>
      <c r="R38" s="774" t="s">
        <v>21</v>
      </c>
      <c r="S38" s="775">
        <f t="shared" si="12"/>
        <v>100</v>
      </c>
      <c r="T38" s="774" t="s">
        <v>21</v>
      </c>
      <c r="U38" s="775">
        <f t="shared" si="13"/>
        <v>100</v>
      </c>
      <c r="V38" s="774" t="s">
        <v>21</v>
      </c>
      <c r="W38" s="775">
        <f t="shared" si="14"/>
        <v>100</v>
      </c>
      <c r="X38" s="1816"/>
      <c r="Y38" s="3208" t="s">
        <v>2564</v>
      </c>
      <c r="Z38" s="1817" t="str">
        <f t="shared" si="18"/>
        <v>物业管理</v>
      </c>
      <c r="AA38" s="1814">
        <f t="shared" si="15"/>
        <v>1</v>
      </c>
      <c r="AB38" s="1814">
        <f t="shared" si="16"/>
        <v>1</v>
      </c>
      <c r="AC38" s="1814">
        <f t="shared" si="17"/>
        <v>1</v>
      </c>
    </row>
    <row r="39" spans="1:29" ht="15">
      <c r="A39" s="472"/>
      <c r="B39" s="422" t="s">
        <v>2571</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208"/>
      <c r="Z39" s="1817" t="str">
        <f t="shared" si="18"/>
        <v>市政基础设施</v>
      </c>
      <c r="AA39" s="1814">
        <f t="shared" si="15"/>
        <v>1</v>
      </c>
      <c r="AB39" s="1814">
        <f t="shared" si="16"/>
        <v>1</v>
      </c>
      <c r="AC39" s="1814">
        <f t="shared" si="17"/>
        <v>1</v>
      </c>
    </row>
    <row r="40" spans="1:29" ht="15">
      <c r="A40" s="472"/>
      <c r="B40" s="422" t="s">
        <v>2572</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208"/>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4">
        <f t="shared" si="15"/>
        <v>1</v>
      </c>
      <c r="AB41" s="1814">
        <f t="shared" si="16"/>
        <v>1</v>
      </c>
      <c r="AC41" s="1814">
        <f t="shared" si="17"/>
        <v>1</v>
      </c>
    </row>
    <row r="42" spans="1:29" ht="15">
      <c r="A42" s="472"/>
      <c r="B42" s="422" t="s">
        <v>2574</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208"/>
      <c r="Z42" s="1817" t="str">
        <f t="shared" si="18"/>
        <v>内部装修</v>
      </c>
      <c r="AA42" s="1814">
        <f t="shared" si="15"/>
        <v>1</v>
      </c>
      <c r="AB42" s="1814">
        <f t="shared" si="16"/>
        <v>1</v>
      </c>
      <c r="AC42" s="1814">
        <f t="shared" si="17"/>
        <v>1</v>
      </c>
    </row>
    <row r="43" spans="1:29" ht="15">
      <c r="A43" s="472"/>
      <c r="B43" s="422" t="s">
        <v>2575</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20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20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9"/>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7"/>
      <c r="L47" s="1146"/>
      <c r="M47" s="1147"/>
      <c r="N47" s="1134"/>
      <c r="O47" s="1147"/>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8"/>
      <c r="L48" s="1146"/>
      <c r="M48" s="1147"/>
      <c r="N48" s="1147"/>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9"/>
      <c r="L49" s="1146"/>
      <c r="M49" s="1147"/>
      <c r="N49" s="1147"/>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2"/>
      <c r="Q57" s="504"/>
    </row>
    <row r="58" spans="1:29" s="508" customFormat="1" ht="15">
      <c r="A58" s="505" t="s">
        <v>2583</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2584</v>
      </c>
      <c r="B60" s="516"/>
      <c r="C60" s="517"/>
      <c r="D60" s="518"/>
      <c r="E60" s="518"/>
      <c r="F60" s="518"/>
      <c r="G60" s="518"/>
      <c r="H60" s="518"/>
      <c r="I60" s="518"/>
      <c r="J60" s="518"/>
      <c r="K60" s="518"/>
      <c r="L60" s="518"/>
      <c r="M60" s="519"/>
      <c r="N60" s="518"/>
      <c r="O60" s="519"/>
      <c r="P60" s="2634"/>
      <c r="Q60" s="504"/>
    </row>
    <row r="61" spans="1:29" s="117" customFormat="1" ht="15">
      <c r="A61" s="521" t="s">
        <v>2585</v>
      </c>
      <c r="B61" s="510"/>
      <c r="C61" s="522" t="s">
        <v>2586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2587</v>
      </c>
      <c r="B63" s="528" t="s">
        <v>2553</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2099</v>
      </c>
      <c r="C82" s="539" t="s">
        <v>2603</v>
      </c>
      <c r="D82" s="539" t="s">
        <v>2604</v>
      </c>
      <c r="E82" s="539" t="s">
        <v>2605</v>
      </c>
      <c r="F82" s="539" t="s">
        <v>2606</v>
      </c>
      <c r="G82" s="539" t="s">
        <v>2607</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2609</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2610</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2562</v>
      </c>
      <c r="B100" s="528" t="s">
        <v>2611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2613</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2614</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2615</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2618</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2619</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2621</v>
      </c>
    </row>
    <row r="137" spans="1:17" ht="15">
      <c r="B137" s="2644" t="s">
        <v>2622</v>
      </c>
      <c r="C137" s="2645"/>
      <c r="D137" s="2645"/>
      <c r="E137" s="2645"/>
      <c r="F137" s="2645"/>
      <c r="G137" s="2646"/>
      <c r="H137" s="2647"/>
      <c r="I137" s="2648" t="s">
        <v>2623</v>
      </c>
      <c r="J137" s="2645"/>
      <c r="K137" s="2649"/>
    </row>
    <row r="138" spans="1:17" ht="15">
      <c r="B138" s="2650"/>
      <c r="C138" s="146" t="s">
        <v>2624</v>
      </c>
      <c r="D138" s="146" t="s">
        <v>2625</v>
      </c>
      <c r="E138" s="2651" t="s">
        <v>2626</v>
      </c>
      <c r="F138" s="2652" t="s">
        <v>2627</v>
      </c>
      <c r="G138" s="146" t="s">
        <v>2625</v>
      </c>
      <c r="H138" s="147" t="s">
        <v>2626</v>
      </c>
      <c r="I138" s="2653"/>
      <c r="J138" s="146" t="s">
        <v>2628</v>
      </c>
      <c r="K138" s="147" t="s">
        <v>2629</v>
      </c>
    </row>
    <row r="139" spans="1:17" ht="15">
      <c r="B139" s="1087">
        <v>6</v>
      </c>
      <c r="C139" s="1088">
        <v>96</v>
      </c>
      <c r="D139" s="2654" t="s">
        <v>2630</v>
      </c>
      <c r="E139" s="1089">
        <v>100</v>
      </c>
      <c r="F139" s="1090">
        <v>102.5</v>
      </c>
      <c r="G139" s="2654" t="s">
        <v>2630</v>
      </c>
      <c r="H139" s="1091">
        <v>105</v>
      </c>
      <c r="I139" s="2655" t="s">
        <v>2631</v>
      </c>
      <c r="J139" s="1088">
        <v>20</v>
      </c>
      <c r="K139" s="1092">
        <f>C145/(J139-2)</f>
        <v>4.0555555555555553E-3</v>
      </c>
    </row>
    <row r="140" spans="1:17" ht="15">
      <c r="B140" s="1093">
        <v>5</v>
      </c>
      <c r="C140" s="1094">
        <v>100</v>
      </c>
      <c r="D140" s="1094"/>
      <c r="E140" s="1095"/>
      <c r="F140" s="1096">
        <v>102</v>
      </c>
      <c r="G140" s="1094"/>
      <c r="H140" s="1097"/>
      <c r="I140" s="2656" t="s">
        <v>2632</v>
      </c>
      <c r="J140" s="315">
        <f>ROUNDUP((J139-1)/2,0)</f>
        <v>10</v>
      </c>
      <c r="K140" s="1098">
        <v>100</v>
      </c>
    </row>
    <row r="141" spans="1:17" ht="15">
      <c r="B141" s="1093">
        <v>4</v>
      </c>
      <c r="C141" s="1094">
        <v>102</v>
      </c>
      <c r="D141" s="1094"/>
      <c r="E141" s="1095"/>
      <c r="F141" s="1096">
        <v>101.5</v>
      </c>
      <c r="G141" s="1094"/>
      <c r="H141" s="1097"/>
      <c r="I141" s="2656" t="s">
        <v>2633</v>
      </c>
      <c r="J141" s="315">
        <v>1</v>
      </c>
      <c r="K141" s="1099">
        <f>ROUND(100+(J141-J140)*K139*100,1)</f>
        <v>96.4</v>
      </c>
    </row>
    <row r="142" spans="1:17" ht="15">
      <c r="B142" s="1093">
        <v>3</v>
      </c>
      <c r="C142" s="1094">
        <v>103</v>
      </c>
      <c r="D142" s="1094"/>
      <c r="E142" s="1095"/>
      <c r="F142" s="1096">
        <v>101</v>
      </c>
      <c r="G142" s="1094"/>
      <c r="H142" s="1097"/>
      <c r="I142" s="2656" t="s">
        <v>2634</v>
      </c>
      <c r="J142" s="315">
        <f>J139</f>
        <v>20</v>
      </c>
      <c r="K142" s="1100">
        <v>95</v>
      </c>
    </row>
    <row r="143" spans="1:17" ht="15">
      <c r="B143" s="1093">
        <v>2</v>
      </c>
      <c r="C143" s="1094">
        <v>100</v>
      </c>
      <c r="D143" s="1094"/>
      <c r="E143" s="1095"/>
      <c r="F143" s="1096">
        <v>100.5</v>
      </c>
      <c r="G143" s="1094"/>
      <c r="H143" s="1097"/>
      <c r="I143" s="2656" t="s">
        <v>2635</v>
      </c>
      <c r="J143" s="1094">
        <v>15</v>
      </c>
      <c r="K143" s="1099">
        <f>ROUND(100+(J143-J140)*K139*100,1)</f>
        <v>102</v>
      </c>
    </row>
    <row r="144" spans="1:17" ht="15">
      <c r="B144" s="1093">
        <v>1</v>
      </c>
      <c r="C144" s="1094">
        <v>98</v>
      </c>
      <c r="D144" s="2657" t="s">
        <v>2636</v>
      </c>
      <c r="E144" s="1095">
        <v>102</v>
      </c>
      <c r="F144" s="1101">
        <v>100</v>
      </c>
      <c r="G144" s="2657" t="s">
        <v>2636</v>
      </c>
      <c r="H144" s="1097">
        <v>105</v>
      </c>
      <c r="I144" s="2656" t="s">
        <v>2635</v>
      </c>
      <c r="J144" s="1094">
        <v>18</v>
      </c>
      <c r="K144" s="1099">
        <f>ROUND(100+(J144-J140)*K139*100,1)</f>
        <v>103.2</v>
      </c>
    </row>
    <row r="145" spans="2:11" ht="15.75" thickBot="1">
      <c r="B145" s="2658" t="s">
        <v>2637</v>
      </c>
      <c r="C145" s="1102">
        <f>ROUND(MAX(C139:C144)/MIN(C139:C144)-1,3)</f>
        <v>7.2999999999999995E-2</v>
      </c>
      <c r="D145" s="1103"/>
      <c r="E145" s="1103"/>
      <c r="F145" s="2659" t="s">
        <v>2638</v>
      </c>
      <c r="G145" s="2660"/>
      <c r="H145" s="2661"/>
      <c r="I145" s="2662" t="s">
        <v>2635</v>
      </c>
      <c r="J145" s="1104">
        <v>8</v>
      </c>
      <c r="K145" s="1105">
        <f>ROUND(100+(J145-J140)*K139*100,1)</f>
        <v>99.2</v>
      </c>
    </row>
    <row r="147" spans="2:11">
      <c r="B147" s="2643" t="s">
        <v>2639</v>
      </c>
    </row>
    <row r="148" spans="2:11">
      <c r="B148" s="2643"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8" t="s">
        <v>2641</v>
      </c>
      <c r="C1" s="1637" t="s">
        <v>2529</v>
      </c>
      <c r="D1" s="1624"/>
      <c r="E1" s="2663"/>
      <c r="F1" s="2590"/>
      <c r="G1" s="1634" t="s">
        <v>2642</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2329</v>
      </c>
      <c r="B2" s="1421" t="e">
        <f ca="1">IF(C2="——",ROUND(C49*D3/10000,0),ROUND(C49*D3/10000,0)-D2)</f>
        <v>#DIV/0!</v>
      </c>
      <c r="C2" s="2592"/>
      <c r="D2" s="1368" t="e">
        <f ca="1">SUMIF(INDIRECT("'"&amp;F2&amp;"'"&amp;"!A:A"),"承租人权益价值",INDIRECT("'"&amp;F2&amp;"'"&amp;"!c:c"))</f>
        <v>#REF!</v>
      </c>
      <c r="E2" s="2593" t="s">
        <v>2330</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2331</v>
      </c>
      <c r="B3" s="609" t="e">
        <f ca="1">IF(C2="——",C49,ROUND(B2*10000/D3,0))</f>
        <v>#DIV/0!</v>
      </c>
      <c r="C3" s="400" t="s">
        <v>2643</v>
      </c>
      <c r="D3" s="399">
        <f>IF(D1="",'数据-汇总表'!E3,SUMIF('数据-汇总表'!$C19:$C33,D1,'数据-汇总表'!$E19:$E33))</f>
        <v>976.02561669734541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2644</v>
      </c>
      <c r="B4" s="402"/>
      <c r="C4" s="3216" t="s">
        <v>2645</v>
      </c>
      <c r="D4" s="3217"/>
      <c r="E4" s="3218" t="s">
        <v>2646</v>
      </c>
      <c r="F4" s="3219"/>
      <c r="G4" s="3216" t="s">
        <v>2647</v>
      </c>
      <c r="H4" s="3217"/>
      <c r="I4" s="3216" t="s">
        <v>2648</v>
      </c>
      <c r="J4" s="3217"/>
      <c r="K4" s="610" t="s">
        <v>2649</v>
      </c>
      <c r="L4" s="1133"/>
      <c r="M4" s="1134"/>
      <c r="N4" s="1134"/>
      <c r="O4" s="1134"/>
      <c r="P4" s="3220" t="s">
        <v>2650</v>
      </c>
      <c r="Q4" s="3221"/>
      <c r="R4" s="3226" t="s">
        <v>2646</v>
      </c>
      <c r="S4" s="3227"/>
      <c r="T4" s="3226" t="s">
        <v>2647</v>
      </c>
      <c r="U4" s="3227"/>
      <c r="V4" s="3232" t="s">
        <v>2648</v>
      </c>
      <c r="W4" s="3232"/>
      <c r="X4" s="1816"/>
      <c r="Y4" s="3226" t="s">
        <v>2650</v>
      </c>
      <c r="Z4" s="3227"/>
      <c r="AA4" s="3213" t="s">
        <v>2646</v>
      </c>
      <c r="AB4" s="3232" t="s">
        <v>2647</v>
      </c>
      <c r="AC4" s="3213" t="s">
        <v>2648</v>
      </c>
    </row>
    <row r="5" spans="1:29" ht="15">
      <c r="A5" s="404"/>
      <c r="B5" s="405"/>
      <c r="C5" s="3235" t="s">
        <v>2541</v>
      </c>
      <c r="D5" s="3236"/>
      <c r="E5" s="3242" t="s">
        <v>2542</v>
      </c>
      <c r="F5" s="3243"/>
      <c r="G5" s="3235" t="s">
        <v>2543</v>
      </c>
      <c r="H5" s="3236"/>
      <c r="I5" s="3235" t="s">
        <v>2544</v>
      </c>
      <c r="J5" s="3236"/>
      <c r="K5" s="610"/>
      <c r="L5" s="1133"/>
      <c r="M5" s="1134"/>
      <c r="N5" s="1134"/>
      <c r="O5" s="1134"/>
      <c r="P5" s="3222"/>
      <c r="Q5" s="3223"/>
      <c r="R5" s="3228"/>
      <c r="S5" s="3229"/>
      <c r="T5" s="3228"/>
      <c r="U5" s="3229"/>
      <c r="V5" s="3232"/>
      <c r="W5" s="3232"/>
      <c r="X5" s="1816"/>
      <c r="Y5" s="3228"/>
      <c r="Z5" s="3229"/>
      <c r="AA5" s="3214"/>
      <c r="AB5" s="3232"/>
      <c r="AC5" s="3214"/>
    </row>
    <row r="6" spans="1:29" ht="15.75" thickBot="1">
      <c r="A6" s="406"/>
      <c r="B6" s="407"/>
      <c r="C6" s="3233" t="s">
        <v>2545</v>
      </c>
      <c r="D6" s="3234"/>
      <c r="E6" s="3240" t="s">
        <v>2545</v>
      </c>
      <c r="F6" s="3241"/>
      <c r="G6" s="3233" t="s">
        <v>2545</v>
      </c>
      <c r="H6" s="3234"/>
      <c r="I6" s="3233" t="s">
        <v>2545</v>
      </c>
      <c r="J6" s="3234"/>
      <c r="K6" s="610" t="s">
        <v>2546</v>
      </c>
      <c r="L6" s="1133"/>
      <c r="M6" s="1134"/>
      <c r="N6" s="1134"/>
      <c r="O6" s="1134"/>
      <c r="P6" s="3224"/>
      <c r="Q6" s="3225"/>
      <c r="R6" s="3228"/>
      <c r="S6" s="3229"/>
      <c r="T6" s="3230"/>
      <c r="U6" s="3231"/>
      <c r="V6" s="3232"/>
      <c r="W6" s="3232"/>
      <c r="X6" s="1816"/>
      <c r="Y6" s="3230"/>
      <c r="Z6" s="3231"/>
      <c r="AA6" s="3215"/>
      <c r="AB6" s="3232"/>
      <c r="AC6" s="3215"/>
    </row>
    <row r="7" spans="1:29" s="117" customFormat="1" ht="15.75" thickBot="1">
      <c r="A7" s="408" t="s">
        <v>2547</v>
      </c>
      <c r="B7" s="409"/>
      <c r="C7" s="410">
        <f>'数据-取费表'!B2</f>
        <v>43574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7" t="s">
        <v>2551</v>
      </c>
      <c r="Q8" s="3238"/>
      <c r="R8" s="770" t="s">
        <v>17</v>
      </c>
      <c r="S8" s="771">
        <f t="shared" si="0"/>
        <v>0</v>
      </c>
      <c r="T8" s="770" t="s">
        <v>17</v>
      </c>
      <c r="U8" s="771">
        <f t="shared" si="1"/>
        <v>0</v>
      </c>
      <c r="V8" s="770" t="s">
        <v>17</v>
      </c>
      <c r="W8" s="771">
        <f t="shared" si="2"/>
        <v>0</v>
      </c>
      <c r="X8" s="772"/>
      <c r="Y8" s="3237" t="s">
        <v>2551</v>
      </c>
      <c r="Z8" s="323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2"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2"/>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2"/>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2558</v>
      </c>
      <c r="B15" s="69" t="s">
        <v>2652</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0" t="s">
        <v>2559</v>
      </c>
      <c r="Q15" s="1813" t="str">
        <f t="shared" si="6"/>
        <v>商业繁华度</v>
      </c>
      <c r="R15" s="774" t="s">
        <v>17</v>
      </c>
      <c r="S15" s="775">
        <f t="shared" si="0"/>
        <v>100</v>
      </c>
      <c r="T15" s="774" t="s">
        <v>17</v>
      </c>
      <c r="U15" s="775">
        <f t="shared" si="1"/>
        <v>100</v>
      </c>
      <c r="V15" s="774" t="s">
        <v>17</v>
      </c>
      <c r="W15" s="775">
        <f t="shared" si="2"/>
        <v>100</v>
      </c>
      <c r="X15" s="1816"/>
      <c r="Y15" s="3203"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1"/>
      <c r="Q16" s="1813"/>
      <c r="R16" s="774"/>
      <c r="S16" s="775"/>
      <c r="T16" s="774"/>
      <c r="U16" s="775"/>
      <c r="V16" s="774"/>
      <c r="W16" s="775"/>
      <c r="X16" s="1816"/>
      <c r="Y16" s="3204"/>
      <c r="Z16" s="1817"/>
      <c r="AA16" s="1814">
        <v>1</v>
      </c>
      <c r="AB16" s="1814">
        <v>1</v>
      </c>
      <c r="AC16" s="1814">
        <v>1</v>
      </c>
    </row>
    <row r="17" spans="1:29" ht="85.5">
      <c r="A17" s="428"/>
      <c r="B17" s="451" t="s">
        <v>2098</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1"/>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11"/>
      <c r="Q18" s="1813"/>
      <c r="R18" s="774"/>
      <c r="S18" s="775"/>
      <c r="T18" s="774"/>
      <c r="U18" s="775"/>
      <c r="V18" s="774"/>
      <c r="W18" s="775"/>
      <c r="X18" s="1816"/>
      <c r="Y18" s="3204"/>
      <c r="Z18" s="1817"/>
      <c r="AA18" s="1814">
        <v>1</v>
      </c>
      <c r="AB18" s="1814">
        <v>1</v>
      </c>
      <c r="AC18" s="1814">
        <v>1</v>
      </c>
    </row>
    <row r="19" spans="1:29" ht="42.75">
      <c r="A19" s="428"/>
      <c r="B19" s="451" t="s">
        <v>2653</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1"/>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11"/>
      <c r="Q20" s="1813"/>
      <c r="R20" s="774"/>
      <c r="S20" s="775"/>
      <c r="T20" s="774"/>
      <c r="U20" s="775"/>
      <c r="V20" s="774"/>
      <c r="W20" s="775"/>
      <c r="X20" s="1816"/>
      <c r="Y20" s="3204"/>
      <c r="Z20" s="1817"/>
      <c r="AA20" s="1814">
        <v>1</v>
      </c>
      <c r="AB20" s="1814">
        <v>1</v>
      </c>
      <c r="AC20" s="1814">
        <v>1</v>
      </c>
    </row>
    <row r="21" spans="1:29" ht="28.5">
      <c r="A21" s="428"/>
      <c r="B21" s="1387" t="s">
        <v>2654</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11"/>
      <c r="Q22" s="1813"/>
      <c r="R22" s="774"/>
      <c r="S22" s="775"/>
      <c r="T22" s="774"/>
      <c r="U22" s="775"/>
      <c r="V22" s="774"/>
      <c r="W22" s="775"/>
      <c r="X22" s="1816"/>
      <c r="Y22" s="3204"/>
      <c r="Z22" s="1817"/>
      <c r="AA22" s="1814">
        <v>1</v>
      </c>
      <c r="AB22" s="1814">
        <v>1</v>
      </c>
      <c r="AC22" s="1814">
        <v>1</v>
      </c>
    </row>
    <row r="23" spans="1:29" ht="57">
      <c r="A23" s="428"/>
      <c r="B23" s="451" t="s">
        <v>2103</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1"/>
      <c r="Q23" s="1813" t="str">
        <f>B23</f>
        <v>自然及人文环境</v>
      </c>
      <c r="R23" s="774" t="s">
        <v>17</v>
      </c>
      <c r="S23" s="775">
        <f>F23</f>
        <v>100</v>
      </c>
      <c r="T23" s="774" t="s">
        <v>17</v>
      </c>
      <c r="U23" s="775">
        <f>H23</f>
        <v>100</v>
      </c>
      <c r="V23" s="774" t="s">
        <v>17</v>
      </c>
      <c r="W23" s="775">
        <f>J23</f>
        <v>100</v>
      </c>
      <c r="X23" s="1816"/>
      <c r="Y23" s="3204"/>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11"/>
      <c r="Q24" s="1813"/>
      <c r="R24" s="774"/>
      <c r="S24" s="775"/>
      <c r="T24" s="774"/>
      <c r="U24" s="775"/>
      <c r="V24" s="774"/>
      <c r="W24" s="775"/>
      <c r="X24" s="1816"/>
      <c r="Y24" s="3204"/>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1"/>
      <c r="Q25" s="1813" t="str">
        <f t="shared" ref="Q25:Q46" si="11">B25</f>
        <v>临街状况</v>
      </c>
      <c r="R25" s="774" t="s">
        <v>17</v>
      </c>
      <c r="S25" s="775">
        <f>F25</f>
        <v>100</v>
      </c>
      <c r="T25" s="774" t="s">
        <v>17</v>
      </c>
      <c r="U25" s="775">
        <f>H25</f>
        <v>100</v>
      </c>
      <c r="V25" s="774" t="s">
        <v>17</v>
      </c>
      <c r="W25" s="775">
        <f>J25</f>
        <v>100</v>
      </c>
      <c r="X25" s="1816"/>
      <c r="Y25" s="3204"/>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1"/>
      <c r="Q26" s="1813" t="str">
        <f t="shared" si="11"/>
        <v>平面位置/可视性</v>
      </c>
      <c r="R26" s="774" t="s">
        <v>17</v>
      </c>
      <c r="S26" s="775">
        <f>F26</f>
        <v>100</v>
      </c>
      <c r="T26" s="774" t="s">
        <v>17</v>
      </c>
      <c r="U26" s="775">
        <f>H26</f>
        <v>100</v>
      </c>
      <c r="V26" s="774" t="s">
        <v>17</v>
      </c>
      <c r="W26" s="775">
        <f>J26</f>
        <v>100</v>
      </c>
      <c r="X26" s="1816"/>
      <c r="Y26" s="3204"/>
      <c r="Z26" s="1817" t="str">
        <f>Q26</f>
        <v>平面位置/可视性</v>
      </c>
      <c r="AA26" s="1814">
        <f t="shared" si="3"/>
        <v>1</v>
      </c>
      <c r="AB26" s="1814">
        <f t="shared" si="4"/>
        <v>1</v>
      </c>
      <c r="AC26" s="1814">
        <f t="shared" si="5"/>
        <v>1</v>
      </c>
    </row>
    <row r="27" spans="1:29" s="117" customFormat="1" ht="15">
      <c r="A27" s="431"/>
      <c r="B27" s="451" t="s">
        <v>2657</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11"/>
      <c r="Q27" s="1798" t="str">
        <f t="shared" si="11"/>
        <v>人流量</v>
      </c>
      <c r="R27" s="770" t="s">
        <v>17</v>
      </c>
      <c r="S27" s="771">
        <f>F27</f>
        <v>100</v>
      </c>
      <c r="T27" s="770" t="s">
        <v>17</v>
      </c>
      <c r="U27" s="771">
        <f>H27</f>
        <v>100</v>
      </c>
      <c r="V27" s="770" t="s">
        <v>17</v>
      </c>
      <c r="W27" s="771">
        <f>J27</f>
        <v>100</v>
      </c>
      <c r="X27" s="772"/>
      <c r="Y27" s="3204"/>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1"/>
      <c r="Q29" s="1813">
        <f t="shared" si="11"/>
        <v>111</v>
      </c>
      <c r="R29" s="774" t="s">
        <v>17</v>
      </c>
      <c r="S29" s="775">
        <f t="shared" si="12"/>
        <v>100</v>
      </c>
      <c r="T29" s="774" t="s">
        <v>17</v>
      </c>
      <c r="U29" s="775">
        <f t="shared" si="13"/>
        <v>100</v>
      </c>
      <c r="V29" s="774" t="s">
        <v>17</v>
      </c>
      <c r="W29" s="775">
        <f t="shared" si="14"/>
        <v>100</v>
      </c>
      <c r="X29" s="1816"/>
      <c r="Y29" s="320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1"/>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1"/>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1814">
        <f t="shared" si="5"/>
        <v>1</v>
      </c>
    </row>
    <row r="32" spans="1:29" ht="15">
      <c r="A32" s="440" t="s">
        <v>2562</v>
      </c>
      <c r="B32" s="71" t="s">
        <v>2659</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05" t="s">
        <v>2564</v>
      </c>
      <c r="Q32" s="1813" t="str">
        <f t="shared" si="11"/>
        <v>商业类型</v>
      </c>
      <c r="R32" s="774" t="s">
        <v>17</v>
      </c>
      <c r="S32" s="775">
        <f t="shared" si="12"/>
        <v>100</v>
      </c>
      <c r="T32" s="774" t="s">
        <v>17</v>
      </c>
      <c r="U32" s="775">
        <f t="shared" si="13"/>
        <v>100</v>
      </c>
      <c r="V32" s="774" t="s">
        <v>17</v>
      </c>
      <c r="W32" s="775">
        <f t="shared" si="14"/>
        <v>100</v>
      </c>
      <c r="X32" s="1816"/>
      <c r="Y32" s="3208"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4" t="e">
        <f t="shared" si="3"/>
        <v>#N/A</v>
      </c>
      <c r="AB33" s="1814" t="e">
        <f t="shared" si="4"/>
        <v>#N/A</v>
      </c>
      <c r="AC33" s="1814" t="e">
        <f t="shared" si="5"/>
        <v>#N/A</v>
      </c>
    </row>
    <row r="34" spans="1:29" ht="15">
      <c r="A34" s="472"/>
      <c r="B34" s="422" t="s">
        <v>2566</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208"/>
      <c r="Z34" s="1817" t="str">
        <f t="shared" si="15"/>
        <v>建筑结构</v>
      </c>
      <c r="AA34" s="1814">
        <f t="shared" si="3"/>
        <v>1</v>
      </c>
      <c r="AB34" s="1814">
        <f t="shared" si="4"/>
        <v>1</v>
      </c>
      <c r="AC34" s="1814">
        <f t="shared" si="5"/>
        <v>1</v>
      </c>
    </row>
    <row r="35" spans="1:29" ht="15">
      <c r="A35" s="472"/>
      <c r="B35" s="422" t="s">
        <v>2660</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208"/>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3" t="str">
        <f t="shared" si="11"/>
        <v>成新度</v>
      </c>
      <c r="R36" s="774" t="s">
        <v>17</v>
      </c>
      <c r="S36" s="775" t="e">
        <f t="shared" si="12"/>
        <v>#N/A</v>
      </c>
      <c r="T36" s="774" t="s">
        <v>17</v>
      </c>
      <c r="U36" s="775" t="e">
        <f t="shared" si="13"/>
        <v>#N/A</v>
      </c>
      <c r="V36" s="774" t="s">
        <v>17</v>
      </c>
      <c r="W36" s="775" t="e">
        <f t="shared" si="14"/>
        <v>#N/A</v>
      </c>
      <c r="X36" s="1816"/>
      <c r="Y36" s="3208"/>
      <c r="Z36" s="1817" t="str">
        <f t="shared" si="15"/>
        <v>成新度</v>
      </c>
      <c r="AA36" s="1814" t="e">
        <f t="shared" si="3"/>
        <v>#N/A</v>
      </c>
      <c r="AB36" s="1814" t="e">
        <f t="shared" si="4"/>
        <v>#N/A</v>
      </c>
      <c r="AC36" s="1814" t="e">
        <f t="shared" si="5"/>
        <v>#N/A</v>
      </c>
    </row>
    <row r="37" spans="1:29" s="117" customFormat="1" ht="15">
      <c r="A37" s="473"/>
      <c r="B37" s="422" t="s">
        <v>2662</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2663</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06" t="s">
        <v>2564</v>
      </c>
      <c r="Q38" s="1813" t="str">
        <f t="shared" si="11"/>
        <v>业态</v>
      </c>
      <c r="R38" s="774" t="s">
        <v>17</v>
      </c>
      <c r="S38" s="775">
        <f t="shared" si="12"/>
        <v>100</v>
      </c>
      <c r="T38" s="774" t="s">
        <v>17</v>
      </c>
      <c r="U38" s="775">
        <f t="shared" si="13"/>
        <v>100</v>
      </c>
      <c r="V38" s="774" t="s">
        <v>17</v>
      </c>
      <c r="W38" s="775">
        <f t="shared" si="14"/>
        <v>100</v>
      </c>
      <c r="X38" s="1816"/>
      <c r="Y38" s="3208" t="s">
        <v>2564</v>
      </c>
      <c r="Z38" s="1817" t="str">
        <f t="shared" si="15"/>
        <v>业态</v>
      </c>
      <c r="AA38" s="1814">
        <f t="shared" si="3"/>
        <v>1</v>
      </c>
      <c r="AB38" s="1814">
        <f t="shared" si="4"/>
        <v>1</v>
      </c>
      <c r="AC38" s="1814">
        <f t="shared" si="5"/>
        <v>1</v>
      </c>
    </row>
    <row r="39" spans="1:29" ht="15">
      <c r="A39" s="472"/>
      <c r="B39" s="422" t="s">
        <v>2664</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208"/>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208"/>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4">
        <f t="shared" si="3"/>
        <v>1</v>
      </c>
      <c r="AB41" s="1814">
        <f t="shared" si="4"/>
        <v>1</v>
      </c>
      <c r="AC41" s="1814">
        <f t="shared" si="5"/>
        <v>1</v>
      </c>
    </row>
    <row r="42" spans="1:29" ht="15">
      <c r="A42" s="472"/>
      <c r="B42" s="422" t="s">
        <v>2667</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06"/>
      <c r="Q42" s="1813" t="str">
        <f t="shared" si="11"/>
        <v>内部装修</v>
      </c>
      <c r="R42" s="774" t="s">
        <v>17</v>
      </c>
      <c r="S42" s="775">
        <f t="shared" si="12"/>
        <v>100</v>
      </c>
      <c r="T42" s="774" t="s">
        <v>17</v>
      </c>
      <c r="U42" s="775">
        <f t="shared" si="13"/>
        <v>100</v>
      </c>
      <c r="V42" s="774" t="s">
        <v>17</v>
      </c>
      <c r="W42" s="775">
        <f t="shared" si="14"/>
        <v>100</v>
      </c>
      <c r="X42" s="1816"/>
      <c r="Y42" s="3208"/>
      <c r="Z42" s="1817" t="str">
        <f t="shared" si="15"/>
        <v>内部装修</v>
      </c>
      <c r="AA42" s="1814">
        <f t="shared" si="3"/>
        <v>1</v>
      </c>
      <c r="AB42" s="1814">
        <f t="shared" si="4"/>
        <v>1</v>
      </c>
      <c r="AC42" s="1814">
        <f t="shared" si="5"/>
        <v>1</v>
      </c>
    </row>
    <row r="43" spans="1:29" ht="15">
      <c r="A43" s="472"/>
      <c r="B43" s="422" t="s">
        <v>2575</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20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20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01" t="str">
        <f>A47</f>
        <v>成交单价（元/平方米）</v>
      </c>
      <c r="Q47" s="3201"/>
      <c r="R47" s="3232">
        <f>E47</f>
        <v>0</v>
      </c>
      <c r="S47" s="3232"/>
      <c r="T47" s="3232">
        <f>G47</f>
        <v>0</v>
      </c>
      <c r="U47" s="3232"/>
      <c r="V47" s="3232">
        <f>I47</f>
        <v>0</v>
      </c>
      <c r="W47" s="323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2547</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2584</v>
      </c>
      <c r="B60" s="516"/>
      <c r="C60" s="517"/>
      <c r="D60" s="518"/>
      <c r="E60" s="518"/>
      <c r="F60" s="518"/>
      <c r="G60" s="518"/>
      <c r="H60" s="518"/>
      <c r="I60" s="518"/>
      <c r="J60" s="518"/>
      <c r="K60" s="518"/>
      <c r="L60" s="518"/>
      <c r="M60" s="519"/>
      <c r="N60" s="518"/>
      <c r="O60" s="519"/>
      <c r="P60" s="2634"/>
      <c r="Q60" s="504"/>
    </row>
    <row r="61" spans="1:29" s="117" customFormat="1" ht="15">
      <c r="A61" s="521" t="s">
        <v>2549</v>
      </c>
      <c r="B61" s="510"/>
      <c r="C61" s="522" t="s">
        <v>2651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2587</v>
      </c>
      <c r="B63" s="528" t="s">
        <v>2553</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2679</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2562</v>
      </c>
      <c r="B100" s="528" t="s">
        <v>2680</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2613</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2615</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2681</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2682</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2683</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2619</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5" t="s">
        <v>2685</v>
      </c>
      <c r="C1" s="1623" t="s">
        <v>2529</v>
      </c>
      <c r="D1" s="1624"/>
      <c r="E1" s="1633"/>
      <c r="F1" s="2590"/>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2"/>
      <c r="D2" s="1368" t="e">
        <f ca="1">SUMIF(INDIRECT("'"&amp;F2&amp;"'"&amp;"!A:A"),"承租人权益价值",INDIRECT("'"&amp;F2&amp;"'"&amp;"!c:c"))</f>
        <v>#REF!</v>
      </c>
      <c r="E2" s="2593" t="s">
        <v>2330</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976.02561669734541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16" t="s">
        <v>2645</v>
      </c>
      <c r="D4" s="3217"/>
      <c r="E4" s="3218" t="s">
        <v>2646</v>
      </c>
      <c r="F4" s="3219"/>
      <c r="G4" s="3216" t="s">
        <v>2647</v>
      </c>
      <c r="H4" s="3217"/>
      <c r="I4" s="3216" t="s">
        <v>2648</v>
      </c>
      <c r="J4" s="3217"/>
      <c r="K4" s="610" t="s">
        <v>2649</v>
      </c>
      <c r="L4" s="1133"/>
      <c r="M4" s="1134"/>
      <c r="N4" s="1134"/>
      <c r="O4" s="1134"/>
      <c r="P4" s="3250" t="s">
        <v>2650</v>
      </c>
      <c r="Q4" s="3251"/>
      <c r="R4" s="3254" t="s">
        <v>2646</v>
      </c>
      <c r="S4" s="3255"/>
      <c r="T4" s="3254" t="s">
        <v>2647</v>
      </c>
      <c r="U4" s="3255"/>
      <c r="V4" s="3256" t="s">
        <v>2648</v>
      </c>
      <c r="W4" s="3256"/>
      <c r="X4" s="2676"/>
      <c r="Y4" s="3254" t="s">
        <v>2650</v>
      </c>
      <c r="Z4" s="3255"/>
      <c r="AA4" s="3258" t="s">
        <v>2646</v>
      </c>
      <c r="AB4" s="3258" t="s">
        <v>2647</v>
      </c>
      <c r="AC4" s="3247" t="s">
        <v>2648</v>
      </c>
    </row>
    <row r="5" spans="1:29" ht="15">
      <c r="A5" s="404"/>
      <c r="B5" s="405"/>
      <c r="C5" s="3235" t="s">
        <v>2541</v>
      </c>
      <c r="D5" s="3236"/>
      <c r="E5" s="3242" t="s">
        <v>2542</v>
      </c>
      <c r="F5" s="3243"/>
      <c r="G5" s="3235" t="s">
        <v>2543</v>
      </c>
      <c r="H5" s="3236"/>
      <c r="I5" s="3235" t="s">
        <v>2544</v>
      </c>
      <c r="J5" s="3236"/>
      <c r="K5" s="610"/>
      <c r="L5" s="1133"/>
      <c r="M5" s="1134"/>
      <c r="N5" s="1134"/>
      <c r="O5" s="1134"/>
      <c r="P5" s="3252"/>
      <c r="Q5" s="3223"/>
      <c r="R5" s="3228"/>
      <c r="S5" s="3229"/>
      <c r="T5" s="3228"/>
      <c r="U5" s="3229"/>
      <c r="V5" s="3232"/>
      <c r="W5" s="3232"/>
      <c r="X5" s="1816"/>
      <c r="Y5" s="3228"/>
      <c r="Z5" s="3229"/>
      <c r="AA5" s="3214"/>
      <c r="AB5" s="3214"/>
      <c r="AC5" s="3248"/>
    </row>
    <row r="6" spans="1:29" ht="15.75" thickBot="1">
      <c r="A6" s="406"/>
      <c r="B6" s="407"/>
      <c r="C6" s="3233" t="s">
        <v>2545</v>
      </c>
      <c r="D6" s="3234"/>
      <c r="E6" s="3240" t="s">
        <v>2545</v>
      </c>
      <c r="F6" s="3241"/>
      <c r="G6" s="3233" t="s">
        <v>2545</v>
      </c>
      <c r="H6" s="3234"/>
      <c r="I6" s="3233" t="s">
        <v>2545</v>
      </c>
      <c r="J6" s="3234"/>
      <c r="K6" s="610" t="s">
        <v>2546</v>
      </c>
      <c r="L6" s="1133"/>
      <c r="M6" s="1134"/>
      <c r="N6" s="1134"/>
      <c r="O6" s="1134"/>
      <c r="P6" s="3253"/>
      <c r="Q6" s="3225"/>
      <c r="R6" s="3228"/>
      <c r="S6" s="3229"/>
      <c r="T6" s="3230"/>
      <c r="U6" s="3231"/>
      <c r="V6" s="3232"/>
      <c r="W6" s="3232"/>
      <c r="X6" s="1816"/>
      <c r="Y6" s="3230"/>
      <c r="Z6" s="3231"/>
      <c r="AA6" s="3215"/>
      <c r="AB6" s="3215"/>
      <c r="AC6" s="3249"/>
    </row>
    <row r="7" spans="1:29" s="117" customFormat="1" ht="15.75" thickBot="1">
      <c r="A7" s="408" t="s">
        <v>2547</v>
      </c>
      <c r="B7" s="409"/>
      <c r="C7" s="410">
        <f>'数据-取费表'!B2</f>
        <v>43574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2677"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2551</v>
      </c>
      <c r="Q8" s="3238"/>
      <c r="R8" s="770" t="s">
        <v>17</v>
      </c>
      <c r="S8" s="771">
        <f t="shared" si="0"/>
        <v>0</v>
      </c>
      <c r="T8" s="770" t="s">
        <v>17</v>
      </c>
      <c r="U8" s="771">
        <f t="shared" si="1"/>
        <v>0</v>
      </c>
      <c r="V8" s="770" t="s">
        <v>17</v>
      </c>
      <c r="W8" s="771">
        <f t="shared" si="2"/>
        <v>0</v>
      </c>
      <c r="X8" s="772"/>
      <c r="Y8" s="3237" t="s">
        <v>2551</v>
      </c>
      <c r="Z8" s="3238"/>
      <c r="AA8" s="773" t="e">
        <f t="shared" ref="AA8:AA47" si="3">D8/F8</f>
        <v>#DIV/0!</v>
      </c>
      <c r="AB8" s="773" t="e">
        <f t="shared" ref="AB8:AB47" si="4">D8/H8</f>
        <v>#DIV/0!</v>
      </c>
      <c r="AC8" s="2677"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2"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2677">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7">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2"/>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2"/>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7">
        <f t="shared" si="5"/>
        <v>1</v>
      </c>
    </row>
    <row r="15" spans="1:29" ht="71.25">
      <c r="A15" s="440" t="s">
        <v>2558</v>
      </c>
      <c r="B15" s="629" t="s">
        <v>2686</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0" t="s">
        <v>2559</v>
      </c>
      <c r="Q15" s="1813" t="str">
        <f t="shared" si="6"/>
        <v>办公集聚程度</v>
      </c>
      <c r="R15" s="774" t="s">
        <v>17</v>
      </c>
      <c r="S15" s="775">
        <f t="shared" si="0"/>
        <v>100</v>
      </c>
      <c r="T15" s="774" t="s">
        <v>17</v>
      </c>
      <c r="U15" s="775">
        <f t="shared" si="1"/>
        <v>100</v>
      </c>
      <c r="V15" s="774" t="s">
        <v>17</v>
      </c>
      <c r="W15" s="775">
        <f t="shared" si="2"/>
        <v>100</v>
      </c>
      <c r="X15" s="1816"/>
      <c r="Y15" s="3203" t="s">
        <v>2559</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11"/>
      <c r="Q16" s="1813"/>
      <c r="R16" s="774"/>
      <c r="S16" s="775"/>
      <c r="T16" s="774"/>
      <c r="U16" s="775"/>
      <c r="V16" s="774"/>
      <c r="W16" s="775"/>
      <c r="X16" s="1816"/>
      <c r="Y16" s="3204"/>
      <c r="Z16" s="1817"/>
      <c r="AA16" s="1814">
        <v>1</v>
      </c>
      <c r="AB16" s="1814">
        <v>1</v>
      </c>
      <c r="AC16" s="2680">
        <v>1</v>
      </c>
    </row>
    <row r="17" spans="1:29" ht="71.25">
      <c r="A17" s="428"/>
      <c r="B17" s="631" t="s">
        <v>2098</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1"/>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11"/>
      <c r="Q18" s="1813"/>
      <c r="R18" s="774"/>
      <c r="S18" s="775"/>
      <c r="T18" s="774"/>
      <c r="U18" s="775"/>
      <c r="V18" s="774"/>
      <c r="W18" s="775"/>
      <c r="X18" s="1816"/>
      <c r="Y18" s="3204"/>
      <c r="Z18" s="1817"/>
      <c r="AA18" s="1814">
        <v>1</v>
      </c>
      <c r="AB18" s="1814">
        <v>1</v>
      </c>
      <c r="AC18" s="2680">
        <v>1</v>
      </c>
    </row>
    <row r="19" spans="1:29" ht="42.75">
      <c r="A19" s="428"/>
      <c r="B19" s="631" t="s">
        <v>2687</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1"/>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11"/>
      <c r="Q20" s="1813"/>
      <c r="R20" s="774"/>
      <c r="S20" s="775"/>
      <c r="T20" s="774"/>
      <c r="U20" s="775"/>
      <c r="V20" s="774"/>
      <c r="W20" s="775"/>
      <c r="X20" s="1816"/>
      <c r="Y20" s="3204"/>
      <c r="Z20" s="1817"/>
      <c r="AA20" s="1814">
        <v>1</v>
      </c>
      <c r="AB20" s="1814">
        <v>1</v>
      </c>
      <c r="AC20" s="2680">
        <v>1</v>
      </c>
    </row>
    <row r="21" spans="1:29" ht="28.5">
      <c r="A21" s="428"/>
      <c r="B21" s="633" t="s">
        <v>2688</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11"/>
      <c r="Q22" s="1813"/>
      <c r="R22" s="774"/>
      <c r="S22" s="775"/>
      <c r="T22" s="774"/>
      <c r="U22" s="775"/>
      <c r="V22" s="774"/>
      <c r="W22" s="775"/>
      <c r="X22" s="1816"/>
      <c r="Y22" s="3204"/>
      <c r="Z22" s="1817"/>
      <c r="AA22" s="1814">
        <v>1</v>
      </c>
      <c r="AB22" s="1814">
        <v>1</v>
      </c>
      <c r="AC22" s="2680">
        <v>1</v>
      </c>
    </row>
    <row r="23" spans="1:29" ht="42.75">
      <c r="A23" s="428"/>
      <c r="B23" s="631" t="s">
        <v>2689</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1"/>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11"/>
      <c r="Q24" s="1813"/>
      <c r="R24" s="774"/>
      <c r="S24" s="775"/>
      <c r="T24" s="774"/>
      <c r="U24" s="775"/>
      <c r="V24" s="774"/>
      <c r="W24" s="775"/>
      <c r="X24" s="1816"/>
      <c r="Y24" s="3204"/>
      <c r="Z24" s="1817"/>
      <c r="AA24" s="1814">
        <v>1</v>
      </c>
      <c r="AB24" s="1814">
        <v>1</v>
      </c>
      <c r="AC24" s="2680">
        <v>1</v>
      </c>
    </row>
    <row r="25" spans="1:29" ht="27">
      <c r="A25" s="404"/>
      <c r="B25" s="631" t="s">
        <v>2690</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11"/>
      <c r="Q25" s="1813" t="str">
        <f>B25</f>
        <v>毗邻道路的类型与等级</v>
      </c>
      <c r="R25" s="774" t="s">
        <v>17</v>
      </c>
      <c r="S25" s="775">
        <f>F25</f>
        <v>100</v>
      </c>
      <c r="T25" s="774" t="s">
        <v>17</v>
      </c>
      <c r="U25" s="775">
        <f>H25</f>
        <v>100</v>
      </c>
      <c r="V25" s="774" t="s">
        <v>17</v>
      </c>
      <c r="W25" s="775">
        <f>J25</f>
        <v>100</v>
      </c>
      <c r="X25" s="1816"/>
      <c r="Y25" s="3204"/>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11"/>
      <c r="Q26" s="1813"/>
      <c r="R26" s="774"/>
      <c r="S26" s="775"/>
      <c r="T26" s="774"/>
      <c r="U26" s="775"/>
      <c r="V26" s="774"/>
      <c r="W26" s="775"/>
      <c r="X26" s="1816"/>
      <c r="Y26" s="3204"/>
      <c r="Z26" s="1817"/>
      <c r="AA26" s="1814">
        <v>1</v>
      </c>
      <c r="AB26" s="1814">
        <v>1</v>
      </c>
      <c r="AC26" s="2680">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1"/>
      <c r="Q27" s="1813" t="str">
        <f t="shared" ref="Q27:Q47" si="11">B27</f>
        <v>楼层</v>
      </c>
      <c r="R27" s="774" t="s">
        <v>17</v>
      </c>
      <c r="S27" s="775">
        <f>F27</f>
        <v>100</v>
      </c>
      <c r="T27" s="774" t="s">
        <v>17</v>
      </c>
      <c r="U27" s="775">
        <f>H27</f>
        <v>100</v>
      </c>
      <c r="V27" s="774" t="s">
        <v>17</v>
      </c>
      <c r="W27" s="775">
        <f>J27</f>
        <v>100</v>
      </c>
      <c r="X27" s="1816"/>
      <c r="Y27" s="3204"/>
      <c r="Z27" s="1817" t="str">
        <f>Q27</f>
        <v>楼层</v>
      </c>
      <c r="AA27" s="1814">
        <f t="shared" si="3"/>
        <v>1</v>
      </c>
      <c r="AB27" s="1814">
        <f t="shared" si="4"/>
        <v>1</v>
      </c>
      <c r="AC27" s="2680">
        <f t="shared" si="5"/>
        <v>1</v>
      </c>
    </row>
    <row r="28" spans="1:29" s="117" customFormat="1" ht="15">
      <c r="A28" s="431"/>
      <c r="B28" s="631" t="s">
        <v>2691</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11"/>
      <c r="Q28" s="1798" t="str">
        <f t="shared" si="11"/>
        <v>朝向</v>
      </c>
      <c r="R28" s="770" t="s">
        <v>17</v>
      </c>
      <c r="S28" s="771">
        <f>F28</f>
        <v>100</v>
      </c>
      <c r="T28" s="770" t="s">
        <v>17</v>
      </c>
      <c r="U28" s="771">
        <f>H28</f>
        <v>100</v>
      </c>
      <c r="V28" s="770" t="s">
        <v>17</v>
      </c>
      <c r="W28" s="771">
        <f>J28</f>
        <v>100</v>
      </c>
      <c r="X28" s="772"/>
      <c r="Y28" s="3204"/>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11"/>
      <c r="Q29" s="1813">
        <f t="shared" si="11"/>
        <v>111</v>
      </c>
      <c r="R29" s="774" t="s">
        <v>17</v>
      </c>
      <c r="S29" s="775">
        <f t="shared" ref="S29:S47" si="12">F29</f>
        <v>100</v>
      </c>
      <c r="T29" s="774" t="s">
        <v>17</v>
      </c>
      <c r="U29" s="775">
        <f t="shared" ref="U29:U47" si="13">H29</f>
        <v>100</v>
      </c>
      <c r="V29" s="774" t="s">
        <v>17</v>
      </c>
      <c r="W29" s="775">
        <f t="shared" ref="W29:W47" si="14">J29</f>
        <v>100</v>
      </c>
      <c r="X29" s="1816"/>
      <c r="Y29" s="3204"/>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11"/>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11"/>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11"/>
      <c r="Q32" s="1813">
        <f t="shared" si="11"/>
        <v>111</v>
      </c>
      <c r="R32" s="774" t="s">
        <v>17</v>
      </c>
      <c r="S32" s="775">
        <f t="shared" si="12"/>
        <v>100</v>
      </c>
      <c r="T32" s="774" t="s">
        <v>17</v>
      </c>
      <c r="U32" s="775">
        <f t="shared" si="13"/>
        <v>100</v>
      </c>
      <c r="V32" s="774" t="s">
        <v>17</v>
      </c>
      <c r="W32" s="775">
        <f t="shared" si="14"/>
        <v>100</v>
      </c>
      <c r="X32" s="1816"/>
      <c r="Y32" s="3204"/>
      <c r="Z32" s="1817">
        <f t="shared" si="15"/>
        <v>111</v>
      </c>
      <c r="AA32" s="1814">
        <f t="shared" si="3"/>
        <v>1</v>
      </c>
      <c r="AB32" s="1814">
        <f t="shared" si="4"/>
        <v>1</v>
      </c>
      <c r="AC32" s="2680">
        <f t="shared" si="5"/>
        <v>1</v>
      </c>
    </row>
    <row r="33" spans="1:29" ht="15">
      <c r="A33" s="440" t="s">
        <v>2562</v>
      </c>
      <c r="B33" s="71" t="s">
        <v>2692</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05" t="s">
        <v>2564</v>
      </c>
      <c r="Q33" s="1813" t="str">
        <f t="shared" si="11"/>
        <v>建筑类型</v>
      </c>
      <c r="R33" s="774" t="s">
        <v>17</v>
      </c>
      <c r="S33" s="775">
        <f t="shared" si="12"/>
        <v>100</v>
      </c>
      <c r="T33" s="774" t="s">
        <v>17</v>
      </c>
      <c r="U33" s="775">
        <f t="shared" si="13"/>
        <v>100</v>
      </c>
      <c r="V33" s="774" t="s">
        <v>17</v>
      </c>
      <c r="W33" s="775">
        <f t="shared" si="14"/>
        <v>100</v>
      </c>
      <c r="X33" s="1816"/>
      <c r="Y33" s="3208" t="s">
        <v>2564</v>
      </c>
      <c r="Z33" s="1817" t="str">
        <f t="shared" si="15"/>
        <v>建筑类型</v>
      </c>
      <c r="AA33" s="1814">
        <f t="shared" si="3"/>
        <v>1</v>
      </c>
      <c r="AB33" s="1814">
        <f t="shared" si="4"/>
        <v>1</v>
      </c>
      <c r="AC33" s="2680">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4" t="e">
        <f t="shared" si="3"/>
        <v>#N/A</v>
      </c>
      <c r="AB34" s="1814" t="e">
        <f t="shared" si="4"/>
        <v>#N/A</v>
      </c>
      <c r="AC34" s="2680"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208"/>
      <c r="Z35" s="1817" t="str">
        <f t="shared" si="15"/>
        <v>建筑结构</v>
      </c>
      <c r="AA35" s="1814">
        <f t="shared" si="3"/>
        <v>1</v>
      </c>
      <c r="AB35" s="1814">
        <f t="shared" si="4"/>
        <v>1</v>
      </c>
      <c r="AC35" s="2680">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208"/>
      <c r="Z36" s="1817" t="str">
        <f t="shared" si="15"/>
        <v>公共部分装修</v>
      </c>
      <c r="AA36" s="1814">
        <f t="shared" si="3"/>
        <v>1</v>
      </c>
      <c r="AB36" s="1814">
        <f t="shared" si="4"/>
        <v>1</v>
      </c>
      <c r="AC36" s="2680">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3" t="str">
        <f t="shared" si="11"/>
        <v>成新度</v>
      </c>
      <c r="R37" s="774" t="s">
        <v>17</v>
      </c>
      <c r="S37" s="775" t="e">
        <f t="shared" si="12"/>
        <v>#N/A</v>
      </c>
      <c r="T37" s="774" t="s">
        <v>17</v>
      </c>
      <c r="U37" s="775" t="e">
        <f t="shared" si="13"/>
        <v>#N/A</v>
      </c>
      <c r="V37" s="774" t="s">
        <v>17</v>
      </c>
      <c r="W37" s="775" t="e">
        <f t="shared" si="14"/>
        <v>#N/A</v>
      </c>
      <c r="X37" s="1816"/>
      <c r="Y37" s="3208"/>
      <c r="Z37" s="1817" t="str">
        <f t="shared" si="15"/>
        <v>成新度</v>
      </c>
      <c r="AA37" s="1814" t="e">
        <f t="shared" si="3"/>
        <v>#N/A</v>
      </c>
      <c r="AB37" s="1814" t="e">
        <f t="shared" si="4"/>
        <v>#N/A</v>
      </c>
      <c r="AC37" s="2680"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7">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2564</v>
      </c>
      <c r="Q39" s="1813" t="str">
        <f t="shared" si="11"/>
        <v>物业管理</v>
      </c>
      <c r="R39" s="774" t="s">
        <v>17</v>
      </c>
      <c r="S39" s="775">
        <f t="shared" si="12"/>
        <v>100</v>
      </c>
      <c r="T39" s="774" t="s">
        <v>17</v>
      </c>
      <c r="U39" s="775">
        <f t="shared" si="13"/>
        <v>100</v>
      </c>
      <c r="V39" s="774" t="s">
        <v>17</v>
      </c>
      <c r="W39" s="775">
        <f t="shared" si="14"/>
        <v>100</v>
      </c>
      <c r="X39" s="1816"/>
      <c r="Y39" s="3208" t="s">
        <v>2564</v>
      </c>
      <c r="Z39" s="1817" t="str">
        <f t="shared" si="15"/>
        <v>物业管理</v>
      </c>
      <c r="AA39" s="1814">
        <f t="shared" si="3"/>
        <v>1</v>
      </c>
      <c r="AB39" s="1814">
        <f t="shared" si="4"/>
        <v>1</v>
      </c>
      <c r="AC39" s="2680">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208"/>
      <c r="Z40" s="1817" t="str">
        <f t="shared" si="15"/>
        <v>市政基础设施</v>
      </c>
      <c r="AA40" s="1814">
        <f t="shared" si="3"/>
        <v>1</v>
      </c>
      <c r="AB40" s="1814">
        <f t="shared" si="4"/>
        <v>1</v>
      </c>
      <c r="AC40" s="2680">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208"/>
      <c r="Z41" s="1817" t="str">
        <f t="shared" si="15"/>
        <v>层高</v>
      </c>
      <c r="AA41" s="1814">
        <f t="shared" si="3"/>
        <v>1</v>
      </c>
      <c r="AB41" s="1814">
        <f t="shared" si="4"/>
        <v>1</v>
      </c>
      <c r="AC41" s="2680">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4">
        <f t="shared" si="3"/>
        <v>1</v>
      </c>
      <c r="AB42" s="1814">
        <f t="shared" si="4"/>
        <v>1</v>
      </c>
      <c r="AC42" s="2680">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208"/>
      <c r="Z43" s="1817" t="str">
        <f t="shared" si="15"/>
        <v>内部装修</v>
      </c>
      <c r="AA43" s="1814">
        <f t="shared" si="3"/>
        <v>1</v>
      </c>
      <c r="AB43" s="1814">
        <f t="shared" si="4"/>
        <v>1</v>
      </c>
      <c r="AC43" s="2680">
        <f t="shared" si="5"/>
        <v>1</v>
      </c>
    </row>
    <row r="44" spans="1:29" ht="15">
      <c r="A44" s="472"/>
      <c r="B44" s="422" t="s">
        <v>2575</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20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9"/>
      <c r="Z47" s="1817">
        <f t="shared" si="15"/>
        <v>111</v>
      </c>
      <c r="AA47" s="1814">
        <f t="shared" si="3"/>
        <v>1</v>
      </c>
      <c r="AB47" s="1814">
        <f t="shared" si="4"/>
        <v>1</v>
      </c>
      <c r="AC47" s="2680">
        <f t="shared" si="5"/>
        <v>1</v>
      </c>
    </row>
    <row r="48" spans="1:29" ht="15">
      <c r="A48" s="479" t="s">
        <v>2576</v>
      </c>
      <c r="B48" s="480"/>
      <c r="C48" s="1410" t="s">
        <v>1</v>
      </c>
      <c r="D48" s="1411"/>
      <c r="E48" s="1412"/>
      <c r="F48" s="1413"/>
      <c r="G48" s="1414"/>
      <c r="H48" s="1415"/>
      <c r="I48" s="1412"/>
      <c r="J48" s="485"/>
      <c r="K48" s="783"/>
      <c r="L48" s="1146"/>
      <c r="M48" s="1134"/>
      <c r="N48" s="1134"/>
      <c r="O48" s="1134"/>
      <c r="P48" s="3212"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7"/>
      <c r="Q58" s="504"/>
    </row>
    <row r="59" spans="1:29" s="508" customFormat="1" ht="15">
      <c r="A59" s="505" t="s">
        <v>2547</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2584</v>
      </c>
      <c r="B61" s="516"/>
      <c r="C61" s="517"/>
      <c r="D61" s="518"/>
      <c r="E61" s="518"/>
      <c r="F61" s="518"/>
      <c r="G61" s="518"/>
      <c r="H61" s="518"/>
      <c r="I61" s="518"/>
      <c r="J61" s="518"/>
      <c r="K61" s="518"/>
      <c r="L61" s="518"/>
      <c r="M61" s="519"/>
      <c r="N61" s="518"/>
      <c r="O61" s="519"/>
      <c r="P61" s="2688"/>
      <c r="Q61" s="504"/>
    </row>
    <row r="62" spans="1:29" s="117" customFormat="1" ht="15">
      <c r="A62" s="521" t="s">
        <v>2549</v>
      </c>
      <c r="B62" s="510"/>
      <c r="C62" s="522" t="s">
        <v>2651</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2587</v>
      </c>
      <c r="B64" s="528" t="s">
        <v>2553</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2698</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2562</v>
      </c>
      <c r="B101" s="528" t="s">
        <v>2611</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2613</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2615</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2616</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2617</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2700</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2619</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受贵公司委托，我公司对四川省南充市出让国有建设用地使用权及在建建筑物房地产抵押价值进行了预评估。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估价对象为四川省南充市出让国有建设用地使用权及在建建筑物房地产，为所有。根据《国有土地使用证》[]，估价对象（分摊）出让国有建设用地使用权面积为300.76平方米，建筑面积为976.025616697345平方米。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南充市出让国有建设用地使用权及在建建筑物房地产,属开发建设的，该项目尚在开发建设中。根据《国有土地使用证》[]，估价对象（分摊）出让国有建设用地使用权面积为300.76平方米，规划建筑面积为976.025616697345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四川省南充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2019年4月19日（评估专业人员实地查勘之日）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5" t="s">
        <v>2701</v>
      </c>
      <c r="C1" s="1623" t="s">
        <v>2529</v>
      </c>
      <c r="D1" s="1624"/>
      <c r="E1" s="1633"/>
      <c r="F1" s="2590"/>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92"/>
      <c r="D2" s="1127" t="e">
        <f ca="1">SUMIF(INDIRECT("'"&amp;F2&amp;"'"&amp;"!A:A"),"承租人权益价值",INDIRECT("'"&amp;F2&amp;"'"&amp;"!c:c"))</f>
        <v>#REF!</v>
      </c>
      <c r="E2" s="2593" t="s">
        <v>2330</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976.02561669734541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3"/>
      <c r="M4" s="1134"/>
      <c r="N4" s="1134"/>
      <c r="O4" s="1134"/>
      <c r="P4" s="3220" t="s">
        <v>2650</v>
      </c>
      <c r="Q4" s="3221"/>
      <c r="R4" s="3226" t="s">
        <v>2646</v>
      </c>
      <c r="S4" s="3227"/>
      <c r="T4" s="3226" t="s">
        <v>2647</v>
      </c>
      <c r="U4" s="3227"/>
      <c r="V4" s="3232" t="s">
        <v>2648</v>
      </c>
      <c r="W4" s="3232"/>
      <c r="X4" s="1816"/>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3"/>
      <c r="M5" s="1134"/>
      <c r="N5" s="1134"/>
      <c r="O5" s="1134"/>
      <c r="P5" s="3222"/>
      <c r="Q5" s="3223"/>
      <c r="R5" s="3228"/>
      <c r="S5" s="3229"/>
      <c r="T5" s="3228"/>
      <c r="U5" s="3229"/>
      <c r="V5" s="3232"/>
      <c r="W5" s="3232"/>
      <c r="X5" s="1816"/>
      <c r="Y5" s="3228"/>
      <c r="Z5" s="3229"/>
      <c r="AA5" s="3214"/>
      <c r="AB5" s="3214"/>
      <c r="AC5" s="3214"/>
    </row>
    <row r="6" spans="1:29" ht="15.75" thickBot="1">
      <c r="A6" s="406"/>
      <c r="B6" s="407"/>
      <c r="C6" s="3233" t="s">
        <v>2545</v>
      </c>
      <c r="D6" s="3234"/>
      <c r="E6" s="3240" t="s">
        <v>2545</v>
      </c>
      <c r="F6" s="3241"/>
      <c r="G6" s="3233" t="s">
        <v>2545</v>
      </c>
      <c r="H6" s="3234"/>
      <c r="I6" s="3233" t="s">
        <v>2545</v>
      </c>
      <c r="J6" s="3234"/>
      <c r="K6" s="610" t="s">
        <v>2546</v>
      </c>
      <c r="L6" s="1133"/>
      <c r="M6" s="1134"/>
      <c r="N6" s="1134"/>
      <c r="O6" s="1134"/>
      <c r="P6" s="3224"/>
      <c r="Q6" s="3225"/>
      <c r="R6" s="3228"/>
      <c r="S6" s="3229"/>
      <c r="T6" s="3230"/>
      <c r="U6" s="3231"/>
      <c r="V6" s="3232"/>
      <c r="W6" s="3232"/>
      <c r="X6" s="1816"/>
      <c r="Y6" s="3230"/>
      <c r="Z6" s="3231"/>
      <c r="AA6" s="3215"/>
      <c r="AB6" s="3215"/>
      <c r="AC6" s="3215"/>
    </row>
    <row r="7" spans="1:29" s="117" customFormat="1" ht="15.75" thickBot="1">
      <c r="A7" s="408" t="s">
        <v>2547</v>
      </c>
      <c r="B7" s="409"/>
      <c r="C7" s="410">
        <f>'数据-取费表'!B2</f>
        <v>43574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7" t="s">
        <v>2551</v>
      </c>
      <c r="Q8" s="3238"/>
      <c r="R8" s="770" t="s">
        <v>17</v>
      </c>
      <c r="S8" s="771">
        <f t="shared" si="0"/>
        <v>0</v>
      </c>
      <c r="T8" s="770" t="s">
        <v>17</v>
      </c>
      <c r="U8" s="771">
        <f t="shared" si="1"/>
        <v>0</v>
      </c>
      <c r="V8" s="770" t="s">
        <v>17</v>
      </c>
      <c r="W8" s="771">
        <f t="shared" si="2"/>
        <v>0</v>
      </c>
      <c r="X8" s="772"/>
      <c r="Y8" s="3237" t="s">
        <v>2551</v>
      </c>
      <c r="Z8" s="323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9" t="s">
        <v>2702</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2559</v>
      </c>
      <c r="Q15" s="1813" t="str">
        <f t="shared" si="6"/>
        <v>产业集聚程度</v>
      </c>
      <c r="R15" s="774" t="s">
        <v>17</v>
      </c>
      <c r="S15" s="775">
        <f t="shared" si="0"/>
        <v>100</v>
      </c>
      <c r="T15" s="774" t="s">
        <v>17</v>
      </c>
      <c r="U15" s="775">
        <f t="shared" si="1"/>
        <v>100</v>
      </c>
      <c r="V15" s="774" t="s">
        <v>17</v>
      </c>
      <c r="W15" s="775">
        <f t="shared" si="2"/>
        <v>100</v>
      </c>
      <c r="X15" s="1816"/>
      <c r="Y15" s="3203"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451" t="s">
        <v>2098</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04"/>
      <c r="Q18" s="1813"/>
      <c r="R18" s="774"/>
      <c r="S18" s="775"/>
      <c r="T18" s="774"/>
      <c r="U18" s="775"/>
      <c r="V18" s="774"/>
      <c r="W18" s="775"/>
      <c r="X18" s="1816"/>
      <c r="Y18" s="3204"/>
      <c r="Z18" s="1817"/>
      <c r="AA18" s="1814">
        <v>1</v>
      </c>
      <c r="AB18" s="1814">
        <v>1</v>
      </c>
      <c r="AC18" s="1814">
        <v>1</v>
      </c>
    </row>
    <row r="19" spans="1:29" ht="42.75">
      <c r="A19" s="428"/>
      <c r="B19" s="451" t="s">
        <v>2687</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04"/>
      <c r="Q20" s="1813"/>
      <c r="R20" s="774"/>
      <c r="S20" s="775"/>
      <c r="T20" s="774"/>
      <c r="U20" s="775"/>
      <c r="V20" s="774"/>
      <c r="W20" s="775"/>
      <c r="X20" s="1816"/>
      <c r="Y20" s="3204"/>
      <c r="Z20" s="1817"/>
      <c r="AA20" s="1814">
        <v>1</v>
      </c>
      <c r="AB20" s="1814">
        <v>1</v>
      </c>
      <c r="AC20" s="1814">
        <v>1</v>
      </c>
    </row>
    <row r="21" spans="1:29" ht="28.5">
      <c r="A21" s="428"/>
      <c r="B21" s="1387" t="s">
        <v>2688</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04"/>
      <c r="Q22" s="1813"/>
      <c r="R22" s="774"/>
      <c r="S22" s="775"/>
      <c r="T22" s="774"/>
      <c r="U22" s="775"/>
      <c r="V22" s="774"/>
      <c r="W22" s="775"/>
      <c r="X22" s="1816"/>
      <c r="Y22" s="3204"/>
      <c r="Z22" s="1817"/>
      <c r="AA22" s="1814">
        <v>1</v>
      </c>
      <c r="AB22" s="1814">
        <v>1</v>
      </c>
      <c r="AC22" s="1814">
        <v>1</v>
      </c>
    </row>
    <row r="23" spans="1:29" ht="71.25">
      <c r="A23" s="428"/>
      <c r="B23" s="451" t="s">
        <v>2689</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04"/>
      <c r="Q24" s="1813"/>
      <c r="R24" s="774"/>
      <c r="S24" s="775"/>
      <c r="T24" s="774"/>
      <c r="U24" s="775"/>
      <c r="V24" s="774"/>
      <c r="W24" s="775"/>
      <c r="X24" s="1816"/>
      <c r="Y24" s="320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3">
        <f>B25</f>
        <v>111</v>
      </c>
      <c r="R25" s="774" t="s">
        <v>17</v>
      </c>
      <c r="S25" s="775">
        <f>F25</f>
        <v>100</v>
      </c>
      <c r="T25" s="774" t="s">
        <v>17</v>
      </c>
      <c r="U25" s="775">
        <f>H25</f>
        <v>100</v>
      </c>
      <c r="V25" s="774" t="s">
        <v>17</v>
      </c>
      <c r="W25" s="775">
        <f>J25</f>
        <v>100</v>
      </c>
      <c r="X25" s="1816"/>
      <c r="Y25" s="320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3">
        <f t="shared" ref="Q26:Q40" si="11">B26</f>
        <v>111</v>
      </c>
      <c r="R26" s="774" t="s">
        <v>17</v>
      </c>
      <c r="S26" s="775">
        <f>F26</f>
        <v>100</v>
      </c>
      <c r="T26" s="774" t="s">
        <v>17</v>
      </c>
      <c r="U26" s="775">
        <f>H26</f>
        <v>100</v>
      </c>
      <c r="V26" s="774" t="s">
        <v>17</v>
      </c>
      <c r="W26" s="775">
        <f>J26</f>
        <v>100</v>
      </c>
      <c r="X26" s="1816"/>
      <c r="Y26" s="320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8">
        <f t="shared" si="11"/>
        <v>111</v>
      </c>
      <c r="R27" s="770" t="s">
        <v>17</v>
      </c>
      <c r="S27" s="771">
        <f>F27</f>
        <v>100</v>
      </c>
      <c r="T27" s="770" t="s">
        <v>17</v>
      </c>
      <c r="U27" s="771">
        <f>H27</f>
        <v>100</v>
      </c>
      <c r="V27" s="770" t="s">
        <v>17</v>
      </c>
      <c r="W27" s="771">
        <f>J27</f>
        <v>100</v>
      </c>
      <c r="X27" s="772"/>
      <c r="Y27" s="320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3">
        <f t="shared" si="11"/>
        <v>111</v>
      </c>
      <c r="R28" s="774" t="s">
        <v>17</v>
      </c>
      <c r="S28" s="775">
        <f t="shared" ref="S28:S40" si="12">F28</f>
        <v>100</v>
      </c>
      <c r="T28" s="774" t="s">
        <v>17</v>
      </c>
      <c r="U28" s="775">
        <f t="shared" ref="U28:U40" si="13">H28</f>
        <v>100</v>
      </c>
      <c r="V28" s="774" t="s">
        <v>17</v>
      </c>
      <c r="W28" s="775">
        <f t="shared" ref="W28:W40" si="14">J28</f>
        <v>100</v>
      </c>
      <c r="X28" s="1816"/>
      <c r="Y28" s="3204"/>
      <c r="Z28" s="1817">
        <f t="shared" ref="Z28:Z40" si="15">Q28</f>
        <v>111</v>
      </c>
      <c r="AA28" s="1814">
        <f t="shared" si="3"/>
        <v>1</v>
      </c>
      <c r="AB28" s="1814">
        <f t="shared" si="4"/>
        <v>1</v>
      </c>
      <c r="AC28" s="1814">
        <f t="shared" si="5"/>
        <v>1</v>
      </c>
    </row>
    <row r="29" spans="1:29" ht="28.5">
      <c r="A29" s="466" t="s">
        <v>2562</v>
      </c>
      <c r="B29" s="71" t="s">
        <v>2692</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59" t="s">
        <v>2564</v>
      </c>
      <c r="Q29" s="1813" t="str">
        <f t="shared" si="11"/>
        <v>建筑类型</v>
      </c>
      <c r="R29" s="774" t="s">
        <v>17</v>
      </c>
      <c r="S29" s="775">
        <f t="shared" si="12"/>
        <v>100</v>
      </c>
      <c r="T29" s="774" t="s">
        <v>17</v>
      </c>
      <c r="U29" s="775">
        <f t="shared" si="13"/>
        <v>100</v>
      </c>
      <c r="V29" s="774" t="s">
        <v>17</v>
      </c>
      <c r="W29" s="775">
        <f t="shared" si="14"/>
        <v>100</v>
      </c>
      <c r="X29" s="1816"/>
      <c r="Y29" s="3208"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3" t="str">
        <f t="shared" si="11"/>
        <v>建筑结构</v>
      </c>
      <c r="R31" s="774" t="s">
        <v>17</v>
      </c>
      <c r="S31" s="775">
        <f t="shared" si="12"/>
        <v>100</v>
      </c>
      <c r="T31" s="774" t="s">
        <v>17</v>
      </c>
      <c r="U31" s="775">
        <f t="shared" si="13"/>
        <v>100</v>
      </c>
      <c r="V31" s="774" t="s">
        <v>17</v>
      </c>
      <c r="W31" s="775">
        <f t="shared" si="14"/>
        <v>100</v>
      </c>
      <c r="X31" s="1816"/>
      <c r="Y31" s="3208"/>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3" t="str">
        <f t="shared" si="11"/>
        <v>公共部分装修</v>
      </c>
      <c r="R32" s="774" t="s">
        <v>17</v>
      </c>
      <c r="S32" s="775">
        <f t="shared" si="12"/>
        <v>100</v>
      </c>
      <c r="T32" s="774" t="s">
        <v>17</v>
      </c>
      <c r="U32" s="775">
        <f t="shared" si="13"/>
        <v>100</v>
      </c>
      <c r="V32" s="774" t="s">
        <v>17</v>
      </c>
      <c r="W32" s="775">
        <f t="shared" si="14"/>
        <v>100</v>
      </c>
      <c r="X32" s="1816"/>
      <c r="Y32" s="3208"/>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3" t="str">
        <f t="shared" si="11"/>
        <v>成新度</v>
      </c>
      <c r="R33" s="774" t="s">
        <v>17</v>
      </c>
      <c r="S33" s="775" t="e">
        <f t="shared" si="12"/>
        <v>#N/A</v>
      </c>
      <c r="T33" s="774" t="s">
        <v>17</v>
      </c>
      <c r="U33" s="775" t="e">
        <f t="shared" si="13"/>
        <v>#N/A</v>
      </c>
      <c r="V33" s="774" t="s">
        <v>17</v>
      </c>
      <c r="W33" s="775" t="e">
        <f t="shared" si="14"/>
        <v>#N/A</v>
      </c>
      <c r="X33" s="1816"/>
      <c r="Y33" s="3208"/>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8"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2564</v>
      </c>
      <c r="Q35" s="1813" t="str">
        <f t="shared" si="11"/>
        <v>市政基础设施</v>
      </c>
      <c r="R35" s="774" t="s">
        <v>17</v>
      </c>
      <c r="S35" s="775">
        <f t="shared" si="12"/>
        <v>100</v>
      </c>
      <c r="T35" s="774" t="s">
        <v>17</v>
      </c>
      <c r="U35" s="775">
        <f t="shared" si="13"/>
        <v>100</v>
      </c>
      <c r="V35" s="774" t="s">
        <v>17</v>
      </c>
      <c r="W35" s="775">
        <f t="shared" si="14"/>
        <v>100</v>
      </c>
      <c r="X35" s="1816"/>
      <c r="Y35" s="3208"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3" t="str">
        <f t="shared" si="11"/>
        <v>内部装修</v>
      </c>
      <c r="R36" s="774" t="s">
        <v>17</v>
      </c>
      <c r="S36" s="775">
        <f t="shared" si="12"/>
        <v>100</v>
      </c>
      <c r="T36" s="774" t="s">
        <v>17</v>
      </c>
      <c r="U36" s="775">
        <f t="shared" si="13"/>
        <v>100</v>
      </c>
      <c r="V36" s="774" t="s">
        <v>17</v>
      </c>
      <c r="W36" s="775">
        <f t="shared" si="14"/>
        <v>100</v>
      </c>
      <c r="X36" s="1816"/>
      <c r="Y36" s="3208"/>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3" t="str">
        <f t="shared" si="11"/>
        <v>内部装修状况</v>
      </c>
      <c r="R37" s="774" t="s">
        <v>17</v>
      </c>
      <c r="S37" s="775">
        <f t="shared" si="12"/>
        <v>100</v>
      </c>
      <c r="T37" s="774" t="s">
        <v>17</v>
      </c>
      <c r="U37" s="775">
        <f t="shared" si="13"/>
        <v>100</v>
      </c>
      <c r="V37" s="774" t="s">
        <v>17</v>
      </c>
      <c r="W37" s="775">
        <f t="shared" si="14"/>
        <v>100</v>
      </c>
      <c r="X37" s="1816"/>
      <c r="Y37" s="320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3">
        <f t="shared" si="11"/>
        <v>111</v>
      </c>
      <c r="R39" s="774" t="s">
        <v>17</v>
      </c>
      <c r="S39" s="775">
        <f t="shared" si="12"/>
        <v>100</v>
      </c>
      <c r="T39" s="774" t="s">
        <v>17</v>
      </c>
      <c r="U39" s="775">
        <f t="shared" si="13"/>
        <v>100</v>
      </c>
      <c r="V39" s="774" t="s">
        <v>17</v>
      </c>
      <c r="W39" s="775">
        <f t="shared" si="14"/>
        <v>100</v>
      </c>
      <c r="X39" s="1816"/>
      <c r="Y39" s="320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3">
        <f t="shared" si="11"/>
        <v>111</v>
      </c>
      <c r="R40" s="774" t="s">
        <v>17</v>
      </c>
      <c r="S40" s="775">
        <f t="shared" si="12"/>
        <v>100</v>
      </c>
      <c r="T40" s="774" t="s">
        <v>17</v>
      </c>
      <c r="U40" s="775">
        <f t="shared" si="13"/>
        <v>100</v>
      </c>
      <c r="V40" s="774" t="s">
        <v>17</v>
      </c>
      <c r="W40" s="775">
        <f t="shared" si="14"/>
        <v>100</v>
      </c>
      <c r="X40" s="1816"/>
      <c r="Y40" s="3209"/>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90"/>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2"/>
      <c r="D2" s="1127" t="e">
        <f ca="1">SUMIF(INDIRECT("'"&amp;F2&amp;"'"&amp;"!A:A"),"承租人权益价值",INDIRECT("'"&amp;F2&amp;"'"&amp;"!c:c"))</f>
        <v>#REF!</v>
      </c>
      <c r="E2" s="2593" t="s">
        <v>2330</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3"/>
      <c r="M4" s="1134"/>
      <c r="N4" s="1134"/>
      <c r="O4" s="1134"/>
      <c r="P4" s="3220" t="s">
        <v>2650</v>
      </c>
      <c r="Q4" s="3221"/>
      <c r="R4" s="3226" t="s">
        <v>2646</v>
      </c>
      <c r="S4" s="3227"/>
      <c r="T4" s="3226" t="s">
        <v>2647</v>
      </c>
      <c r="U4" s="3227"/>
      <c r="V4" s="3232" t="s">
        <v>2648</v>
      </c>
      <c r="W4" s="3232"/>
      <c r="X4" s="1816"/>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3"/>
      <c r="M5" s="1134"/>
      <c r="N5" s="1134"/>
      <c r="O5" s="1134"/>
      <c r="P5" s="3222"/>
      <c r="Q5" s="3223"/>
      <c r="R5" s="3228"/>
      <c r="S5" s="3229"/>
      <c r="T5" s="3228"/>
      <c r="U5" s="3229"/>
      <c r="V5" s="3232"/>
      <c r="W5" s="3232"/>
      <c r="X5" s="1816"/>
      <c r="Y5" s="3228"/>
      <c r="Z5" s="3229"/>
      <c r="AA5" s="3214"/>
      <c r="AB5" s="3214"/>
      <c r="AC5" s="3214"/>
    </row>
    <row r="6" spans="1:29" ht="15.75" thickBot="1">
      <c r="A6" s="406"/>
      <c r="B6" s="407"/>
      <c r="C6" s="3233" t="s">
        <v>2545</v>
      </c>
      <c r="D6" s="3234"/>
      <c r="E6" s="3240" t="s">
        <v>2545</v>
      </c>
      <c r="F6" s="3241"/>
      <c r="G6" s="3233" t="s">
        <v>2545</v>
      </c>
      <c r="H6" s="3234"/>
      <c r="I6" s="3233" t="s">
        <v>2545</v>
      </c>
      <c r="J6" s="3234"/>
      <c r="K6" s="610" t="s">
        <v>2546</v>
      </c>
      <c r="L6" s="1133"/>
      <c r="M6" s="1134"/>
      <c r="N6" s="1134"/>
      <c r="O6" s="1134"/>
      <c r="P6" s="3224"/>
      <c r="Q6" s="3225"/>
      <c r="R6" s="3228"/>
      <c r="S6" s="3229"/>
      <c r="T6" s="3230"/>
      <c r="U6" s="3231"/>
      <c r="V6" s="3232"/>
      <c r="W6" s="3232"/>
      <c r="X6" s="1816"/>
      <c r="Y6" s="3230"/>
      <c r="Z6" s="3231"/>
      <c r="AA6" s="3215"/>
      <c r="AB6" s="3215"/>
      <c r="AC6" s="3215"/>
    </row>
    <row r="7" spans="1:29" s="117" customFormat="1" ht="15.75" thickBot="1">
      <c r="A7" s="408" t="s">
        <v>2547</v>
      </c>
      <c r="B7" s="409"/>
      <c r="C7" s="410">
        <f>'数据-取费表'!B2</f>
        <v>43574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7" t="s">
        <v>2548</v>
      </c>
      <c r="Q7" s="3239"/>
      <c r="R7" s="770" t="s">
        <v>17</v>
      </c>
      <c r="S7" s="771">
        <f t="shared" ref="S7:S14" si="0">F7</f>
        <v>0</v>
      </c>
      <c r="T7" s="770" t="s">
        <v>17</v>
      </c>
      <c r="U7" s="771">
        <f t="shared" ref="U7:U14" si="1">H7</f>
        <v>0</v>
      </c>
      <c r="V7" s="770" t="s">
        <v>17</v>
      </c>
      <c r="W7" s="771">
        <f t="shared" ref="W7:W14" si="2">J7</f>
        <v>0</v>
      </c>
      <c r="X7" s="772"/>
      <c r="Y7" s="3237" t="s">
        <v>2548</v>
      </c>
      <c r="Z7" s="323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7" t="s">
        <v>2551</v>
      </c>
      <c r="Q8" s="3238"/>
      <c r="R8" s="770" t="s">
        <v>17</v>
      </c>
      <c r="S8" s="771">
        <f t="shared" si="0"/>
        <v>0</v>
      </c>
      <c r="T8" s="770" t="s">
        <v>17</v>
      </c>
      <c r="U8" s="771">
        <f t="shared" si="1"/>
        <v>0</v>
      </c>
      <c r="V8" s="770" t="s">
        <v>17</v>
      </c>
      <c r="W8" s="771">
        <f t="shared" si="2"/>
        <v>0</v>
      </c>
      <c r="X8" s="772"/>
      <c r="Y8" s="3237" t="s">
        <v>2551</v>
      </c>
      <c r="Z8" s="323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1" t="s">
        <v>2554</v>
      </c>
      <c r="Q9" s="1798"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1"/>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2558</v>
      </c>
      <c r="B14" s="629" t="s">
        <v>2708</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2559</v>
      </c>
      <c r="Q14" s="1813" t="str">
        <f t="shared" si="6"/>
        <v>交通便捷度</v>
      </c>
      <c r="R14" s="774" t="s">
        <v>17</v>
      </c>
      <c r="S14" s="775">
        <f t="shared" si="0"/>
        <v>100</v>
      </c>
      <c r="T14" s="774" t="s">
        <v>17</v>
      </c>
      <c r="U14" s="775">
        <f t="shared" si="1"/>
        <v>100</v>
      </c>
      <c r="V14" s="774" t="s">
        <v>17</v>
      </c>
      <c r="W14" s="775">
        <f t="shared" si="2"/>
        <v>100</v>
      </c>
      <c r="X14" s="1816"/>
      <c r="Y14" s="3203"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4"/>
      <c r="Q15" s="1813"/>
      <c r="R15" s="774"/>
      <c r="S15" s="775"/>
      <c r="T15" s="774"/>
      <c r="U15" s="775"/>
      <c r="V15" s="774"/>
      <c r="W15" s="775"/>
      <c r="X15" s="1816"/>
      <c r="Y15" s="3204"/>
      <c r="Z15" s="1817"/>
      <c r="AA15" s="1814">
        <v>1</v>
      </c>
      <c r="AB15" s="1814">
        <v>1</v>
      </c>
      <c r="AC15" s="1814">
        <v>1</v>
      </c>
    </row>
    <row r="16" spans="1:29" ht="42.75">
      <c r="A16" s="404"/>
      <c r="B16" s="631" t="s">
        <v>2687</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04"/>
      <c r="Q17" s="1813"/>
      <c r="R17" s="774"/>
      <c r="S17" s="775"/>
      <c r="T17" s="774"/>
      <c r="U17" s="775"/>
      <c r="V17" s="774"/>
      <c r="W17" s="775"/>
      <c r="X17" s="1816"/>
      <c r="Y17" s="3204"/>
      <c r="Z17" s="1817"/>
      <c r="AA17" s="1814">
        <v>1</v>
      </c>
      <c r="AB17" s="1814">
        <v>1</v>
      </c>
      <c r="AC17" s="1814">
        <v>1</v>
      </c>
    </row>
    <row r="18" spans="1:29" ht="28.5">
      <c r="A18" s="404"/>
      <c r="B18" s="633" t="s">
        <v>2688</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04"/>
      <c r="Q19" s="1813"/>
      <c r="R19" s="774"/>
      <c r="S19" s="775"/>
      <c r="T19" s="774"/>
      <c r="U19" s="775"/>
      <c r="V19" s="774"/>
      <c r="W19" s="775"/>
      <c r="X19" s="1816"/>
      <c r="Y19" s="3204"/>
      <c r="Z19" s="1817"/>
      <c r="AA19" s="1814">
        <v>1</v>
      </c>
      <c r="AB19" s="1814">
        <v>1</v>
      </c>
      <c r="AC19" s="1814">
        <v>1</v>
      </c>
    </row>
    <row r="20" spans="1:29" ht="57">
      <c r="A20" s="404"/>
      <c r="B20" s="631" t="s">
        <v>2709</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4"/>
      <c r="Q21" s="1813"/>
      <c r="R21" s="774"/>
      <c r="S21" s="775"/>
      <c r="T21" s="774"/>
      <c r="U21" s="775"/>
      <c r="V21" s="774"/>
      <c r="W21" s="775"/>
      <c r="X21" s="1816"/>
      <c r="Y21" s="3204"/>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3">
        <f t="shared" ref="Q24:Q36"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28.5">
      <c r="A26" s="652" t="s">
        <v>2562</v>
      </c>
      <c r="B26" s="70" t="s">
        <v>2711</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9"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8"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3" t="str">
        <f t="shared" si="11"/>
        <v>公共部分装修</v>
      </c>
      <c r="R28" s="774" t="s">
        <v>17</v>
      </c>
      <c r="S28" s="775">
        <f t="shared" si="12"/>
        <v>100</v>
      </c>
      <c r="T28" s="774" t="s">
        <v>17</v>
      </c>
      <c r="U28" s="775">
        <f t="shared" si="13"/>
        <v>100</v>
      </c>
      <c r="V28" s="774" t="s">
        <v>17</v>
      </c>
      <c r="W28" s="775">
        <f t="shared" si="14"/>
        <v>100</v>
      </c>
      <c r="X28" s="1816"/>
      <c r="Y28" s="3208"/>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3" t="str">
        <f t="shared" si="11"/>
        <v>成新率</v>
      </c>
      <c r="R29" s="774" t="s">
        <v>17</v>
      </c>
      <c r="S29" s="775" t="e">
        <f t="shared" si="12"/>
        <v>#N/A</v>
      </c>
      <c r="T29" s="774" t="s">
        <v>17</v>
      </c>
      <c r="U29" s="775" t="e">
        <f t="shared" si="13"/>
        <v>#N/A</v>
      </c>
      <c r="V29" s="774" t="s">
        <v>17</v>
      </c>
      <c r="W29" s="775" t="e">
        <f t="shared" si="14"/>
        <v>#N/A</v>
      </c>
      <c r="X29" s="1816"/>
      <c r="Y29" s="3208"/>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3" t="str">
        <f t="shared" si="11"/>
        <v>物业等级</v>
      </c>
      <c r="R30" s="774" t="s">
        <v>17</v>
      </c>
      <c r="S30" s="775">
        <f t="shared" si="12"/>
        <v>100</v>
      </c>
      <c r="T30" s="774" t="s">
        <v>17</v>
      </c>
      <c r="U30" s="775">
        <f t="shared" si="13"/>
        <v>100</v>
      </c>
      <c r="V30" s="774" t="s">
        <v>17</v>
      </c>
      <c r="W30" s="775">
        <f t="shared" si="14"/>
        <v>100</v>
      </c>
      <c r="X30" s="1816"/>
      <c r="Y30" s="3208"/>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8"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2564</v>
      </c>
      <c r="Q32" s="1813" t="str">
        <f t="shared" si="11"/>
        <v>车位类型</v>
      </c>
      <c r="R32" s="774" t="s">
        <v>17</v>
      </c>
      <c r="S32" s="775">
        <f t="shared" si="12"/>
        <v>100</v>
      </c>
      <c r="T32" s="774" t="s">
        <v>17</v>
      </c>
      <c r="U32" s="775">
        <f t="shared" si="13"/>
        <v>100</v>
      </c>
      <c r="V32" s="774" t="s">
        <v>17</v>
      </c>
      <c r="W32" s="775">
        <f t="shared" si="14"/>
        <v>100</v>
      </c>
      <c r="X32" s="1816"/>
      <c r="Y32" s="3208"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3" t="str">
        <f t="shared" si="11"/>
        <v>是否直接入户</v>
      </c>
      <c r="R33" s="774" t="s">
        <v>17</v>
      </c>
      <c r="S33" s="775">
        <f t="shared" si="12"/>
        <v>100</v>
      </c>
      <c r="T33" s="774" t="s">
        <v>17</v>
      </c>
      <c r="U33" s="775">
        <f t="shared" si="13"/>
        <v>100</v>
      </c>
      <c r="V33" s="774" t="s">
        <v>17</v>
      </c>
      <c r="W33" s="775">
        <f t="shared" si="14"/>
        <v>100</v>
      </c>
      <c r="X33" s="1816"/>
      <c r="Y33" s="320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3">
        <f t="shared" si="11"/>
        <v>111</v>
      </c>
      <c r="R36" s="774" t="s">
        <v>17</v>
      </c>
      <c r="S36" s="775">
        <f t="shared" si="12"/>
        <v>100</v>
      </c>
      <c r="T36" s="774" t="s">
        <v>17</v>
      </c>
      <c r="U36" s="775">
        <f t="shared" si="13"/>
        <v>100</v>
      </c>
      <c r="V36" s="774" t="s">
        <v>17</v>
      </c>
      <c r="W36" s="775">
        <f t="shared" si="14"/>
        <v>100</v>
      </c>
      <c r="X36" s="1816"/>
      <c r="Y36" s="3208"/>
      <c r="Z36" s="1817">
        <f t="shared" si="15"/>
        <v>111</v>
      </c>
      <c r="AA36" s="1814">
        <f t="shared" si="3"/>
        <v>1</v>
      </c>
      <c r="AB36" s="1814">
        <f t="shared" si="4"/>
        <v>1</v>
      </c>
      <c r="AC36" s="1814">
        <f t="shared" si="5"/>
        <v>1</v>
      </c>
    </row>
    <row r="37" spans="1:29" ht="15">
      <c r="A37" s="479" t="s">
        <v>2719</v>
      </c>
      <c r="B37" s="2701" t="s">
        <v>2720</v>
      </c>
      <c r="C37" s="1410" t="s">
        <v>1</v>
      </c>
      <c r="D37" s="1411"/>
      <c r="E37" s="1412"/>
      <c r="F37" s="1413"/>
      <c r="G37" s="1414"/>
      <c r="H37" s="1415"/>
      <c r="I37" s="1412"/>
      <c r="J37" s="1415"/>
      <c r="K37" s="619"/>
      <c r="L37" s="1146"/>
      <c r="M37" s="1147"/>
      <c r="N37" s="1134"/>
      <c r="O37" s="1147"/>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90"/>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2"/>
      <c r="D2" s="1127" t="e">
        <f ca="1">SUMIF(INDIRECT("'"&amp;F2&amp;"'"&amp;"!A:A"),"承租人权益价值",INDIRECT("'"&amp;F2&amp;"'"&amp;"!c:c"))</f>
        <v>#REF!</v>
      </c>
      <c r="E2" s="2593" t="s">
        <v>2330</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3"/>
      <c r="M4" s="1134"/>
      <c r="N4" s="1134"/>
      <c r="O4" s="1134"/>
      <c r="P4" s="3220" t="s">
        <v>2650</v>
      </c>
      <c r="Q4" s="3221"/>
      <c r="R4" s="3226" t="s">
        <v>2646</v>
      </c>
      <c r="S4" s="3227"/>
      <c r="T4" s="3226" t="s">
        <v>2647</v>
      </c>
      <c r="U4" s="3227"/>
      <c r="V4" s="3232" t="s">
        <v>2648</v>
      </c>
      <c r="W4" s="3232"/>
      <c r="X4" s="1816"/>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3"/>
      <c r="M5" s="1134"/>
      <c r="N5" s="1134"/>
      <c r="O5" s="1134"/>
      <c r="P5" s="3222"/>
      <c r="Q5" s="3223"/>
      <c r="R5" s="3228"/>
      <c r="S5" s="3229"/>
      <c r="T5" s="3228"/>
      <c r="U5" s="3229"/>
      <c r="V5" s="3232"/>
      <c r="W5" s="3232"/>
      <c r="X5" s="1816"/>
      <c r="Y5" s="3228"/>
      <c r="Z5" s="3229"/>
      <c r="AA5" s="3214"/>
      <c r="AB5" s="3214"/>
      <c r="AC5" s="3214"/>
    </row>
    <row r="6" spans="1:29" ht="15.75" thickBot="1">
      <c r="A6" s="406"/>
      <c r="B6" s="407"/>
      <c r="C6" s="3233" t="s">
        <v>2545</v>
      </c>
      <c r="D6" s="3234"/>
      <c r="E6" s="3240" t="s">
        <v>2545</v>
      </c>
      <c r="F6" s="3241"/>
      <c r="G6" s="3233" t="s">
        <v>2545</v>
      </c>
      <c r="H6" s="3234"/>
      <c r="I6" s="3233" t="s">
        <v>2545</v>
      </c>
      <c r="J6" s="3234"/>
      <c r="K6" s="610" t="s">
        <v>2546</v>
      </c>
      <c r="L6" s="1133"/>
      <c r="M6" s="1134"/>
      <c r="N6" s="1134"/>
      <c r="O6" s="1134"/>
      <c r="P6" s="3224"/>
      <c r="Q6" s="3225"/>
      <c r="R6" s="3228"/>
      <c r="S6" s="3229"/>
      <c r="T6" s="3230"/>
      <c r="U6" s="3231"/>
      <c r="V6" s="3232"/>
      <c r="W6" s="3232"/>
      <c r="X6" s="1816"/>
      <c r="Y6" s="3230"/>
      <c r="Z6" s="3231"/>
      <c r="AA6" s="3215"/>
      <c r="AB6" s="3215"/>
      <c r="AC6" s="3215"/>
    </row>
    <row r="7" spans="1:29" s="117" customFormat="1" ht="15.75" thickBot="1">
      <c r="A7" s="408" t="s">
        <v>2547</v>
      </c>
      <c r="B7" s="409"/>
      <c r="C7" s="410">
        <f>'数据-取费表'!B2</f>
        <v>43574</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37" t="s">
        <v>2548</v>
      </c>
      <c r="Q7" s="3239"/>
      <c r="R7" s="770" t="s">
        <v>17</v>
      </c>
      <c r="S7" s="771">
        <f t="shared" ref="S7:S14" si="0">F7</f>
        <v>0</v>
      </c>
      <c r="T7" s="770" t="s">
        <v>17</v>
      </c>
      <c r="U7" s="771">
        <f t="shared" ref="U7:U14" si="1">H7</f>
        <v>0</v>
      </c>
      <c r="V7" s="770" t="s">
        <v>17</v>
      </c>
      <c r="W7" s="771">
        <f t="shared" ref="W7:W14" si="2">J7</f>
        <v>0</v>
      </c>
      <c r="X7" s="772"/>
      <c r="Y7" s="3237" t="s">
        <v>2548</v>
      </c>
      <c r="Z7" s="323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7" t="s">
        <v>2551</v>
      </c>
      <c r="Q8" s="3238"/>
      <c r="R8" s="770" t="s">
        <v>17</v>
      </c>
      <c r="S8" s="771">
        <f t="shared" si="0"/>
        <v>0</v>
      </c>
      <c r="T8" s="770" t="s">
        <v>17</v>
      </c>
      <c r="U8" s="771">
        <f t="shared" si="1"/>
        <v>0</v>
      </c>
      <c r="V8" s="770" t="s">
        <v>17</v>
      </c>
      <c r="W8" s="771">
        <f t="shared" si="2"/>
        <v>0</v>
      </c>
      <c r="X8" s="772"/>
      <c r="Y8" s="3237" t="s">
        <v>2551</v>
      </c>
      <c r="Z8" s="323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1" t="s">
        <v>2554</v>
      </c>
      <c r="Q9" s="1798"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1"/>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2558</v>
      </c>
      <c r="B14" s="69" t="s">
        <v>2708</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2559</v>
      </c>
      <c r="Q14" s="1813" t="str">
        <f t="shared" si="6"/>
        <v>交通便捷度</v>
      </c>
      <c r="R14" s="774" t="s">
        <v>17</v>
      </c>
      <c r="S14" s="775">
        <f t="shared" si="0"/>
        <v>100</v>
      </c>
      <c r="T14" s="774" t="s">
        <v>17</v>
      </c>
      <c r="U14" s="775">
        <f t="shared" si="1"/>
        <v>100</v>
      </c>
      <c r="V14" s="774" t="s">
        <v>17</v>
      </c>
      <c r="W14" s="775">
        <f t="shared" si="2"/>
        <v>100</v>
      </c>
      <c r="X14" s="1816"/>
      <c r="Y14" s="3203"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4"/>
      <c r="Q15" s="1813"/>
      <c r="R15" s="774"/>
      <c r="S15" s="775"/>
      <c r="T15" s="774"/>
      <c r="U15" s="775"/>
      <c r="V15" s="774"/>
      <c r="W15" s="775"/>
      <c r="X15" s="1816"/>
      <c r="Y15" s="3204"/>
      <c r="Z15" s="1817"/>
      <c r="AA15" s="1814">
        <v>1</v>
      </c>
      <c r="AB15" s="1814">
        <v>1</v>
      </c>
      <c r="AC15" s="1814">
        <v>1</v>
      </c>
    </row>
    <row r="16" spans="1:29" ht="42.75">
      <c r="A16" s="428"/>
      <c r="B16" s="451" t="s">
        <v>2687</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04"/>
      <c r="Q17" s="1813"/>
      <c r="R17" s="774"/>
      <c r="S17" s="775"/>
      <c r="T17" s="774"/>
      <c r="U17" s="775"/>
      <c r="V17" s="774"/>
      <c r="W17" s="775"/>
      <c r="X17" s="1816"/>
      <c r="Y17" s="3204"/>
      <c r="Z17" s="1817"/>
      <c r="AA17" s="1814">
        <v>1</v>
      </c>
      <c r="AB17" s="1814">
        <v>1</v>
      </c>
      <c r="AC17" s="1814">
        <v>1</v>
      </c>
    </row>
    <row r="18" spans="1:29" ht="28.5">
      <c r="A18" s="428"/>
      <c r="B18" s="1387" t="s">
        <v>2688</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04"/>
      <c r="Q19" s="1813"/>
      <c r="R19" s="774"/>
      <c r="S19" s="775"/>
      <c r="T19" s="774"/>
      <c r="U19" s="775"/>
      <c r="V19" s="774"/>
      <c r="W19" s="775"/>
      <c r="X19" s="1816"/>
      <c r="Y19" s="3204"/>
      <c r="Z19" s="1817"/>
      <c r="AA19" s="1814">
        <v>1</v>
      </c>
      <c r="AB19" s="1814">
        <v>1</v>
      </c>
      <c r="AC19" s="1814">
        <v>1</v>
      </c>
    </row>
    <row r="20" spans="1:29" ht="57">
      <c r="A20" s="428"/>
      <c r="B20" s="451" t="s">
        <v>2709</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4"/>
      <c r="Q21" s="1813"/>
      <c r="R21" s="774"/>
      <c r="S21" s="775"/>
      <c r="T21" s="774"/>
      <c r="U21" s="775"/>
      <c r="V21" s="774"/>
      <c r="W21" s="775"/>
      <c r="X21" s="1816"/>
      <c r="Y21" s="3204"/>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3">
        <f t="shared" ref="Q24:Q34"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28.5">
      <c r="A26" s="466" t="s">
        <v>2562</v>
      </c>
      <c r="B26" s="71" t="s">
        <v>2713</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59"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8"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3" t="str">
        <f t="shared" si="11"/>
        <v>物业等级</v>
      </c>
      <c r="R28" s="774" t="s">
        <v>17</v>
      </c>
      <c r="S28" s="775">
        <f t="shared" si="12"/>
        <v>100</v>
      </c>
      <c r="T28" s="774" t="s">
        <v>17</v>
      </c>
      <c r="U28" s="775">
        <f t="shared" si="13"/>
        <v>100</v>
      </c>
      <c r="V28" s="774" t="s">
        <v>17</v>
      </c>
      <c r="W28" s="775">
        <f t="shared" si="14"/>
        <v>100</v>
      </c>
      <c r="X28" s="1816"/>
      <c r="Y28" s="3208"/>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3" t="str">
        <f t="shared" si="11"/>
        <v>有无电梯</v>
      </c>
      <c r="R29" s="774" t="s">
        <v>17</v>
      </c>
      <c r="S29" s="775">
        <f t="shared" si="12"/>
        <v>100</v>
      </c>
      <c r="T29" s="774" t="s">
        <v>17</v>
      </c>
      <c r="U29" s="775">
        <f t="shared" si="13"/>
        <v>100</v>
      </c>
      <c r="V29" s="774" t="s">
        <v>17</v>
      </c>
      <c r="W29" s="775">
        <f t="shared" si="14"/>
        <v>100</v>
      </c>
      <c r="X29" s="1816"/>
      <c r="Y29" s="3208"/>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3" t="str">
        <f t="shared" si="11"/>
        <v>建筑面积</v>
      </c>
      <c r="R30" s="774" t="s">
        <v>17</v>
      </c>
      <c r="S30" s="775" t="e">
        <f t="shared" si="12"/>
        <v>#N/A</v>
      </c>
      <c r="T30" s="774" t="s">
        <v>17</v>
      </c>
      <c r="U30" s="775" t="e">
        <f t="shared" si="13"/>
        <v>#N/A</v>
      </c>
      <c r="V30" s="774" t="s">
        <v>17</v>
      </c>
      <c r="W30" s="775" t="e">
        <f t="shared" si="14"/>
        <v>#N/A</v>
      </c>
      <c r="X30" s="1816"/>
      <c r="Y30" s="3208"/>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8"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2564</v>
      </c>
      <c r="Q32" s="1813">
        <f t="shared" si="11"/>
        <v>111</v>
      </c>
      <c r="R32" s="774" t="s">
        <v>17</v>
      </c>
      <c r="S32" s="775">
        <f t="shared" si="12"/>
        <v>100</v>
      </c>
      <c r="T32" s="774" t="s">
        <v>17</v>
      </c>
      <c r="U32" s="775">
        <f t="shared" si="13"/>
        <v>100</v>
      </c>
      <c r="V32" s="774" t="s">
        <v>17</v>
      </c>
      <c r="W32" s="775">
        <f t="shared" si="14"/>
        <v>100</v>
      </c>
      <c r="X32" s="1816"/>
      <c r="Y32" s="3208" t="s">
        <v>2564</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3">
        <f t="shared" si="11"/>
        <v>111</v>
      </c>
      <c r="R33" s="774" t="s">
        <v>17</v>
      </c>
      <c r="S33" s="775">
        <f t="shared" si="12"/>
        <v>100</v>
      </c>
      <c r="T33" s="774" t="s">
        <v>17</v>
      </c>
      <c r="U33" s="775">
        <f t="shared" si="13"/>
        <v>100</v>
      </c>
      <c r="V33" s="774" t="s">
        <v>17</v>
      </c>
      <c r="W33" s="775">
        <f t="shared" si="14"/>
        <v>100</v>
      </c>
      <c r="X33" s="1816"/>
      <c r="Y33" s="320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7.125" style="403" bestFit="1" customWidth="1"/>
    <col min="8" max="8" width="12.25" style="403" customWidth="1"/>
    <col min="9" max="9" width="14.62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110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1127</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16" t="s">
        <v>2645</v>
      </c>
      <c r="D4" s="3217"/>
      <c r="E4" s="3218" t="s">
        <v>2646</v>
      </c>
      <c r="F4" s="3219"/>
      <c r="G4" s="3216" t="s">
        <v>2647</v>
      </c>
      <c r="H4" s="3217"/>
      <c r="I4" s="3216" t="s">
        <v>2648</v>
      </c>
      <c r="J4" s="3217"/>
      <c r="K4" s="610" t="s">
        <v>2649</v>
      </c>
      <c r="L4" s="1133"/>
      <c r="M4" s="1134"/>
      <c r="N4" s="1134"/>
      <c r="O4" s="1134"/>
      <c r="P4" s="3220" t="s">
        <v>2650</v>
      </c>
      <c r="Q4" s="3221"/>
      <c r="R4" s="3226" t="s">
        <v>2646</v>
      </c>
      <c r="S4" s="3227"/>
      <c r="T4" s="3226" t="s">
        <v>2647</v>
      </c>
      <c r="U4" s="3227"/>
      <c r="V4" s="3232" t="s">
        <v>2648</v>
      </c>
      <c r="W4" s="3232"/>
      <c r="X4" s="1816"/>
      <c r="Y4" s="3226" t="s">
        <v>2650</v>
      </c>
      <c r="Z4" s="3227"/>
      <c r="AA4" s="3213" t="s">
        <v>2646</v>
      </c>
      <c r="AB4" s="3214" t="s">
        <v>2647</v>
      </c>
      <c r="AC4" s="3213" t="s">
        <v>2648</v>
      </c>
    </row>
    <row r="5" spans="1:30" ht="15">
      <c r="A5" s="404"/>
      <c r="B5" s="405"/>
      <c r="C5" s="3235" t="s">
        <v>2541</v>
      </c>
      <c r="D5" s="3236"/>
      <c r="E5" s="3265" t="s">
        <v>3173</v>
      </c>
      <c r="F5" s="3243"/>
      <c r="G5" s="3264" t="s">
        <v>3065</v>
      </c>
      <c r="H5" s="3236"/>
      <c r="I5" s="3264" t="s">
        <v>3066</v>
      </c>
      <c r="J5" s="3236"/>
      <c r="K5" s="610"/>
      <c r="L5" s="1133"/>
      <c r="M5" s="1134"/>
      <c r="N5" s="1134"/>
      <c r="O5" s="1134"/>
      <c r="P5" s="3222"/>
      <c r="Q5" s="3223"/>
      <c r="R5" s="3228"/>
      <c r="S5" s="3229"/>
      <c r="T5" s="3228"/>
      <c r="U5" s="3229"/>
      <c r="V5" s="3232"/>
      <c r="W5" s="3232"/>
      <c r="X5" s="1816"/>
      <c r="Y5" s="3228"/>
      <c r="Z5" s="3229"/>
      <c r="AA5" s="3214"/>
      <c r="AB5" s="3214"/>
      <c r="AC5" s="3214"/>
    </row>
    <row r="6" spans="1:30" ht="15.75" thickBot="1">
      <c r="A6" s="406"/>
      <c r="B6" s="407"/>
      <c r="C6" s="3233" t="s">
        <v>2545</v>
      </c>
      <c r="D6" s="3234"/>
      <c r="E6" s="3240" t="s">
        <v>2545</v>
      </c>
      <c r="F6" s="3241"/>
      <c r="G6" s="3233" t="s">
        <v>2545</v>
      </c>
      <c r="H6" s="3234"/>
      <c r="I6" s="3233" t="s">
        <v>2545</v>
      </c>
      <c r="J6" s="3234"/>
      <c r="K6" s="610" t="s">
        <v>2546</v>
      </c>
      <c r="L6" s="1133"/>
      <c r="M6" s="1134"/>
      <c r="N6" s="1134"/>
      <c r="O6" s="1134"/>
      <c r="P6" s="3224"/>
      <c r="Q6" s="3225"/>
      <c r="R6" s="3228"/>
      <c r="S6" s="3229"/>
      <c r="T6" s="3230"/>
      <c r="U6" s="3231"/>
      <c r="V6" s="3232"/>
      <c r="W6" s="3232"/>
      <c r="X6" s="1816"/>
      <c r="Y6" s="3230"/>
      <c r="Z6" s="3231"/>
      <c r="AA6" s="3215"/>
      <c r="AB6" s="3215"/>
      <c r="AC6" s="3215"/>
    </row>
    <row r="7" spans="1:30" s="117" customFormat="1" ht="15.75" thickBot="1">
      <c r="A7" s="408" t="s">
        <v>2547</v>
      </c>
      <c r="B7" s="409"/>
      <c r="C7" s="410">
        <f>'数据-取费表'!B2</f>
        <v>43574</v>
      </c>
      <c r="D7" s="411">
        <v>100</v>
      </c>
      <c r="E7" s="412">
        <v>43455</v>
      </c>
      <c r="F7" s="413">
        <f>SUMIF(70:70,YEAR(E7)&amp;"-"&amp;INT((MONTH(E7)+2)/3),71:71)</f>
        <v>99</v>
      </c>
      <c r="G7" s="2702">
        <v>43417</v>
      </c>
      <c r="H7" s="411">
        <f>SUMIF(70:70,YEAR(G7)&amp;"-"&amp;INT((MONTH(G7)+2)/3),71:71)</f>
        <v>99</v>
      </c>
      <c r="I7" s="2702">
        <v>43348</v>
      </c>
      <c r="J7" s="411">
        <f>SUMIF(70:70,YEAR(I7)&amp;"-"&amp;INT((MONTH(I7)+2)/3),71:71)</f>
        <v>99</v>
      </c>
      <c r="K7" s="611"/>
      <c r="L7" s="1135"/>
      <c r="M7" s="1136"/>
      <c r="N7" s="1136"/>
      <c r="O7" s="1136"/>
      <c r="P7" s="3237" t="s">
        <v>2548</v>
      </c>
      <c r="Q7" s="3239"/>
      <c r="R7" s="770" t="s">
        <v>17</v>
      </c>
      <c r="S7" s="771">
        <f t="shared" ref="S7:S15" si="0">F7</f>
        <v>99</v>
      </c>
      <c r="T7" s="770" t="s">
        <v>17</v>
      </c>
      <c r="U7" s="771">
        <f t="shared" ref="U7:U15" si="1">H7</f>
        <v>99</v>
      </c>
      <c r="V7" s="770" t="s">
        <v>17</v>
      </c>
      <c r="W7" s="771">
        <f t="shared" ref="W7:W15" si="2">J7</f>
        <v>99</v>
      </c>
      <c r="X7" s="772"/>
      <c r="Y7" s="3237" t="s">
        <v>2548</v>
      </c>
      <c r="Z7" s="3238"/>
      <c r="AA7" s="773">
        <f>D7/F7</f>
        <v>1.0101010101010102</v>
      </c>
      <c r="AB7" s="773">
        <f>D7/H7</f>
        <v>1.0101010101010102</v>
      </c>
      <c r="AC7" s="773">
        <f>D7/J7</f>
        <v>1.0101010101010102</v>
      </c>
    </row>
    <row r="8" spans="1:30" s="117" customFormat="1" ht="15.75" thickBot="1">
      <c r="A8" s="408" t="s">
        <v>2549</v>
      </c>
      <c r="B8" s="409"/>
      <c r="C8" s="414" t="s">
        <v>2550</v>
      </c>
      <c r="D8" s="411">
        <v>100</v>
      </c>
      <c r="E8" s="414" t="s">
        <v>3067</v>
      </c>
      <c r="F8" s="413">
        <f>SUMIF(73:73,E8,74:74)-SUMIF(73:73,C8,74:74)+100</f>
        <v>100</v>
      </c>
      <c r="G8" s="414" t="s">
        <v>3067</v>
      </c>
      <c r="H8" s="411">
        <f>SUMIF(73:73,G8,74:74)-SUMIF(73:73,C8,74:74)+100</f>
        <v>100</v>
      </c>
      <c r="I8" s="414" t="s">
        <v>3067</v>
      </c>
      <c r="J8" s="411">
        <f>SUMIF(73:73,I8,74:74)-SUMIF(73:73,C8,74:74)+100</f>
        <v>100</v>
      </c>
      <c r="K8" s="611"/>
      <c r="L8" s="1135"/>
      <c r="M8" s="1136"/>
      <c r="N8" s="1136"/>
      <c r="O8" s="1136"/>
      <c r="P8" s="3237" t="s">
        <v>2551</v>
      </c>
      <c r="Q8" s="3238"/>
      <c r="R8" s="770" t="s">
        <v>17</v>
      </c>
      <c r="S8" s="771">
        <f t="shared" si="0"/>
        <v>100</v>
      </c>
      <c r="T8" s="770" t="s">
        <v>17</v>
      </c>
      <c r="U8" s="771">
        <f t="shared" si="1"/>
        <v>100</v>
      </c>
      <c r="V8" s="770" t="s">
        <v>17</v>
      </c>
      <c r="W8" s="771">
        <f t="shared" si="2"/>
        <v>100</v>
      </c>
      <c r="X8" s="772"/>
      <c r="Y8" s="3237" t="s">
        <v>2551</v>
      </c>
      <c r="Z8" s="3238"/>
      <c r="AA8" s="773">
        <f t="shared" ref="AA8:AA45" si="3">D8/F8</f>
        <v>1</v>
      </c>
      <c r="AB8" s="773">
        <f t="shared" ref="AB8:AB45" si="4">D8/H8</f>
        <v>1</v>
      </c>
      <c r="AC8" s="773">
        <f t="shared" ref="AC8:AC45" si="5">D8/J8</f>
        <v>1</v>
      </c>
    </row>
    <row r="9" spans="1:30" s="117" customFormat="1">
      <c r="A9" s="415" t="s">
        <v>2552</v>
      </c>
      <c r="B9" s="71" t="s">
        <v>2553</v>
      </c>
      <c r="C9" s="2705" t="s">
        <v>3062</v>
      </c>
      <c r="D9" s="135">
        <v>100</v>
      </c>
      <c r="E9" s="2705" t="s">
        <v>3062</v>
      </c>
      <c r="F9" s="135">
        <f>SUMIF(75:75,E9,76:76)-SUMIF(75:75,C9,76:76)+100</f>
        <v>100</v>
      </c>
      <c r="G9" s="2705" t="s">
        <v>3062</v>
      </c>
      <c r="H9" s="135">
        <f>SUMIF(75:75,G9,76:76)-SUMIF(75:75,C9,76:76)+100</f>
        <v>100</v>
      </c>
      <c r="I9" s="2705" t="s">
        <v>3062</v>
      </c>
      <c r="J9" s="135">
        <f>SUMIF(75:75,I9,76:76)-SUMIF(75:75,C9,76:76)+100</f>
        <v>100</v>
      </c>
      <c r="K9" s="611"/>
      <c r="L9" s="1135"/>
      <c r="M9" s="1136"/>
      <c r="N9" s="1136"/>
      <c r="O9" s="1137"/>
      <c r="P9" s="320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30" ht="15">
      <c r="A11" s="428"/>
      <c r="B11" s="422" t="s">
        <v>2557</v>
      </c>
      <c r="C11" s="429">
        <v>2.5</v>
      </c>
      <c r="D11" s="136">
        <v>100</v>
      </c>
      <c r="E11" s="429">
        <v>2</v>
      </c>
      <c r="F11" s="136">
        <f>LOOKUP(E11,80:80,81:81)-LOOKUP(C11,80:80,81:81)+100</f>
        <v>100</v>
      </c>
      <c r="G11" s="430">
        <v>2.5</v>
      </c>
      <c r="H11" s="136">
        <f>LOOKUP(G11,80:80,81:81)-LOOKUP(C11,80:80,81:81)+100</f>
        <v>100</v>
      </c>
      <c r="I11" s="429">
        <v>3.8</v>
      </c>
      <c r="J11" s="136">
        <f>LOOKUP(I11,80:80,81:81)-LOOKUP(C11,80:80,81:81)+100</f>
        <v>99</v>
      </c>
      <c r="K11" s="673">
        <v>1</v>
      </c>
      <c r="L11" s="1141"/>
      <c r="M11" s="1134"/>
      <c r="N11" s="1134"/>
      <c r="O11" s="1142"/>
      <c r="P11" s="3201"/>
      <c r="Q11" s="1798" t="str">
        <f t="shared" si="6"/>
        <v>容积率</v>
      </c>
      <c r="R11" s="770" t="s">
        <v>17</v>
      </c>
      <c r="S11" s="771">
        <f t="shared" si="0"/>
        <v>100</v>
      </c>
      <c r="T11" s="770" t="s">
        <v>17</v>
      </c>
      <c r="U11" s="771">
        <f t="shared" si="1"/>
        <v>100</v>
      </c>
      <c r="V11" s="770" t="s">
        <v>17</v>
      </c>
      <c r="W11" s="771">
        <f t="shared" si="2"/>
        <v>99</v>
      </c>
      <c r="X11" s="772"/>
      <c r="Y11" s="3024"/>
      <c r="Z11" s="55" t="str">
        <f t="shared" si="7"/>
        <v>容积率</v>
      </c>
      <c r="AA11" s="773">
        <f t="shared" si="3"/>
        <v>1</v>
      </c>
      <c r="AB11" s="773">
        <f t="shared" si="4"/>
        <v>1</v>
      </c>
      <c r="AC11" s="773">
        <f t="shared" si="5"/>
        <v>1.0101010101010102</v>
      </c>
    </row>
    <row r="12" spans="1:30" s="117" customFormat="1" ht="15">
      <c r="A12" s="431"/>
      <c r="B12" s="2606"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1"/>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958" t="s">
        <v>3157</v>
      </c>
      <c r="C13" s="2960" t="s">
        <v>3171</v>
      </c>
      <c r="D13" s="435">
        <v>100</v>
      </c>
      <c r="E13" s="2962" t="s">
        <v>3170</v>
      </c>
      <c r="F13" s="136">
        <f>SUMIF(84:84,E13,85:85)-SUMIF(84:84,C13,85:85)+100</f>
        <v>100</v>
      </c>
      <c r="G13" s="2961" t="s">
        <v>3159</v>
      </c>
      <c r="H13" s="435">
        <f>SUMIF(84:84,G13,85:85)-SUMIF(84:84,C13,85:85)+100</f>
        <v>105</v>
      </c>
      <c r="I13" s="2961" t="s">
        <v>3158</v>
      </c>
      <c r="J13" s="435">
        <f>SUMIF(84:84,I13,85:85)-SUMIF(84:84,C13,85:85)+100</f>
        <v>100</v>
      </c>
      <c r="K13" s="672"/>
      <c r="L13" s="1143"/>
      <c r="M13" s="1134"/>
      <c r="N13" s="1134"/>
      <c r="O13" s="1142"/>
      <c r="P13" s="3201"/>
      <c r="Q13" s="1798" t="str">
        <f t="shared" si="6"/>
        <v>溢价率</v>
      </c>
      <c r="R13" s="770" t="s">
        <v>17</v>
      </c>
      <c r="S13" s="771">
        <f t="shared" si="0"/>
        <v>100</v>
      </c>
      <c r="T13" s="770" t="s">
        <v>17</v>
      </c>
      <c r="U13" s="771">
        <f t="shared" si="1"/>
        <v>105</v>
      </c>
      <c r="V13" s="770" t="s">
        <v>17</v>
      </c>
      <c r="W13" s="771">
        <f t="shared" si="2"/>
        <v>100</v>
      </c>
      <c r="X13" s="772"/>
      <c r="Y13" s="3024"/>
      <c r="Z13" s="55" t="str">
        <f t="shared" si="7"/>
        <v>溢价率</v>
      </c>
      <c r="AA13" s="773">
        <f>D13/F13</f>
        <v>1</v>
      </c>
      <c r="AB13" s="773">
        <f>D13/H13</f>
        <v>0.95238095238095233</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2558</v>
      </c>
      <c r="B15" s="69" t="s">
        <v>2086</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5</v>
      </c>
      <c r="L15" s="1143"/>
      <c r="M15" s="1134"/>
      <c r="N15" s="1134"/>
      <c r="O15" s="1142"/>
      <c r="P15" s="3203" t="s">
        <v>2559</v>
      </c>
      <c r="Q15" s="1813" t="str">
        <f t="shared" si="6"/>
        <v>居住社区成熟度</v>
      </c>
      <c r="R15" s="774" t="s">
        <v>17</v>
      </c>
      <c r="S15" s="775">
        <f t="shared" si="0"/>
        <v>100</v>
      </c>
      <c r="T15" s="774" t="s">
        <v>17</v>
      </c>
      <c r="U15" s="775">
        <f t="shared" si="1"/>
        <v>100</v>
      </c>
      <c r="V15" s="774" t="s">
        <v>17</v>
      </c>
      <c r="W15" s="775">
        <f t="shared" si="2"/>
        <v>100</v>
      </c>
      <c r="X15" s="1816"/>
      <c r="Y15" s="3203" t="s">
        <v>2559</v>
      </c>
      <c r="Z15" s="1817" t="str">
        <f t="shared" si="7"/>
        <v>居住社区成熟度</v>
      </c>
      <c r="AA15" s="1814">
        <f t="shared" si="3"/>
        <v>1</v>
      </c>
      <c r="AB15" s="1814">
        <f t="shared" si="4"/>
        <v>1</v>
      </c>
      <c r="AC15" s="1814">
        <f t="shared" si="5"/>
        <v>1</v>
      </c>
    </row>
    <row r="16" spans="1:30" ht="15">
      <c r="A16" s="428"/>
      <c r="B16" s="446"/>
      <c r="C16" s="447" t="s">
        <v>3069</v>
      </c>
      <c r="D16" s="448"/>
      <c r="E16" s="2611" t="s">
        <v>3069</v>
      </c>
      <c r="F16" s="448"/>
      <c r="G16" s="2611" t="s">
        <v>3069</v>
      </c>
      <c r="H16" s="450"/>
      <c r="I16" s="2610" t="s">
        <v>3069</v>
      </c>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71.25">
      <c r="A17" s="428"/>
      <c r="B17" s="451" t="s">
        <v>2652</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3"/>
      <c r="M17" s="1134"/>
      <c r="N17" s="1134"/>
      <c r="O17" s="1142"/>
      <c r="P17" s="3204"/>
      <c r="Q17" s="1813" t="str">
        <f>B17</f>
        <v>商业繁华度</v>
      </c>
      <c r="R17" s="774" t="s">
        <v>17</v>
      </c>
      <c r="S17" s="775">
        <f>F17</f>
        <v>100</v>
      </c>
      <c r="T17" s="774" t="s">
        <v>17</v>
      </c>
      <c r="U17" s="775">
        <f>H17</f>
        <v>100</v>
      </c>
      <c r="V17" s="774" t="s">
        <v>17</v>
      </c>
      <c r="W17" s="775">
        <f>J17</f>
        <v>100</v>
      </c>
      <c r="X17" s="1816"/>
      <c r="Y17" s="3204"/>
      <c r="Z17" s="1817" t="str">
        <f>Q17</f>
        <v>商业繁华度</v>
      </c>
      <c r="AA17" s="1814">
        <f t="shared" si="3"/>
        <v>1</v>
      </c>
      <c r="AB17" s="1814">
        <f t="shared" si="4"/>
        <v>1</v>
      </c>
      <c r="AC17" s="1814">
        <f t="shared" si="5"/>
        <v>1</v>
      </c>
    </row>
    <row r="18" spans="1:29" ht="15">
      <c r="A18" s="428"/>
      <c r="B18" s="456"/>
      <c r="C18" s="2614" t="s">
        <v>3069</v>
      </c>
      <c r="D18" s="450"/>
      <c r="E18" s="2616" t="s">
        <v>3069</v>
      </c>
      <c r="F18" s="450"/>
      <c r="G18" s="2616" t="s">
        <v>3069</v>
      </c>
      <c r="H18" s="448"/>
      <c r="I18" s="2615" t="s">
        <v>3069</v>
      </c>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71.25">
      <c r="A19" s="428"/>
      <c r="B19" s="451" t="s">
        <v>2686</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1</v>
      </c>
      <c r="L19" s="1143"/>
      <c r="M19" s="1134"/>
      <c r="N19" s="1134"/>
      <c r="O19" s="1142"/>
      <c r="P19" s="3204"/>
      <c r="Q19" s="1813" t="str">
        <f>B19</f>
        <v>办公集聚程度</v>
      </c>
      <c r="R19" s="774" t="s">
        <v>17</v>
      </c>
      <c r="S19" s="775">
        <f>F19</f>
        <v>100</v>
      </c>
      <c r="T19" s="774" t="s">
        <v>17</v>
      </c>
      <c r="U19" s="775">
        <f>H19</f>
        <v>100</v>
      </c>
      <c r="V19" s="774" t="s">
        <v>17</v>
      </c>
      <c r="W19" s="775">
        <f>J19</f>
        <v>100</v>
      </c>
      <c r="X19" s="1816"/>
      <c r="Y19" s="3204"/>
      <c r="Z19" s="1817" t="str">
        <f>Q19</f>
        <v>办公集聚程度</v>
      </c>
      <c r="AA19" s="1814">
        <f t="shared" si="3"/>
        <v>1</v>
      </c>
      <c r="AB19" s="1814">
        <f t="shared" si="4"/>
        <v>1</v>
      </c>
      <c r="AC19" s="1814">
        <f t="shared" si="5"/>
        <v>1</v>
      </c>
    </row>
    <row r="20" spans="1:29" ht="15">
      <c r="A20" s="428"/>
      <c r="B20" s="456"/>
      <c r="C20" s="447" t="s">
        <v>3069</v>
      </c>
      <c r="D20" s="448"/>
      <c r="E20" s="2611" t="s">
        <v>3069</v>
      </c>
      <c r="F20" s="448"/>
      <c r="G20" s="2611" t="s">
        <v>3069</v>
      </c>
      <c r="H20" s="448"/>
      <c r="I20" s="2610" t="s">
        <v>3069</v>
      </c>
      <c r="J20" s="448"/>
      <c r="K20" s="672"/>
      <c r="L20" s="1143"/>
      <c r="M20" s="1134"/>
      <c r="N20" s="1134"/>
      <c r="O20" s="1142"/>
      <c r="P20" s="3204"/>
      <c r="Q20" s="1813"/>
      <c r="R20" s="774"/>
      <c r="S20" s="775"/>
      <c r="T20" s="774"/>
      <c r="U20" s="775"/>
      <c r="V20" s="774"/>
      <c r="W20" s="775"/>
      <c r="X20" s="1816"/>
      <c r="Y20" s="3204"/>
      <c r="Z20" s="1817"/>
      <c r="AA20" s="1814">
        <v>1</v>
      </c>
      <c r="AB20" s="1814">
        <v>1</v>
      </c>
      <c r="AC20" s="1814">
        <v>1</v>
      </c>
    </row>
    <row r="21" spans="1:29" ht="85.5">
      <c r="A21" s="428"/>
      <c r="B21" s="451" t="s">
        <v>2708</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103</v>
      </c>
      <c r="K21" s="673">
        <v>3</v>
      </c>
      <c r="L21" s="1143"/>
      <c r="M21" s="1134"/>
      <c r="N21" s="1134"/>
      <c r="O21" s="1142"/>
      <c r="P21" s="3204"/>
      <c r="Q21" s="1813" t="str">
        <f>B21</f>
        <v>交通便捷度</v>
      </c>
      <c r="R21" s="774" t="s">
        <v>17</v>
      </c>
      <c r="S21" s="775">
        <f>F21</f>
        <v>100</v>
      </c>
      <c r="T21" s="774" t="s">
        <v>17</v>
      </c>
      <c r="U21" s="775">
        <f>H21</f>
        <v>100</v>
      </c>
      <c r="V21" s="774" t="s">
        <v>17</v>
      </c>
      <c r="W21" s="775">
        <f>J21</f>
        <v>103</v>
      </c>
      <c r="X21" s="1816"/>
      <c r="Y21" s="3204"/>
      <c r="Z21" s="1817" t="str">
        <f>Q21</f>
        <v>交通便捷度</v>
      </c>
      <c r="AA21" s="1814">
        <f t="shared" si="3"/>
        <v>1</v>
      </c>
      <c r="AB21" s="1814">
        <f t="shared" si="4"/>
        <v>1</v>
      </c>
      <c r="AC21" s="1814">
        <f t="shared" si="5"/>
        <v>0.970873786407767</v>
      </c>
    </row>
    <row r="22" spans="1:29" ht="15">
      <c r="A22" s="428"/>
      <c r="B22" s="1387"/>
      <c r="C22" s="447" t="s">
        <v>3069</v>
      </c>
      <c r="D22" s="450"/>
      <c r="E22" s="2611" t="s">
        <v>3069</v>
      </c>
      <c r="F22" s="448"/>
      <c r="G22" s="2611" t="s">
        <v>3069</v>
      </c>
      <c r="H22" s="448"/>
      <c r="I22" s="2610" t="s">
        <v>3070</v>
      </c>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04"/>
      <c r="Q23" s="1813" t="str">
        <f t="shared" ref="Q23:Q37" si="8">B23</f>
        <v>区域土地利用方向</v>
      </c>
      <c r="R23" s="774" t="s">
        <v>17</v>
      </c>
      <c r="S23" s="775">
        <f>F23</f>
        <v>100</v>
      </c>
      <c r="T23" s="774" t="s">
        <v>17</v>
      </c>
      <c r="U23" s="775">
        <f>H23</f>
        <v>100</v>
      </c>
      <c r="V23" s="774" t="s">
        <v>17</v>
      </c>
      <c r="W23" s="775">
        <f>J23</f>
        <v>100</v>
      </c>
      <c r="X23" s="1816"/>
      <c r="Y23" s="3204"/>
      <c r="Z23" s="1817" t="str">
        <f>Q23</f>
        <v>区域土地利用方向</v>
      </c>
      <c r="AA23" s="1814">
        <f t="shared" si="3"/>
        <v>1</v>
      </c>
      <c r="AB23" s="1814">
        <f t="shared" si="4"/>
        <v>1</v>
      </c>
      <c r="AC23" s="1814">
        <f t="shared" si="5"/>
        <v>1</v>
      </c>
    </row>
    <row r="24" spans="1:29" ht="15">
      <c r="A24" s="404"/>
      <c r="B24" s="456"/>
      <c r="C24" s="616" t="s">
        <v>3070</v>
      </c>
      <c r="D24" s="448"/>
      <c r="E24" s="2611" t="s">
        <v>3070</v>
      </c>
      <c r="F24" s="448"/>
      <c r="G24" s="2610" t="s">
        <v>3070</v>
      </c>
      <c r="H24" s="448"/>
      <c r="I24" s="2610" t="s">
        <v>3070</v>
      </c>
      <c r="J24" s="448"/>
      <c r="K24" s="812"/>
      <c r="L24" s="1143"/>
      <c r="M24" s="1134"/>
      <c r="N24" s="1134"/>
      <c r="O24" s="1142"/>
      <c r="P24" s="3204"/>
      <c r="Q24" s="1813"/>
      <c r="R24" s="774"/>
      <c r="S24" s="775"/>
      <c r="T24" s="774"/>
      <c r="U24" s="775"/>
      <c r="V24" s="774"/>
      <c r="W24" s="775"/>
      <c r="X24" s="1816"/>
      <c r="Y24" s="3204"/>
      <c r="Z24" s="1817"/>
      <c r="AA24" s="1814"/>
      <c r="AB24" s="1814"/>
      <c r="AC24" s="1814"/>
    </row>
    <row r="25" spans="1:29" ht="57">
      <c r="A25" s="404"/>
      <c r="B25" s="1387" t="s">
        <v>2748</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1</v>
      </c>
      <c r="L25" s="1143"/>
      <c r="M25" s="1134"/>
      <c r="N25" s="1134"/>
      <c r="O25" s="1142"/>
      <c r="P25" s="3204"/>
      <c r="Q25" s="1813" t="str">
        <f t="shared" si="8"/>
        <v>自然及人文环境状况</v>
      </c>
      <c r="R25" s="774" t="s">
        <v>17</v>
      </c>
      <c r="S25" s="775">
        <f>F25</f>
        <v>100</v>
      </c>
      <c r="T25" s="774" t="s">
        <v>17</v>
      </c>
      <c r="U25" s="775">
        <f>H25</f>
        <v>100</v>
      </c>
      <c r="V25" s="774" t="s">
        <v>17</v>
      </c>
      <c r="W25" s="775">
        <f>J25</f>
        <v>100</v>
      </c>
      <c r="X25" s="1816"/>
      <c r="Y25" s="3204"/>
      <c r="Z25" s="1817" t="str">
        <f>Q25</f>
        <v>自然及人文环境状况</v>
      </c>
      <c r="AA25" s="1814">
        <f t="shared" si="3"/>
        <v>1</v>
      </c>
      <c r="AB25" s="1814">
        <f t="shared" si="4"/>
        <v>1</v>
      </c>
      <c r="AC25" s="1814">
        <f t="shared" si="5"/>
        <v>1</v>
      </c>
    </row>
    <row r="26" spans="1:29" ht="15">
      <c r="A26" s="404"/>
      <c r="B26" s="456"/>
      <c r="C26" s="447" t="s">
        <v>3069</v>
      </c>
      <c r="D26" s="448"/>
      <c r="E26" s="2617" t="s">
        <v>3069</v>
      </c>
      <c r="F26" s="448"/>
      <c r="G26" s="2617" t="s">
        <v>3069</v>
      </c>
      <c r="H26" s="448"/>
      <c r="I26" s="447" t="s">
        <v>3069</v>
      </c>
      <c r="J26" s="448"/>
      <c r="K26" s="672"/>
      <c r="L26" s="1143"/>
      <c r="M26" s="1134"/>
      <c r="N26" s="1134"/>
      <c r="O26" s="1142"/>
      <c r="P26" s="3204"/>
      <c r="Q26" s="1813"/>
      <c r="R26" s="774"/>
      <c r="S26" s="775"/>
      <c r="T26" s="774"/>
      <c r="U26" s="775"/>
      <c r="V26" s="774"/>
      <c r="W26" s="775"/>
      <c r="X26" s="1816"/>
      <c r="Y26" s="3204"/>
      <c r="Z26" s="1817"/>
      <c r="AA26" s="1814">
        <v>1</v>
      </c>
      <c r="AB26" s="1814">
        <v>1</v>
      </c>
      <c r="AC26" s="1814">
        <v>1</v>
      </c>
    </row>
    <row r="27" spans="1:29" s="117" customFormat="1" ht="42.75">
      <c r="A27" s="649"/>
      <c r="B27" s="1387" t="s">
        <v>2653</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204"/>
      <c r="Q27" s="1798" t="str">
        <f t="shared" si="8"/>
        <v>公共配套设施</v>
      </c>
      <c r="R27" s="770" t="s">
        <v>17</v>
      </c>
      <c r="S27" s="771">
        <f>F27</f>
        <v>100</v>
      </c>
      <c r="T27" s="770" t="s">
        <v>17</v>
      </c>
      <c r="U27" s="771">
        <f>H27</f>
        <v>100</v>
      </c>
      <c r="V27" s="770" t="s">
        <v>17</v>
      </c>
      <c r="W27" s="771">
        <f>J27</f>
        <v>100</v>
      </c>
      <c r="X27" s="772"/>
      <c r="Y27" s="3204"/>
      <c r="Z27" s="55" t="str">
        <f>Q27</f>
        <v>公共配套设施</v>
      </c>
      <c r="AA27" s="1814">
        <f>D27/F27</f>
        <v>1</v>
      </c>
      <c r="AB27" s="1814">
        <f>D27/H27</f>
        <v>1</v>
      </c>
      <c r="AC27" s="1814">
        <f>D27/J27</f>
        <v>1</v>
      </c>
    </row>
    <row r="28" spans="1:29" s="117" customFormat="1" ht="15">
      <c r="A28" s="649"/>
      <c r="B28" s="456"/>
      <c r="C28" s="2706" t="s">
        <v>3069</v>
      </c>
      <c r="D28" s="448"/>
      <c r="E28" s="2617" t="s">
        <v>3069</v>
      </c>
      <c r="F28" s="448"/>
      <c r="G28" s="2617" t="s">
        <v>3069</v>
      </c>
      <c r="H28" s="448"/>
      <c r="I28" s="447" t="s">
        <v>3069</v>
      </c>
      <c r="J28" s="448"/>
      <c r="K28" s="672"/>
      <c r="L28" s="1135"/>
      <c r="M28" s="1136"/>
      <c r="N28" s="1136"/>
      <c r="O28" s="1137"/>
      <c r="P28" s="3204"/>
      <c r="Q28" s="1798"/>
      <c r="R28" s="770"/>
      <c r="S28" s="771"/>
      <c r="T28" s="770"/>
      <c r="U28" s="771"/>
      <c r="V28" s="770"/>
      <c r="W28" s="771"/>
      <c r="X28" s="772"/>
      <c r="Y28" s="3204"/>
      <c r="Z28" s="55"/>
      <c r="AA28" s="1814">
        <v>1</v>
      </c>
      <c r="AB28" s="1814">
        <v>1</v>
      </c>
      <c r="AC28" s="1814">
        <v>1</v>
      </c>
    </row>
    <row r="29" spans="1:29" s="117" customFormat="1" ht="28.5">
      <c r="A29" s="649"/>
      <c r="B29" s="1387" t="s">
        <v>2654</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04"/>
      <c r="Q29" s="1798"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4">
        <f>D29/F29</f>
        <v>1</v>
      </c>
      <c r="AB29" s="1814">
        <f>D29/H29</f>
        <v>1</v>
      </c>
      <c r="AC29" s="1814">
        <f>D29/J29</f>
        <v>1</v>
      </c>
    </row>
    <row r="30" spans="1:29" s="117" customFormat="1" ht="15">
      <c r="A30" s="649"/>
      <c r="B30" s="456"/>
      <c r="C30" s="2706" t="s">
        <v>3071</v>
      </c>
      <c r="D30" s="448"/>
      <c r="E30" s="2707" t="s">
        <v>3071</v>
      </c>
      <c r="F30" s="448"/>
      <c r="G30" s="2707" t="s">
        <v>3071</v>
      </c>
      <c r="H30" s="448"/>
      <c r="I30" s="2707" t="s">
        <v>3071</v>
      </c>
      <c r="J30" s="448"/>
      <c r="K30" s="672"/>
      <c r="L30" s="1135"/>
      <c r="M30" s="1136"/>
      <c r="N30" s="1136"/>
      <c r="O30" s="1137"/>
      <c r="P30" s="3204"/>
      <c r="Q30" s="1798"/>
      <c r="R30" s="770"/>
      <c r="S30" s="771"/>
      <c r="T30" s="770"/>
      <c r="U30" s="771"/>
      <c r="V30" s="770"/>
      <c r="W30" s="771"/>
      <c r="X30" s="772"/>
      <c r="Y30" s="3204"/>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1</v>
      </c>
      <c r="L31" s="1143"/>
      <c r="M31" s="1134"/>
      <c r="N31" s="1134"/>
      <c r="O31" s="1142"/>
      <c r="P31" s="320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4"/>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3" t="str">
        <f t="shared" si="8"/>
        <v>毗邻道路的类型与等级</v>
      </c>
      <c r="R32" s="774" t="s">
        <v>17</v>
      </c>
      <c r="S32" s="775">
        <f t="shared" si="10"/>
        <v>100</v>
      </c>
      <c r="T32" s="774" t="s">
        <v>17</v>
      </c>
      <c r="U32" s="775">
        <f t="shared" si="11"/>
        <v>100</v>
      </c>
      <c r="V32" s="774" t="s">
        <v>17</v>
      </c>
      <c r="W32" s="775">
        <f t="shared" si="12"/>
        <v>100</v>
      </c>
      <c r="X32" s="1816"/>
      <c r="Y32" s="3204"/>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04"/>
      <c r="Q33" s="1813"/>
      <c r="R33" s="774"/>
      <c r="S33" s="775"/>
      <c r="T33" s="774"/>
      <c r="U33" s="775"/>
      <c r="V33" s="774"/>
      <c r="W33" s="775"/>
      <c r="X33" s="1816"/>
      <c r="Y33" s="3204"/>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3" t="str">
        <f t="shared" si="8"/>
        <v>土地级别</v>
      </c>
      <c r="R34" s="774" t="s">
        <v>17</v>
      </c>
      <c r="S34" s="775">
        <f t="shared" si="10"/>
        <v>100</v>
      </c>
      <c r="T34" s="774" t="s">
        <v>17</v>
      </c>
      <c r="U34" s="775">
        <f t="shared" si="11"/>
        <v>100</v>
      </c>
      <c r="V34" s="774" t="s">
        <v>17</v>
      </c>
      <c r="W34" s="775">
        <f t="shared" si="12"/>
        <v>100</v>
      </c>
      <c r="X34" s="1816"/>
      <c r="Y34" s="320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3">
        <f t="shared" si="8"/>
        <v>111</v>
      </c>
      <c r="R35" s="774" t="s">
        <v>17</v>
      </c>
      <c r="S35" s="775">
        <f t="shared" si="10"/>
        <v>100</v>
      </c>
      <c r="T35" s="774" t="s">
        <v>17</v>
      </c>
      <c r="U35" s="775">
        <f t="shared" si="11"/>
        <v>100</v>
      </c>
      <c r="V35" s="774" t="s">
        <v>17</v>
      </c>
      <c r="W35" s="775">
        <f t="shared" si="12"/>
        <v>100</v>
      </c>
      <c r="X35" s="1816"/>
      <c r="Y35" s="320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9" t="s">
        <v>2564</v>
      </c>
      <c r="Q36" s="1813">
        <f t="shared" si="8"/>
        <v>111</v>
      </c>
      <c r="R36" s="774" t="s">
        <v>17</v>
      </c>
      <c r="S36" s="775">
        <f t="shared" si="10"/>
        <v>100</v>
      </c>
      <c r="T36" s="774" t="s">
        <v>17</v>
      </c>
      <c r="U36" s="775">
        <f t="shared" si="11"/>
        <v>100</v>
      </c>
      <c r="V36" s="774" t="s">
        <v>17</v>
      </c>
      <c r="W36" s="775">
        <f t="shared" si="12"/>
        <v>100</v>
      </c>
      <c r="X36" s="1816"/>
      <c r="Y36" s="3208"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3">
        <f t="shared" si="8"/>
        <v>111</v>
      </c>
      <c r="R37" s="777" t="s">
        <v>17</v>
      </c>
      <c r="S37" s="778">
        <f t="shared" si="10"/>
        <v>100</v>
      </c>
      <c r="T37" s="777" t="s">
        <v>17</v>
      </c>
      <c r="U37" s="778">
        <f t="shared" si="11"/>
        <v>100</v>
      </c>
      <c r="V37" s="777" t="s">
        <v>17</v>
      </c>
      <c r="W37" s="778">
        <f t="shared" si="12"/>
        <v>100</v>
      </c>
      <c r="X37" s="779"/>
      <c r="Y37" s="3208"/>
      <c r="Z37" s="780">
        <f t="shared" si="13"/>
        <v>111</v>
      </c>
      <c r="AA37" s="1814">
        <f t="shared" si="3"/>
        <v>1</v>
      </c>
      <c r="AB37" s="1814">
        <f t="shared" si="4"/>
        <v>1</v>
      </c>
      <c r="AC37" s="1814">
        <f t="shared" si="5"/>
        <v>1</v>
      </c>
    </row>
    <row r="38" spans="1:29" ht="15">
      <c r="A38" s="472" t="s">
        <v>2562</v>
      </c>
      <c r="B38" s="456" t="s">
        <v>2750</v>
      </c>
      <c r="C38" s="679">
        <f>'数据-基础表'!A3</f>
        <v>125549</v>
      </c>
      <c r="D38" s="467">
        <v>100</v>
      </c>
      <c r="E38" s="679">
        <f>土地案例!D14</f>
        <v>148524</v>
      </c>
      <c r="F38" s="467">
        <f>LOOKUP(E38,117:117,118:118)-LOOKUP(C38,117:117,118:118)+100</f>
        <v>101</v>
      </c>
      <c r="G38" s="679">
        <f>土地案例!D16</f>
        <v>66360</v>
      </c>
      <c r="H38" s="467">
        <f>LOOKUP(G38,117:117,118:118)-LOOKUP(C38,117:117,118:118)+100</f>
        <v>99</v>
      </c>
      <c r="I38" s="530">
        <v>151887</v>
      </c>
      <c r="J38" s="467">
        <f>LOOKUP(I38,117:117,118:118)-LOOKUP(C38,117:117,118:118)+100</f>
        <v>101</v>
      </c>
      <c r="K38" s="613"/>
      <c r="L38" s="1143"/>
      <c r="M38" s="1134"/>
      <c r="N38" s="1134"/>
      <c r="O38" s="1142"/>
      <c r="P38" s="3208"/>
      <c r="Q38" s="1813" t="str">
        <f>B38</f>
        <v>宗地面积</v>
      </c>
      <c r="R38" s="774" t="s">
        <v>17</v>
      </c>
      <c r="S38" s="775">
        <f t="shared" si="10"/>
        <v>101</v>
      </c>
      <c r="T38" s="774" t="s">
        <v>17</v>
      </c>
      <c r="U38" s="775">
        <f t="shared" si="11"/>
        <v>99</v>
      </c>
      <c r="V38" s="774" t="s">
        <v>17</v>
      </c>
      <c r="W38" s="775">
        <f t="shared" si="12"/>
        <v>101</v>
      </c>
      <c r="X38" s="1816"/>
      <c r="Y38" s="3208"/>
      <c r="Z38" s="1817" t="str">
        <f t="shared" si="13"/>
        <v>宗地面积</v>
      </c>
      <c r="AA38" s="1814">
        <f t="shared" si="3"/>
        <v>0.99009900990099009</v>
      </c>
      <c r="AB38" s="1814">
        <f t="shared" si="4"/>
        <v>1.0101010101010102</v>
      </c>
      <c r="AC38" s="1814">
        <f t="shared" si="5"/>
        <v>0.99009900990099009</v>
      </c>
    </row>
    <row r="39" spans="1:29" ht="15">
      <c r="A39" s="472"/>
      <c r="B39" s="422" t="s">
        <v>2751</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8"/>
      <c r="Q39" s="1813" t="str">
        <f t="shared" ref="Q39:Q45" si="14">B39</f>
        <v>宗地形状</v>
      </c>
      <c r="R39" s="774" t="s">
        <v>17</v>
      </c>
      <c r="S39" s="775">
        <f t="shared" si="10"/>
        <v>100</v>
      </c>
      <c r="T39" s="774" t="s">
        <v>17</v>
      </c>
      <c r="U39" s="775">
        <f t="shared" si="11"/>
        <v>100</v>
      </c>
      <c r="V39" s="774" t="s">
        <v>17</v>
      </c>
      <c r="W39" s="775">
        <f t="shared" si="12"/>
        <v>100</v>
      </c>
      <c r="X39" s="1816"/>
      <c r="Y39" s="3208"/>
      <c r="Z39" s="1817" t="str">
        <f t="shared" si="13"/>
        <v>宗地形状</v>
      </c>
      <c r="AA39" s="1814">
        <f t="shared" si="3"/>
        <v>1</v>
      </c>
      <c r="AB39" s="1814">
        <f t="shared" si="4"/>
        <v>1</v>
      </c>
      <c r="AC39" s="1814">
        <f t="shared" si="5"/>
        <v>1</v>
      </c>
    </row>
    <row r="40" spans="1:29" ht="15">
      <c r="A40" s="472"/>
      <c r="B40" s="422" t="s">
        <v>2752</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8"/>
      <c r="Q40" s="1813" t="str">
        <f t="shared" si="14"/>
        <v>临街宽度及深度</v>
      </c>
      <c r="R40" s="774" t="s">
        <v>17</v>
      </c>
      <c r="S40" s="775">
        <f t="shared" si="10"/>
        <v>100</v>
      </c>
      <c r="T40" s="774" t="s">
        <v>17</v>
      </c>
      <c r="U40" s="775">
        <f t="shared" si="11"/>
        <v>100</v>
      </c>
      <c r="V40" s="774" t="s">
        <v>17</v>
      </c>
      <c r="W40" s="775">
        <f t="shared" si="12"/>
        <v>100</v>
      </c>
      <c r="X40" s="1816"/>
      <c r="Y40" s="3208"/>
      <c r="Z40" s="1817" t="str">
        <f t="shared" si="13"/>
        <v>临街宽度及深度</v>
      </c>
      <c r="AA40" s="1814">
        <f t="shared" si="3"/>
        <v>1</v>
      </c>
      <c r="AB40" s="1814">
        <f t="shared" si="4"/>
        <v>1</v>
      </c>
      <c r="AC40" s="1814">
        <f t="shared" si="5"/>
        <v>1</v>
      </c>
    </row>
    <row r="41" spans="1:29" s="117" customFormat="1" ht="15">
      <c r="A41" s="473"/>
      <c r="B41" s="422" t="s">
        <v>2753</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08"/>
      <c r="Q41" s="1813"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2754</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8" t="s">
        <v>2564</v>
      </c>
      <c r="Q42" s="1813" t="str">
        <f t="shared" si="14"/>
        <v>工程地质条件</v>
      </c>
      <c r="R42" s="774" t="s">
        <v>17</v>
      </c>
      <c r="S42" s="775">
        <f t="shared" si="10"/>
        <v>100</v>
      </c>
      <c r="T42" s="774" t="s">
        <v>17</v>
      </c>
      <c r="U42" s="775">
        <f t="shared" si="11"/>
        <v>100</v>
      </c>
      <c r="V42" s="774" t="s">
        <v>17</v>
      </c>
      <c r="W42" s="775">
        <f t="shared" si="12"/>
        <v>100</v>
      </c>
      <c r="X42" s="1816"/>
      <c r="Y42" s="3208"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3">
        <f t="shared" si="14"/>
        <v>111</v>
      </c>
      <c r="R43" s="774" t="s">
        <v>17</v>
      </c>
      <c r="S43" s="775">
        <f t="shared" si="10"/>
        <v>100</v>
      </c>
      <c r="T43" s="774" t="s">
        <v>17</v>
      </c>
      <c r="U43" s="775">
        <f t="shared" si="11"/>
        <v>100</v>
      </c>
      <c r="V43" s="774" t="s">
        <v>17</v>
      </c>
      <c r="W43" s="775">
        <f t="shared" si="12"/>
        <v>100</v>
      </c>
      <c r="X43" s="1816"/>
      <c r="Y43" s="320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3">
        <f t="shared" si="14"/>
        <v>111</v>
      </c>
      <c r="R44" s="774" t="s">
        <v>17</v>
      </c>
      <c r="S44" s="775">
        <f t="shared" si="10"/>
        <v>100</v>
      </c>
      <c r="T44" s="774" t="s">
        <v>17</v>
      </c>
      <c r="U44" s="775">
        <f t="shared" si="11"/>
        <v>100</v>
      </c>
      <c r="V44" s="774" t="s">
        <v>17</v>
      </c>
      <c r="W44" s="775">
        <f t="shared" si="12"/>
        <v>100</v>
      </c>
      <c r="X44" s="1816"/>
      <c r="Y44" s="320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3">
        <f t="shared" si="14"/>
        <v>111</v>
      </c>
      <c r="R45" s="777" t="s">
        <v>17</v>
      </c>
      <c r="S45" s="778">
        <f t="shared" si="10"/>
        <v>100</v>
      </c>
      <c r="T45" s="777" t="s">
        <v>17</v>
      </c>
      <c r="U45" s="778">
        <f t="shared" si="11"/>
        <v>100</v>
      </c>
      <c r="V45" s="777" t="s">
        <v>17</v>
      </c>
      <c r="W45" s="778">
        <f t="shared" si="12"/>
        <v>100</v>
      </c>
      <c r="X45" s="779"/>
      <c r="Y45" s="3208"/>
      <c r="Z45" s="780">
        <f t="shared" si="13"/>
        <v>111</v>
      </c>
      <c r="AA45" s="1814">
        <f t="shared" si="3"/>
        <v>1</v>
      </c>
      <c r="AB45" s="1814">
        <f t="shared" si="4"/>
        <v>1</v>
      </c>
      <c r="AC45" s="1814">
        <f t="shared" si="5"/>
        <v>1</v>
      </c>
    </row>
    <row r="46" spans="1:29" ht="15">
      <c r="A46" s="479" t="s">
        <v>2719</v>
      </c>
      <c r="B46" s="2710" t="s">
        <v>2755</v>
      </c>
      <c r="C46" s="682" t="s">
        <v>1</v>
      </c>
      <c r="D46" s="481"/>
      <c r="E46" s="482">
        <f>土地案例!K14</f>
        <v>1275</v>
      </c>
      <c r="F46" s="483"/>
      <c r="G46" s="484">
        <f>土地案例!K16</f>
        <v>1566</v>
      </c>
      <c r="H46" s="485"/>
      <c r="I46" s="482">
        <v>1535.72</v>
      </c>
      <c r="J46" s="485"/>
      <c r="K46" s="783"/>
      <c r="L46" s="1146"/>
      <c r="M46" s="1147"/>
      <c r="N46" s="1134"/>
      <c r="O46" s="1147"/>
      <c r="P46" s="3201" t="str">
        <f>A46</f>
        <v>成交单价</v>
      </c>
      <c r="Q46" s="3201"/>
      <c r="R46" s="3232">
        <f>E46</f>
        <v>1275</v>
      </c>
      <c r="S46" s="3232"/>
      <c r="T46" s="3232">
        <f>G46</f>
        <v>1566</v>
      </c>
      <c r="U46" s="3232"/>
      <c r="V46" s="3232">
        <f>I46</f>
        <v>1535.72</v>
      </c>
      <c r="W46" s="3232"/>
      <c r="X46" s="759"/>
      <c r="Y46" s="781"/>
      <c r="Z46" s="759"/>
      <c r="AA46" s="759"/>
      <c r="AB46" s="759"/>
      <c r="AC46" s="759"/>
    </row>
    <row r="47" spans="1:29" ht="15.75" thickBot="1">
      <c r="A47" s="486" t="s">
        <v>2668</v>
      </c>
      <c r="B47" s="683"/>
      <c r="C47" s="490">
        <f>R48</f>
        <v>1434</v>
      </c>
      <c r="D47" s="489"/>
      <c r="E47" s="490">
        <f>R47</f>
        <v>1275</v>
      </c>
      <c r="F47" s="491"/>
      <c r="G47" s="488">
        <f>T47</f>
        <v>1522</v>
      </c>
      <c r="H47" s="489"/>
      <c r="I47" s="490">
        <f>V47</f>
        <v>1506</v>
      </c>
      <c r="J47" s="489"/>
      <c r="K47" s="784"/>
      <c r="L47" s="1146"/>
      <c r="M47" s="1147"/>
      <c r="N47" s="1147"/>
      <c r="O47" s="1147"/>
      <c r="P47" s="3201" t="str">
        <f>A47</f>
        <v>比较价值（元/平方米）</v>
      </c>
      <c r="Q47" s="3201"/>
      <c r="R47" s="3260">
        <f>ROUND(PRODUCT(R46,AA7:AA45),0)</f>
        <v>1275</v>
      </c>
      <c r="S47" s="3260"/>
      <c r="T47" s="3260">
        <f>ROUND(PRODUCT(T46,AB7:AB45),0)</f>
        <v>1522</v>
      </c>
      <c r="U47" s="3260"/>
      <c r="V47" s="3260">
        <f>ROUND(PRODUCT(V46,AC7:AC45),0)</f>
        <v>1506</v>
      </c>
      <c r="W47" s="3260"/>
      <c r="X47" s="759"/>
      <c r="Y47" s="759"/>
      <c r="Z47" s="759"/>
      <c r="AA47" s="759"/>
      <c r="AB47" s="759"/>
      <c r="AC47" s="759"/>
    </row>
    <row r="48" spans="1:29" ht="15.75" thickBot="1">
      <c r="A48" s="492" t="s">
        <v>2756</v>
      </c>
      <c r="B48" s="493"/>
      <c r="C48" s="494">
        <f>R48</f>
        <v>1434</v>
      </c>
      <c r="D48" s="494"/>
      <c r="E48" s="494"/>
      <c r="F48" s="494"/>
      <c r="G48" s="494"/>
      <c r="H48" s="494"/>
      <c r="I48" s="494"/>
      <c r="J48" s="494"/>
      <c r="K48" s="785"/>
      <c r="L48" s="1146"/>
      <c r="M48" s="1147"/>
      <c r="N48" s="1147"/>
      <c r="O48" s="1147"/>
      <c r="P48" s="3198" t="str">
        <f>A48</f>
        <v>估价对象XX用房的比较价值（楼面单价，元/平方米）</v>
      </c>
      <c r="Q48" s="3199"/>
      <c r="R48" s="3261">
        <f>ROUND(AVERAGE(R47:V47),0)</f>
        <v>1434</v>
      </c>
      <c r="S48" s="3261"/>
      <c r="T48" s="3261"/>
      <c r="U48" s="3261"/>
      <c r="V48" s="3261"/>
      <c r="W48" s="32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v>
      </c>
      <c r="F51" s="500" t="str">
        <f>IF(OR(E51&gt;=0.3,E51&lt;=-0.3),"超过30%","")</f>
        <v/>
      </c>
      <c r="G51" s="499">
        <f>IF(G46&lt;G47,G47/G46-1,G46/G47-1)</f>
        <v>2.8909329829172048E-2</v>
      </c>
      <c r="H51" s="500" t="str">
        <f>IF(OR(G51&gt;=0.3,G51&lt;=-0.3),"超过30%","")</f>
        <v/>
      </c>
      <c r="I51" s="499">
        <f>IF(I46&lt;I47,I47/I46-1,I46/I47-1)</f>
        <v>1.9734395750331979E-2</v>
      </c>
      <c r="J51" s="500" t="str">
        <f>IF(OR(I51&gt;=0.3,I51&lt;=-0.3),"超过30%","")</f>
        <v/>
      </c>
      <c r="K51" s="1108"/>
      <c r="L51" s="1109"/>
      <c r="M51" s="1147"/>
      <c r="N51" s="1147"/>
      <c r="O51" s="1147"/>
    </row>
    <row r="52" spans="1:15" ht="13.5" customHeight="1">
      <c r="A52" s="1147"/>
      <c r="B52" s="1147"/>
      <c r="C52" s="497" t="s">
        <v>2671</v>
      </c>
      <c r="D52" s="501"/>
      <c r="E52" s="499">
        <f>IF(E47&lt;G47,G47/E47-1,E47/G47-1)</f>
        <v>0.19372549019607832</v>
      </c>
      <c r="F52" s="500" t="str">
        <f>IF(OR(E52&gt;=0.2,E52&lt;=-0.2),"超过20%","")</f>
        <v/>
      </c>
      <c r="G52" s="499">
        <f>IF(G47&lt;I47,I47/G47-1,G47/I47-1)</f>
        <v>1.0624169986719778E-2</v>
      </c>
      <c r="H52" s="500" t="str">
        <f>IF(OR(G52&gt;=0.2,G52&lt;=-0.2),"超过20%","")</f>
        <v/>
      </c>
      <c r="I52" s="499">
        <f>IF(I47&lt;E47,E47/I47-1,I47/E47-1)</f>
        <v>0.18117647058823527</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0.22823529411764709</v>
      </c>
      <c r="F53" s="500" t="str">
        <f>IF(OR(E53&gt;=0.3,E53&lt;=-0.3),"超过30%","")</f>
        <v/>
      </c>
      <c r="G53" s="499">
        <f>IF(G46&lt;I46,I46/G46-1,G46/I46-1)</f>
        <v>1.971713593623825E-2</v>
      </c>
      <c r="H53" s="500" t="str">
        <f>IF(OR(G53&gt;=0.3,G53&lt;=-0.3),"超过30%","")</f>
        <v/>
      </c>
      <c r="I53" s="499">
        <f>IF(I46&lt;E46,E46/I46-1,I46/E46-1)</f>
        <v>0.20448627450980394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11" t="s">
        <v>2759</v>
      </c>
      <c r="D55" s="2712" t="s">
        <v>2760</v>
      </c>
      <c r="E55" s="686" t="s">
        <v>2761</v>
      </c>
      <c r="F55" s="1110" t="s">
        <v>2762</v>
      </c>
      <c r="G55" s="3216" t="s">
        <v>2763</v>
      </c>
      <c r="H55" s="3262"/>
      <c r="I55" s="144" t="s">
        <v>2764</v>
      </c>
      <c r="J55" s="2713" t="str">
        <f>项目基本情况!F35</f>
        <v>四川省南充市</v>
      </c>
      <c r="K55" s="2714" t="s">
        <v>2765</v>
      </c>
      <c r="L55" s="1109"/>
      <c r="M55" s="1147"/>
      <c r="N55" s="1147"/>
      <c r="O55" s="1147"/>
    </row>
    <row r="56" spans="1:15" s="692" customFormat="1">
      <c r="A56" s="688" t="s">
        <v>2766</v>
      </c>
      <c r="B56" s="689">
        <f>C48</f>
        <v>1434</v>
      </c>
      <c r="C56" s="690">
        <v>1</v>
      </c>
      <c r="D56" s="1166">
        <v>1</v>
      </c>
      <c r="E56" s="690">
        <f>'数据-汇总表'!E8+'数据-汇总表'!E9</f>
        <v>767.44</v>
      </c>
      <c r="F56" s="1106">
        <f t="shared" ref="F56:F65" si="15">ROUND(B56*E56/10000,0)</f>
        <v>110</v>
      </c>
      <c r="G56" s="3212"/>
      <c r="H56" s="3201"/>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263"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63"/>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63"/>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63"/>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5"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5"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6"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1026</v>
      </c>
      <c r="E66" s="696">
        <f>IF(B46="楼面地价",SUM(E56:E65),'数据-汇总表'!D3)</f>
        <v>767.44</v>
      </c>
      <c r="F66" s="697">
        <f>IF(B46="楼面地价",SUM(F56:F65),ROUND(C48*E66/10000,0))</f>
        <v>110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7" t="s">
        <v>2781</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8" t="s">
        <v>2782</v>
      </c>
      <c r="B71" s="332" t="str">
        <f>"北京市平均增长率"&amp;TEXT(SUMIF(基准地价修正!N21:N25,A71,基准地价修正!P21:P25),"0.00%")</f>
        <v>北京市平均增长率0.00%</v>
      </c>
      <c r="C71" s="603">
        <v>100</v>
      </c>
      <c r="D71" s="595">
        <v>100</v>
      </c>
      <c r="E71" s="595">
        <v>99</v>
      </c>
      <c r="F71" s="595">
        <v>99</v>
      </c>
      <c r="G71" s="595">
        <v>99</v>
      </c>
      <c r="H71" s="595">
        <v>99</v>
      </c>
      <c r="I71" s="595">
        <v>99</v>
      </c>
      <c r="J71" s="595">
        <v>99</v>
      </c>
      <c r="K71" s="595">
        <v>99</v>
      </c>
      <c r="L71" s="595">
        <v>99</v>
      </c>
      <c r="M71" s="1570">
        <v>99</v>
      </c>
      <c r="N71" s="595">
        <v>99</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1" t="s">
        <v>3068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2（含）-3</v>
      </c>
      <c r="D79" s="547" t="str">
        <f t="shared" ref="D79:L79" si="20">D80&amp;"（含）"&amp;"-"&amp;E80</f>
        <v>3（含）-4</v>
      </c>
      <c r="E79" s="547" t="str">
        <f t="shared" si="20"/>
        <v>4（含）-5</v>
      </c>
      <c r="F79" s="547" t="str">
        <f t="shared" si="20"/>
        <v>5（含）-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2</v>
      </c>
      <c r="D80" s="549">
        <v>3</v>
      </c>
      <c r="E80" s="549">
        <v>4</v>
      </c>
      <c r="F80" s="549">
        <v>5</v>
      </c>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t="str">
        <f>B13</f>
        <v>溢价率</v>
      </c>
      <c r="C84" s="2959" t="s">
        <v>3158</v>
      </c>
      <c r="D84" s="2959" t="s">
        <v>3159</v>
      </c>
      <c r="E84" s="554"/>
      <c r="F84" s="554"/>
      <c r="G84" s="554"/>
      <c r="H84" s="555"/>
      <c r="I84" s="555"/>
      <c r="J84" s="555"/>
      <c r="K84" s="555"/>
      <c r="L84" s="556"/>
      <c r="M84" s="557"/>
      <c r="N84" s="1157"/>
      <c r="O84" s="1157"/>
      <c r="P84" s="470"/>
      <c r="Q84" s="561"/>
    </row>
    <row r="85" spans="1:17" s="471" customFormat="1" ht="15.75" thickBot="1">
      <c r="A85" s="553"/>
      <c r="B85" s="543"/>
      <c r="C85" s="560">
        <v>95</v>
      </c>
      <c r="D85" s="560">
        <v>100</v>
      </c>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0(含)-20000</v>
      </c>
      <c r="D116" s="529" t="str">
        <f t="shared" ref="D116:M116" si="25">D117&amp;"(含)"&amp;"-"&amp;E117</f>
        <v>20000(含)-50000</v>
      </c>
      <c r="E116" s="529" t="str">
        <f t="shared" si="25"/>
        <v>50000(含)-80000</v>
      </c>
      <c r="F116" s="529" t="str">
        <f t="shared" si="25"/>
        <v>80000(含)-130000</v>
      </c>
      <c r="G116" s="529" t="str">
        <f t="shared" si="25"/>
        <v>130000(含)-180000</v>
      </c>
      <c r="H116" s="529" t="str">
        <f t="shared" si="25"/>
        <v>180000(含)-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50000</v>
      </c>
      <c r="F117" s="595">
        <v>80000</v>
      </c>
      <c r="G117" s="595">
        <v>130000</v>
      </c>
      <c r="H117" s="595">
        <v>180000</v>
      </c>
      <c r="I117" s="595"/>
      <c r="J117" s="596"/>
      <c r="K117" s="596"/>
      <c r="L117" s="597"/>
      <c r="M117" s="598"/>
      <c r="N117" s="1155"/>
      <c r="O117" s="1155"/>
      <c r="P117" s="45"/>
      <c r="Q117" s="504"/>
    </row>
    <row r="118" spans="1:17" ht="15.75" thickBot="1">
      <c r="A118" s="534"/>
      <c r="B118" s="543"/>
      <c r="C118" s="570">
        <v>95</v>
      </c>
      <c r="D118" s="591">
        <v>96</v>
      </c>
      <c r="E118" s="591">
        <v>97</v>
      </c>
      <c r="F118" s="591">
        <v>98</v>
      </c>
      <c r="G118" s="591">
        <v>99</v>
      </c>
      <c r="H118" s="591">
        <v>100</v>
      </c>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3"/>
      <c r="M4" s="1134"/>
      <c r="N4" s="1134"/>
      <c r="O4" s="1134"/>
      <c r="P4" s="3220" t="s">
        <v>2650</v>
      </c>
      <c r="Q4" s="3221"/>
      <c r="R4" s="3226" t="s">
        <v>2646</v>
      </c>
      <c r="S4" s="3227"/>
      <c r="T4" s="3226" t="s">
        <v>2647</v>
      </c>
      <c r="U4" s="3227"/>
      <c r="V4" s="3232" t="s">
        <v>2648</v>
      </c>
      <c r="W4" s="3232"/>
      <c r="X4" s="1816"/>
      <c r="Y4" s="3226" t="s">
        <v>2650</v>
      </c>
      <c r="Z4" s="3227"/>
      <c r="AA4" s="3213" t="s">
        <v>2646</v>
      </c>
      <c r="AB4" s="3214" t="s">
        <v>2647</v>
      </c>
      <c r="AC4" s="3213" t="s">
        <v>2648</v>
      </c>
    </row>
    <row r="5" spans="1:29" ht="15">
      <c r="A5" s="404"/>
      <c r="B5" s="405"/>
      <c r="C5" s="3235" t="s">
        <v>2541</v>
      </c>
      <c r="D5" s="3236"/>
      <c r="E5" s="3242" t="s">
        <v>2542</v>
      </c>
      <c r="F5" s="3243"/>
      <c r="G5" s="3235" t="s">
        <v>2543</v>
      </c>
      <c r="H5" s="3236"/>
      <c r="I5" s="3235" t="s">
        <v>2544</v>
      </c>
      <c r="J5" s="3236"/>
      <c r="K5" s="610"/>
      <c r="L5" s="1133"/>
      <c r="M5" s="1134"/>
      <c r="N5" s="1134"/>
      <c r="O5" s="1134"/>
      <c r="P5" s="3222"/>
      <c r="Q5" s="3223"/>
      <c r="R5" s="3228"/>
      <c r="S5" s="3229"/>
      <c r="T5" s="3228"/>
      <c r="U5" s="3229"/>
      <c r="V5" s="3232"/>
      <c r="W5" s="3232"/>
      <c r="X5" s="1816"/>
      <c r="Y5" s="3228"/>
      <c r="Z5" s="3229"/>
      <c r="AA5" s="3214"/>
      <c r="AB5" s="3214"/>
      <c r="AC5" s="3214"/>
    </row>
    <row r="6" spans="1:29" ht="15.75" thickBot="1">
      <c r="A6" s="406"/>
      <c r="B6" s="407"/>
      <c r="C6" s="3266" t="s">
        <v>2796</v>
      </c>
      <c r="D6" s="3267"/>
      <c r="E6" s="3268" t="s">
        <v>2796</v>
      </c>
      <c r="F6" s="3269"/>
      <c r="G6" s="3266" t="s">
        <v>2796</v>
      </c>
      <c r="H6" s="3267"/>
      <c r="I6" s="3266" t="s">
        <v>2796</v>
      </c>
      <c r="J6" s="3267"/>
      <c r="K6" s="610" t="s">
        <v>2546</v>
      </c>
      <c r="L6" s="1133"/>
      <c r="M6" s="1134"/>
      <c r="N6" s="1134"/>
      <c r="O6" s="1134"/>
      <c r="P6" s="3224"/>
      <c r="Q6" s="3225"/>
      <c r="R6" s="3228"/>
      <c r="S6" s="3229"/>
      <c r="T6" s="3230"/>
      <c r="U6" s="3231"/>
      <c r="V6" s="3232"/>
      <c r="W6" s="3232"/>
      <c r="X6" s="1816"/>
      <c r="Y6" s="3230"/>
      <c r="Z6" s="3231"/>
      <c r="AA6" s="3215"/>
      <c r="AB6" s="3215"/>
      <c r="AC6" s="3215"/>
    </row>
    <row r="7" spans="1:29" s="117" customFormat="1" ht="15.75" thickBot="1">
      <c r="A7" s="408" t="s">
        <v>2547</v>
      </c>
      <c r="B7" s="409"/>
      <c r="C7" s="410">
        <f>'数据-取费表'!B2</f>
        <v>43574</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37" t="s">
        <v>2548</v>
      </c>
      <c r="Q7" s="3239"/>
      <c r="R7" s="770" t="s">
        <v>17</v>
      </c>
      <c r="S7" s="771">
        <f t="shared" ref="S7:S15" si="0">F7</f>
        <v>0</v>
      </c>
      <c r="T7" s="770" t="s">
        <v>17</v>
      </c>
      <c r="U7" s="771">
        <f t="shared" ref="U7:U15" si="1">H7</f>
        <v>0</v>
      </c>
      <c r="V7" s="770" t="s">
        <v>17</v>
      </c>
      <c r="W7" s="771">
        <f t="shared" ref="W7:W15" si="2">J7</f>
        <v>0</v>
      </c>
      <c r="X7" s="772"/>
      <c r="Y7" s="3237" t="s">
        <v>2548</v>
      </c>
      <c r="Z7" s="323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7" t="s">
        <v>2551</v>
      </c>
      <c r="Q8" s="3238"/>
      <c r="R8" s="770" t="s">
        <v>17</v>
      </c>
      <c r="S8" s="771">
        <f t="shared" si="0"/>
        <v>0</v>
      </c>
      <c r="T8" s="770" t="s">
        <v>17</v>
      </c>
      <c r="U8" s="771">
        <f t="shared" si="1"/>
        <v>0</v>
      </c>
      <c r="V8" s="770" t="s">
        <v>17</v>
      </c>
      <c r="W8" s="771">
        <f t="shared" si="2"/>
        <v>0</v>
      </c>
      <c r="X8" s="772"/>
      <c r="Y8" s="3237" t="s">
        <v>2551</v>
      </c>
      <c r="Z8" s="3238"/>
      <c r="AA8" s="773" t="e">
        <f t="shared" ref="AA8:AA40" si="3">D8/F8</f>
        <v>#DIV/0!</v>
      </c>
      <c r="AB8" s="773" t="e">
        <f t="shared" ref="AB8:AB40" si="4">D8/H8</f>
        <v>#DIV/0!</v>
      </c>
      <c r="AC8" s="773" t="e">
        <f t="shared" ref="AC8:AC40" si="5">D8/J8</f>
        <v>#DIV/0!</v>
      </c>
    </row>
    <row r="9" spans="1:29" s="117" customFormat="1">
      <c r="A9" s="415" t="s">
        <v>2552</v>
      </c>
      <c r="B9" s="71" t="s">
        <v>2553</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0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29" t="s">
        <v>2797</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2559</v>
      </c>
      <c r="Q15" s="1813" t="str">
        <f t="shared" si="6"/>
        <v>产业集聚程度</v>
      </c>
      <c r="R15" s="774" t="s">
        <v>17</v>
      </c>
      <c r="S15" s="775">
        <f t="shared" si="0"/>
        <v>100</v>
      </c>
      <c r="T15" s="774" t="s">
        <v>17</v>
      </c>
      <c r="U15" s="775">
        <f t="shared" si="1"/>
        <v>100</v>
      </c>
      <c r="V15" s="774" t="s">
        <v>17</v>
      </c>
      <c r="W15" s="775">
        <f t="shared" si="2"/>
        <v>100</v>
      </c>
      <c r="X15" s="1816"/>
      <c r="Y15" s="3203" t="s">
        <v>2559</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631" t="s">
        <v>2708</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15">
      <c r="A19" s="428"/>
      <c r="B19" s="631" t="s">
        <v>2747</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3" t="str">
        <f t="shared" ref="Q19:Q33" si="8">B19</f>
        <v>区域土地利用方向</v>
      </c>
      <c r="R19" s="774" t="s">
        <v>17</v>
      </c>
      <c r="S19" s="775">
        <f>F19</f>
        <v>100</v>
      </c>
      <c r="T19" s="774" t="s">
        <v>17</v>
      </c>
      <c r="U19" s="775">
        <f>H19</f>
        <v>100</v>
      </c>
      <c r="V19" s="774" t="s">
        <v>17</v>
      </c>
      <c r="W19" s="775">
        <f>J19</f>
        <v>100</v>
      </c>
      <c r="X19" s="1816"/>
      <c r="Y19" s="3204"/>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04"/>
      <c r="Q20" s="1813"/>
      <c r="R20" s="774"/>
      <c r="S20" s="775"/>
      <c r="T20" s="774"/>
      <c r="U20" s="775"/>
      <c r="V20" s="774"/>
      <c r="W20" s="775"/>
      <c r="X20" s="1816"/>
      <c r="Y20" s="3204"/>
      <c r="Z20" s="1817"/>
      <c r="AA20" s="1814"/>
      <c r="AB20" s="1814"/>
      <c r="AC20" s="1814"/>
    </row>
    <row r="21" spans="1:29" ht="71.25">
      <c r="A21" s="404"/>
      <c r="B21" s="631" t="s">
        <v>2798</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3" t="str">
        <f t="shared" si="8"/>
        <v>环境状况</v>
      </c>
      <c r="R21" s="774" t="s">
        <v>17</v>
      </c>
      <c r="S21" s="775">
        <f>F21</f>
        <v>100</v>
      </c>
      <c r="T21" s="774" t="s">
        <v>17</v>
      </c>
      <c r="U21" s="775">
        <f>H21</f>
        <v>100</v>
      </c>
      <c r="V21" s="774" t="s">
        <v>17</v>
      </c>
      <c r="W21" s="775">
        <f>J21</f>
        <v>100</v>
      </c>
      <c r="X21" s="1816"/>
      <c r="Y21" s="3204"/>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s="117" customFormat="1" ht="42.75">
      <c r="A23" s="649"/>
      <c r="B23" s="633" t="s">
        <v>2653</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8" t="str">
        <f t="shared" si="8"/>
        <v>公共配套设施</v>
      </c>
      <c r="R23" s="770" t="s">
        <v>17</v>
      </c>
      <c r="S23" s="771">
        <f>F23</f>
        <v>100</v>
      </c>
      <c r="T23" s="770" t="s">
        <v>17</v>
      </c>
      <c r="U23" s="771">
        <f>H23</f>
        <v>100</v>
      </c>
      <c r="V23" s="770" t="s">
        <v>17</v>
      </c>
      <c r="W23" s="771">
        <f>J23</f>
        <v>100</v>
      </c>
      <c r="X23" s="772"/>
      <c r="Y23" s="3204"/>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04"/>
      <c r="Q24" s="1798"/>
      <c r="R24" s="770"/>
      <c r="S24" s="771"/>
      <c r="T24" s="770"/>
      <c r="U24" s="771"/>
      <c r="V24" s="770"/>
      <c r="W24" s="771"/>
      <c r="X24" s="772"/>
      <c r="Y24" s="3204"/>
      <c r="Z24" s="55"/>
      <c r="AA24" s="773">
        <v>1</v>
      </c>
      <c r="AB24" s="773">
        <v>1</v>
      </c>
      <c r="AC24" s="773">
        <v>1</v>
      </c>
    </row>
    <row r="25" spans="1:29" s="117" customFormat="1" ht="28.5">
      <c r="A25" s="649"/>
      <c r="B25" s="633" t="s">
        <v>2654</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8"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04"/>
      <c r="Q26" s="1798"/>
      <c r="R26" s="770"/>
      <c r="S26" s="771"/>
      <c r="T26" s="770"/>
      <c r="U26" s="771"/>
      <c r="V26" s="770"/>
      <c r="W26" s="771"/>
      <c r="X26" s="772"/>
      <c r="Y26" s="320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4"/>
      <c r="Z27" s="1817" t="str">
        <f t="shared" ref="Z27:Z40" si="13">Q27</f>
        <v>临街状况</v>
      </c>
      <c r="AA27" s="1814">
        <f t="shared" si="3"/>
        <v>1</v>
      </c>
      <c r="AB27" s="1814">
        <f t="shared" si="4"/>
        <v>1</v>
      </c>
      <c r="AC27" s="1814">
        <f t="shared" si="5"/>
        <v>1</v>
      </c>
    </row>
    <row r="28" spans="1:29" ht="27">
      <c r="A28" s="428"/>
      <c r="B28" s="633" t="s">
        <v>2690</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3" t="str">
        <f t="shared" si="8"/>
        <v>毗邻道路的类型与等级</v>
      </c>
      <c r="R28" s="774" t="s">
        <v>17</v>
      </c>
      <c r="S28" s="775">
        <f t="shared" si="10"/>
        <v>100</v>
      </c>
      <c r="T28" s="774" t="s">
        <v>17</v>
      </c>
      <c r="U28" s="775">
        <f t="shared" si="11"/>
        <v>100</v>
      </c>
      <c r="V28" s="774" t="s">
        <v>17</v>
      </c>
      <c r="W28" s="775">
        <f t="shared" si="12"/>
        <v>100</v>
      </c>
      <c r="X28" s="1816"/>
      <c r="Y28" s="3204"/>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04"/>
      <c r="Q29" s="1813"/>
      <c r="R29" s="774"/>
      <c r="S29" s="775"/>
      <c r="T29" s="774"/>
      <c r="U29" s="775"/>
      <c r="V29" s="774"/>
      <c r="W29" s="775"/>
      <c r="X29" s="1816"/>
      <c r="Y29" s="3204"/>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3" t="str">
        <f t="shared" si="8"/>
        <v>土地级别</v>
      </c>
      <c r="R30" s="774" t="s">
        <v>17</v>
      </c>
      <c r="S30" s="775">
        <f t="shared" si="10"/>
        <v>100</v>
      </c>
      <c r="T30" s="774" t="s">
        <v>17</v>
      </c>
      <c r="U30" s="775">
        <f t="shared" si="11"/>
        <v>100</v>
      </c>
      <c r="V30" s="774" t="s">
        <v>17</v>
      </c>
      <c r="W30" s="775">
        <f t="shared" si="12"/>
        <v>100</v>
      </c>
      <c r="X30" s="1816"/>
      <c r="Y30" s="3204"/>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3">
        <f t="shared" si="8"/>
        <v>111</v>
      </c>
      <c r="R31" s="774" t="s">
        <v>17</v>
      </c>
      <c r="S31" s="775">
        <f t="shared" si="10"/>
        <v>100</v>
      </c>
      <c r="T31" s="774" t="s">
        <v>17</v>
      </c>
      <c r="U31" s="775">
        <f t="shared" si="11"/>
        <v>100</v>
      </c>
      <c r="V31" s="774" t="s">
        <v>17</v>
      </c>
      <c r="W31" s="775">
        <f t="shared" si="12"/>
        <v>100</v>
      </c>
      <c r="X31" s="1816"/>
      <c r="Y31" s="3204"/>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9" t="s">
        <v>2564</v>
      </c>
      <c r="Q32" s="1813">
        <f t="shared" si="8"/>
        <v>111</v>
      </c>
      <c r="R32" s="774" t="s">
        <v>17</v>
      </c>
      <c r="S32" s="775">
        <f t="shared" si="10"/>
        <v>100</v>
      </c>
      <c r="T32" s="774" t="s">
        <v>17</v>
      </c>
      <c r="U32" s="775">
        <f t="shared" si="11"/>
        <v>100</v>
      </c>
      <c r="V32" s="774" t="s">
        <v>17</v>
      </c>
      <c r="W32" s="775">
        <f t="shared" si="12"/>
        <v>100</v>
      </c>
      <c r="X32" s="1816"/>
      <c r="Y32" s="3208" t="s">
        <v>2564</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3">
        <f t="shared" si="8"/>
        <v>111</v>
      </c>
      <c r="R33" s="777" t="s">
        <v>17</v>
      </c>
      <c r="S33" s="778">
        <f t="shared" si="10"/>
        <v>100</v>
      </c>
      <c r="T33" s="777" t="s">
        <v>17</v>
      </c>
      <c r="U33" s="778">
        <f t="shared" si="11"/>
        <v>100</v>
      </c>
      <c r="V33" s="777" t="s">
        <v>17</v>
      </c>
      <c r="W33" s="778">
        <f t="shared" si="12"/>
        <v>100</v>
      </c>
      <c r="X33" s="779"/>
      <c r="Y33" s="3208"/>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3" t="str">
        <f>B34</f>
        <v>宗地面积</v>
      </c>
      <c r="R34" s="774" t="s">
        <v>17</v>
      </c>
      <c r="S34" s="775" t="e">
        <f t="shared" si="10"/>
        <v>#N/A</v>
      </c>
      <c r="T34" s="774" t="s">
        <v>17</v>
      </c>
      <c r="U34" s="775" t="e">
        <f t="shared" si="11"/>
        <v>#N/A</v>
      </c>
      <c r="V34" s="774" t="s">
        <v>17</v>
      </c>
      <c r="W34" s="775" t="e">
        <f t="shared" si="12"/>
        <v>#N/A</v>
      </c>
      <c r="X34" s="1816"/>
      <c r="Y34" s="3208"/>
      <c r="Z34" s="1817" t="str">
        <f t="shared" si="13"/>
        <v>宗地面积</v>
      </c>
      <c r="AA34" s="1814" t="e">
        <f t="shared" si="3"/>
        <v>#N/A</v>
      </c>
      <c r="AB34" s="1814" t="e">
        <f t="shared" si="4"/>
        <v>#N/A</v>
      </c>
      <c r="AC34" s="1814" t="e">
        <f t="shared" si="5"/>
        <v>#N/A</v>
      </c>
    </row>
    <row r="35" spans="1:29" ht="15">
      <c r="A35" s="472"/>
      <c r="B35" s="422" t="s">
        <v>2751</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8"/>
      <c r="Q35" s="1813" t="str">
        <f t="shared" ref="Q35:Q40" si="14">B35</f>
        <v>宗地形状</v>
      </c>
      <c r="R35" s="774" t="s">
        <v>17</v>
      </c>
      <c r="S35" s="775">
        <f t="shared" si="10"/>
        <v>100</v>
      </c>
      <c r="T35" s="774" t="s">
        <v>17</v>
      </c>
      <c r="U35" s="775">
        <f t="shared" si="11"/>
        <v>100</v>
      </c>
      <c r="V35" s="774" t="s">
        <v>17</v>
      </c>
      <c r="W35" s="775">
        <f t="shared" si="12"/>
        <v>100</v>
      </c>
      <c r="X35" s="1816"/>
      <c r="Y35" s="3208"/>
      <c r="Z35" s="1817" t="str">
        <f t="shared" si="13"/>
        <v>宗地形状</v>
      </c>
      <c r="AA35" s="1814">
        <f t="shared" si="3"/>
        <v>1</v>
      </c>
      <c r="AB35" s="1814">
        <f t="shared" si="4"/>
        <v>1</v>
      </c>
      <c r="AC35" s="1814">
        <f t="shared" si="5"/>
        <v>1</v>
      </c>
    </row>
    <row r="36" spans="1:29" s="117" customFormat="1" ht="15">
      <c r="A36" s="473"/>
      <c r="B36" s="422" t="s">
        <v>2753</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8"/>
      <c r="Q36" s="1813"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2754</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8" t="s">
        <v>2564</v>
      </c>
      <c r="Q37" s="1813" t="str">
        <f t="shared" si="14"/>
        <v>工程地质条件</v>
      </c>
      <c r="R37" s="774" t="s">
        <v>17</v>
      </c>
      <c r="S37" s="775">
        <f t="shared" si="10"/>
        <v>100</v>
      </c>
      <c r="T37" s="774" t="s">
        <v>17</v>
      </c>
      <c r="U37" s="775">
        <f t="shared" si="11"/>
        <v>100</v>
      </c>
      <c r="V37" s="774" t="s">
        <v>17</v>
      </c>
      <c r="W37" s="775">
        <f t="shared" si="12"/>
        <v>100</v>
      </c>
      <c r="X37" s="1816"/>
      <c r="Y37" s="3208"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3">
        <f t="shared" si="14"/>
        <v>111</v>
      </c>
      <c r="R38" s="774" t="s">
        <v>17</v>
      </c>
      <c r="S38" s="775">
        <f t="shared" si="10"/>
        <v>100</v>
      </c>
      <c r="T38" s="774" t="s">
        <v>17</v>
      </c>
      <c r="U38" s="775">
        <f t="shared" si="11"/>
        <v>100</v>
      </c>
      <c r="V38" s="774" t="s">
        <v>17</v>
      </c>
      <c r="W38" s="775">
        <f t="shared" si="12"/>
        <v>100</v>
      </c>
      <c r="X38" s="1816"/>
      <c r="Y38" s="320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3">
        <f t="shared" si="14"/>
        <v>111</v>
      </c>
      <c r="R39" s="774" t="s">
        <v>17</v>
      </c>
      <c r="S39" s="775">
        <f t="shared" si="10"/>
        <v>100</v>
      </c>
      <c r="T39" s="774" t="s">
        <v>17</v>
      </c>
      <c r="U39" s="775">
        <f t="shared" si="11"/>
        <v>100</v>
      </c>
      <c r="V39" s="774" t="s">
        <v>17</v>
      </c>
      <c r="W39" s="775">
        <f t="shared" si="12"/>
        <v>100</v>
      </c>
      <c r="X39" s="1816"/>
      <c r="Y39" s="320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3">
        <f t="shared" si="14"/>
        <v>111</v>
      </c>
      <c r="R40" s="777" t="s">
        <v>17</v>
      </c>
      <c r="S40" s="778">
        <f t="shared" si="10"/>
        <v>100</v>
      </c>
      <c r="T40" s="777" t="s">
        <v>17</v>
      </c>
      <c r="U40" s="778">
        <f t="shared" si="11"/>
        <v>100</v>
      </c>
      <c r="V40" s="777" t="s">
        <v>17</v>
      </c>
      <c r="W40" s="778">
        <f t="shared" si="12"/>
        <v>100</v>
      </c>
      <c r="X40" s="779"/>
      <c r="Y40" s="3208"/>
      <c r="Z40" s="780">
        <f t="shared" si="13"/>
        <v>111</v>
      </c>
      <c r="AA40" s="1814">
        <f t="shared" si="3"/>
        <v>1</v>
      </c>
      <c r="AB40" s="1814">
        <f t="shared" si="4"/>
        <v>1</v>
      </c>
      <c r="AC40" s="1814">
        <f t="shared" si="5"/>
        <v>1</v>
      </c>
    </row>
    <row r="41" spans="1:29" ht="15">
      <c r="A41" s="479" t="s">
        <v>2719</v>
      </c>
      <c r="B41" s="2710" t="s">
        <v>2799</v>
      </c>
      <c r="C41" s="682" t="s">
        <v>1</v>
      </c>
      <c r="D41" s="481"/>
      <c r="E41" s="482"/>
      <c r="F41" s="483"/>
      <c r="G41" s="484"/>
      <c r="H41" s="485"/>
      <c r="I41" s="482"/>
      <c r="J41" s="485"/>
      <c r="K41" s="783"/>
      <c r="L41" s="1146"/>
      <c r="M41" s="1134"/>
      <c r="N41" s="1134"/>
      <c r="O41" s="1147"/>
      <c r="P41" s="3201" t="str">
        <f>A41</f>
        <v>成交单价</v>
      </c>
      <c r="Q41" s="3201"/>
      <c r="R41" s="3232">
        <f>E41</f>
        <v>0</v>
      </c>
      <c r="S41" s="3232"/>
      <c r="T41" s="3232">
        <f>G41</f>
        <v>0</v>
      </c>
      <c r="U41" s="3232"/>
      <c r="V41" s="3232">
        <f>I41</f>
        <v>0</v>
      </c>
      <c r="W41" s="323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1" t="str">
        <f>A42</f>
        <v>比较价值（元/平方米）</v>
      </c>
      <c r="Q42" s="3201"/>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61" t="e">
        <f>ROUND(AVERAGE(R42:V42),0)</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11" t="s">
        <v>2759</v>
      </c>
      <c r="D50" s="2712" t="s">
        <v>2760</v>
      </c>
      <c r="E50" s="686" t="s">
        <v>2761</v>
      </c>
      <c r="F50" s="687" t="s">
        <v>2762</v>
      </c>
      <c r="G50" s="3216" t="s">
        <v>2763</v>
      </c>
      <c r="H50" s="3262"/>
      <c r="I50" s="1817" t="s">
        <v>2800</v>
      </c>
      <c r="J50" s="1817" t="str">
        <f>项目基本情况!F35</f>
        <v>四川省南充市</v>
      </c>
      <c r="K50" s="2714" t="s">
        <v>2765</v>
      </c>
      <c r="L50" s="1109"/>
      <c r="M50" s="1147"/>
      <c r="N50" s="1147"/>
      <c r="O50" s="1147"/>
    </row>
    <row r="51" spans="1:17" s="692" customFormat="1">
      <c r="A51" s="688" t="s">
        <v>2766</v>
      </c>
      <c r="B51" s="689" t="e">
        <f>C43</f>
        <v>#DIV/0!</v>
      </c>
      <c r="C51" s="690">
        <v>1</v>
      </c>
      <c r="D51" s="1166">
        <v>1</v>
      </c>
      <c r="E51" s="690">
        <f>'数据-汇总表'!E8+'数据-汇总表'!E9</f>
        <v>767.44</v>
      </c>
      <c r="F51" s="691" t="e">
        <f t="shared" ref="F51:F60" si="15">ROUND(B51*E51/10000,0)</f>
        <v>#DIV/0!</v>
      </c>
      <c r="G51" s="3212"/>
      <c r="H51" s="3201"/>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63"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63"/>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63"/>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63"/>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5"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5"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6"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1026</v>
      </c>
      <c r="E61" s="696">
        <f>IF(B41="楼面地价",SUM(E51:E60),'数据-汇总表'!D3)</f>
        <v>300.76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7" t="s">
        <v>2781</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2801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2803</v>
      </c>
      <c r="B1" s="241"/>
      <c r="C1" s="245" t="s">
        <v>2804</v>
      </c>
      <c r="D1" s="388">
        <f>SUM(D29:D30,D33:D39)</f>
        <v>0</v>
      </c>
      <c r="E1" s="2723"/>
      <c r="F1" s="2723"/>
      <c r="G1" s="2723"/>
      <c r="H1" s="2723"/>
      <c r="I1" s="2723"/>
      <c r="J1" s="2723"/>
      <c r="K1" s="1373"/>
      <c r="L1" s="2724" t="s">
        <v>2805</v>
      </c>
      <c r="M1" s="1083">
        <f>SUMPRODUCT((区片价!B5:B9=I2)*(区片价!C3:F3=E2)*(区片价!C5:F9))</f>
        <v>0</v>
      </c>
      <c r="N1" s="1086">
        <f>SUMPRODUCT((因素修正幅度!B5:B9=I2)*(因素修正幅度!C3:F3=E2)*(因素修正幅度!C5:F9))</f>
        <v>0</v>
      </c>
      <c r="O1" s="2725"/>
      <c r="P1" s="2725"/>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7" t="s">
        <v>2812</v>
      </c>
      <c r="D2" s="2728" t="s">
        <v>2813</v>
      </c>
      <c r="E2" s="2729"/>
      <c r="F2" s="2728" t="s">
        <v>2814</v>
      </c>
      <c r="G2" s="2730">
        <f>IF(E2="商业",项目基本情况!B37,IF(E2="办公",项目基本情况!C37,IF(E2="住宅",项目基本情况!D37,项目基本情况!E37)))</f>
        <v>0</v>
      </c>
      <c r="H2" s="2728" t="s">
        <v>2815</v>
      </c>
      <c r="I2" s="2730">
        <f>IF(E2="商业",项目基本情况!B38,IF(E2="办公",项目基本情况!C38,IF(E2="住宅",项目基本情况!D38,项目基本情况!E38)))</f>
        <v>0</v>
      </c>
      <c r="J2" s="2731"/>
      <c r="K2" s="1373"/>
      <c r="L2" s="2732"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7" t="s">
        <v>2818</v>
      </c>
      <c r="D3" s="2728" t="s">
        <v>2819</v>
      </c>
      <c r="E3" s="2733"/>
      <c r="F3" s="2734" t="s">
        <v>2820</v>
      </c>
      <c r="G3" s="916">
        <f>IF(F3="宗地容积率",'数据-汇总表'!I4,IF(F3="估价对象容积率",'数据-汇总表'!I6,'数据-汇总表'!I7))</f>
        <v>2.4900000000000002</v>
      </c>
      <c r="H3" s="198" t="s">
        <v>2821</v>
      </c>
      <c r="I3" s="947"/>
      <c r="J3" s="2731" t="s">
        <v>2822</v>
      </c>
      <c r="K3" s="1373"/>
      <c r="L3" s="2732"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3"/>
      <c r="L4" s="2732"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2825</v>
      </c>
      <c r="C5" s="917" t="e">
        <f>ROUND(IF(E2="商业",IF(F16="增加",C6*C7+C16,C6*C7-C16),IF(E2="住宅",IF(F16="增加",C6*C12+C16,C6*C12-C16),IF(F16="增加",C6+C16,C6-C16))),0)</f>
        <v>#DIV/0!</v>
      </c>
      <c r="D5" s="1790" t="e">
        <f>ROUND(IF(F16="增加",C6+C16,C6-C16),0)</f>
        <v>#DIV/0!</v>
      </c>
      <c r="E5" s="1790"/>
      <c r="F5" s="2737"/>
      <c r="G5" s="2738"/>
      <c r="H5" s="2738"/>
      <c r="I5" s="2738"/>
      <c r="J5" s="2739"/>
      <c r="K5" s="2740"/>
      <c r="L5" s="2732"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2827</v>
      </c>
      <c r="B6" s="2746" t="s">
        <v>2828</v>
      </c>
      <c r="C6" s="918">
        <f>SUMIF(L1:L12,G2,M1:M12)</f>
        <v>0</v>
      </c>
      <c r="D6" s="2747" t="s">
        <v>2829</v>
      </c>
      <c r="E6" s="2748"/>
      <c r="F6" s="2748"/>
      <c r="G6" s="2749"/>
      <c r="H6" s="2749"/>
      <c r="I6" s="2749"/>
      <c r="J6" s="2750"/>
      <c r="K6" s="1845"/>
      <c r="L6" s="2732"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77" t="str">
        <f>IF(E2="商业",IF(C8="不临58条商业街","",2),"")</f>
        <v/>
      </c>
      <c r="B7" s="2751" t="s">
        <v>2831</v>
      </c>
      <c r="C7" s="919" t="e">
        <f>IF(C8="不临58条商业街",1,ROUND(1+(1.6*E8+1.2*E9+0.8*E10+0.4*E11)*C9,4))</f>
        <v>#DIV/0!</v>
      </c>
      <c r="D7" s="2752" t="s">
        <v>2832</v>
      </c>
      <c r="E7" s="948"/>
      <c r="F7" s="2753"/>
      <c r="G7" s="2754"/>
      <c r="H7" s="2754"/>
      <c r="I7" s="2754"/>
      <c r="J7" s="2755"/>
      <c r="K7" s="1845"/>
      <c r="L7" s="2732"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2.4900000000000002</v>
      </c>
      <c r="AA7" s="1609"/>
      <c r="AB7" s="1609"/>
      <c r="AC7" s="1610"/>
      <c r="AD7" s="1611"/>
      <c r="AE7" s="1611"/>
      <c r="AF7" s="1611"/>
      <c r="AG7" s="1611"/>
      <c r="AH7" s="1611"/>
      <c r="AI7" s="1611"/>
      <c r="AJ7" s="1612"/>
    </row>
    <row r="8" spans="1:36" ht="15">
      <c r="A8" s="3278"/>
      <c r="B8" s="198" t="s">
        <v>2836</v>
      </c>
      <c r="C8" s="2756"/>
      <c r="D8" s="920" t="s">
        <v>139</v>
      </c>
      <c r="E8" s="921" t="e">
        <f>ROUND(C11/E7,4)</f>
        <v>#DIV/0!</v>
      </c>
      <c r="F8" s="2757" t="s">
        <v>2837</v>
      </c>
      <c r="G8" s="2758"/>
      <c r="H8" s="2758"/>
      <c r="I8" s="2758"/>
      <c r="J8" s="2759"/>
      <c r="K8" s="1373"/>
      <c r="L8" s="2732"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0" t="s">
        <v>2839</v>
      </c>
      <c r="X8" s="3271"/>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78"/>
      <c r="B9" s="198" t="s">
        <v>2852</v>
      </c>
      <c r="C9" s="922">
        <f>SUMIF(修正!C59:C119,C8,修正!E59:E119)</f>
        <v>0</v>
      </c>
      <c r="D9" s="200" t="s">
        <v>140</v>
      </c>
      <c r="E9" s="200" t="e">
        <f>ROUND(C11/E7,4)</f>
        <v>#DIV/0!</v>
      </c>
      <c r="F9" s="2757" t="s">
        <v>2853</v>
      </c>
      <c r="G9" s="2758"/>
      <c r="H9" s="2758"/>
      <c r="I9" s="2758"/>
      <c r="J9" s="2759"/>
      <c r="K9" s="1373"/>
      <c r="L9" s="2732"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2"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8"/>
      <c r="B10" s="198" t="s">
        <v>2857</v>
      </c>
      <c r="C10" s="200">
        <f>SUMIF(修正!C59:C119,C8,修正!F59:F119)</f>
        <v>0</v>
      </c>
      <c r="D10" s="200" t="s">
        <v>141</v>
      </c>
      <c r="E10" s="200" t="e">
        <f>ROUND(C11/E7,4)</f>
        <v>#DIV/0!</v>
      </c>
      <c r="F10" s="2757" t="s">
        <v>2858</v>
      </c>
      <c r="G10" s="2758"/>
      <c r="H10" s="2758"/>
      <c r="I10" s="2758"/>
      <c r="J10" s="2759"/>
      <c r="K10" s="1373"/>
      <c r="L10" s="2732"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8"/>
      <c r="B11" s="2760" t="s">
        <v>2860</v>
      </c>
      <c r="C11" s="923">
        <f>C10/4</f>
        <v>0</v>
      </c>
      <c r="D11" s="923" t="s">
        <v>142</v>
      </c>
      <c r="E11" s="923" t="e">
        <f>ROUND(C11/E7,4)</f>
        <v>#DIV/0!</v>
      </c>
      <c r="F11" s="2761" t="s">
        <v>2861</v>
      </c>
      <c r="G11" s="2762"/>
      <c r="H11" s="2762"/>
      <c r="I11" s="2762"/>
      <c r="J11" s="2763"/>
      <c r="K11" s="1373"/>
      <c r="L11" s="2732"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2" t="s">
        <v>2863</v>
      </c>
      <c r="X11" s="1617" t="s">
        <v>2864</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277" t="s">
        <v>2865</v>
      </c>
      <c r="B12" s="2764" t="s">
        <v>2866</v>
      </c>
      <c r="C12" s="919">
        <f>ROUND(C15*D15*E15*F15*G15*H15*I15*J15,4)</f>
        <v>1</v>
      </c>
      <c r="D12" s="2765" t="s">
        <v>2867</v>
      </c>
      <c r="E12" s="2766"/>
      <c r="F12" s="2766"/>
      <c r="G12" s="2767"/>
      <c r="H12" s="2767"/>
      <c r="I12" s="2767"/>
      <c r="J12" s="2768"/>
      <c r="K12" s="1373"/>
      <c r="L12" s="2769"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2"/>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9"/>
      <c r="B13" s="2770" t="s">
        <v>2870</v>
      </c>
      <c r="C13" s="2771" t="s">
        <v>2871</v>
      </c>
      <c r="D13" s="1811" t="s">
        <v>2872</v>
      </c>
      <c r="E13" s="1811" t="s">
        <v>2873</v>
      </c>
      <c r="F13" s="30" t="s">
        <v>2874</v>
      </c>
      <c r="G13" s="2772" t="s">
        <v>2875</v>
      </c>
      <c r="H13" s="2772" t="s">
        <v>2875</v>
      </c>
      <c r="I13" s="2772" t="s">
        <v>2875</v>
      </c>
      <c r="J13" s="2773" t="s">
        <v>2875</v>
      </c>
      <c r="K13" s="1373"/>
      <c r="L13" s="1373"/>
      <c r="M13" s="1373"/>
      <c r="N13" s="1373"/>
      <c r="O13" s="1373"/>
      <c r="P13" s="1373"/>
      <c r="Q13" s="1373"/>
      <c r="R13" s="1605">
        <v>12</v>
      </c>
      <c r="S13" s="1606"/>
      <c r="T13" s="1605" t="e">
        <f t="shared" si="0"/>
        <v>#DIV/0!</v>
      </c>
      <c r="U13" s="1606"/>
      <c r="V13" s="1605" t="e">
        <f t="shared" si="1"/>
        <v>#DIV/0!</v>
      </c>
      <c r="W13" s="3272"/>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279"/>
      <c r="B14" s="2774"/>
      <c r="C14" s="2775"/>
      <c r="D14" s="2776"/>
      <c r="E14" s="2776"/>
      <c r="F14" s="2777"/>
      <c r="G14" s="2778" t="s">
        <v>2876</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0"/>
      <c r="B15" s="2782" t="s">
        <v>2877</v>
      </c>
      <c r="C15" s="229">
        <f>IF(C14="有",1.1,1)</f>
        <v>1</v>
      </c>
      <c r="D15" s="229">
        <f>IF(D14="有",1.1,1)</f>
        <v>1</v>
      </c>
      <c r="E15" s="229">
        <f>IF(E14="有",1.1,1)</f>
        <v>1</v>
      </c>
      <c r="F15" s="229">
        <f>IF(F14="500米范围内",1.2,IF(F14="500-1000米",1.1,1))</f>
        <v>1</v>
      </c>
      <c r="G15" s="949">
        <v>1</v>
      </c>
      <c r="H15" s="949">
        <v>1</v>
      </c>
      <c r="I15" s="949">
        <v>1</v>
      </c>
      <c r="J15" s="950">
        <v>1</v>
      </c>
      <c r="K15" s="1373"/>
      <c r="L15" s="2783" t="s">
        <v>2813</v>
      </c>
      <c r="M15" s="920" t="s">
        <v>2878</v>
      </c>
      <c r="N15" s="920" t="s">
        <v>2879</v>
      </c>
      <c r="O15" s="920" t="s">
        <v>2880</v>
      </c>
      <c r="P15" s="2784"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7" t="s">
        <v>2882</v>
      </c>
      <c r="B16" s="2751" t="s">
        <v>2883</v>
      </c>
      <c r="C16" s="1804" t="e">
        <f>ROUND(SUM(G17:J17)/C17,0)</f>
        <v>#DIV/0!</v>
      </c>
      <c r="D16" s="2785" t="s">
        <v>2884</v>
      </c>
      <c r="E16" s="2786"/>
      <c r="F16" s="2787"/>
      <c r="G16" s="2788"/>
      <c r="H16" s="2788"/>
      <c r="I16" s="2788"/>
      <c r="J16" s="2789"/>
      <c r="K16" s="1373"/>
      <c r="L16" s="2790"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8"/>
      <c r="B17" s="2791" t="s">
        <v>2886</v>
      </c>
      <c r="C17" s="924">
        <f>SUMPRODUCT((修正!A2:A5=E2)*(修正!B1:M1=G2)*(修正!B2:M5))</f>
        <v>0</v>
      </c>
      <c r="D17" s="2792"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2890</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2891</v>
      </c>
      <c r="C19" s="927" t="e">
        <f>ROUND(IF(H19="按公示增长率计算",SUMPRODUCT((地价!A3:A25=YEAR(G19)&amp;"-"&amp;ROUNDUP(MONTH(G19)/3,0))*(地价!X2:AB2=E2)*(地价!X3:AB25)),IF(H19="地价指数",M20/M19,(1+I19)^O19)),4)</f>
        <v>#DIV/0!</v>
      </c>
      <c r="D19" s="2803" t="s">
        <v>2892</v>
      </c>
      <c r="E19" s="928">
        <v>41640</v>
      </c>
      <c r="F19" s="2803" t="s">
        <v>2893</v>
      </c>
      <c r="G19" s="929">
        <f>'数据-取费表'!B2</f>
        <v>43574</v>
      </c>
      <c r="H19" s="2804" t="s">
        <v>2894</v>
      </c>
      <c r="I19" s="930" t="str">
        <f>IF(H19="季度增幅（自定义）",SUMIF(N21:N24,E2,O21:O24),"")</f>
        <v/>
      </c>
      <c r="J19" s="2801"/>
      <c r="K19" s="1380"/>
      <c r="L19" s="2805" t="s">
        <v>2895</v>
      </c>
      <c r="M19" s="1737">
        <f>ROUND(SUMIF(地价!B2:F2,E2,地价!B25:F25),0)</f>
        <v>0</v>
      </c>
      <c r="N19" s="2806"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2897</v>
      </c>
      <c r="C20" s="932" t="e">
        <f>ROUND(POWER(1+G20,J20-I20)*(POWER(1+G20,I20)-1)/(POWER(1+G20,J20)-1),4)</f>
        <v>#DIV/0!</v>
      </c>
      <c r="D20" s="2812" t="s">
        <v>2898</v>
      </c>
      <c r="E20" s="1771">
        <f ca="1">存贷款利率!D4/100</f>
        <v>4.3499999999999997E-2</v>
      </c>
      <c r="F20" s="2812" t="s">
        <v>2889</v>
      </c>
      <c r="G20" s="937">
        <f>SUMIF(M15:P15,E2,M17:P17)</f>
        <v>0</v>
      </c>
      <c r="H20" s="2812" t="s">
        <v>2899</v>
      </c>
      <c r="I20" s="938" t="e">
        <f>SUMIF('数据-取费表'!C6:C15,E2,'数据-取费表'!F6:F15)/COUNTIF('数据-取费表'!C6:C15,E2)</f>
        <v>#DIV/0!</v>
      </c>
      <c r="J20" s="939">
        <f>IF(E2="住宅",70,IF(E2="商业",40,50))</f>
        <v>50</v>
      </c>
      <c r="K20" s="1380"/>
      <c r="L20" s="2813" t="s">
        <v>2900</v>
      </c>
      <c r="M20" s="1738">
        <f>ROUND(SUMPRODUCT((地价!A4:A25=YEAR(G19)&amp;"-"&amp;ROUNDUP(MONTH(G19)/3,0))*(地价!B2:F2=E2)*(地价!B4:F25)),0)</f>
        <v>0</v>
      </c>
      <c r="N20" s="2814" t="s">
        <v>2901</v>
      </c>
      <c r="O20" s="2815" t="s">
        <v>2902</v>
      </c>
      <c r="P20" s="2816" t="s">
        <v>2903</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2904</v>
      </c>
      <c r="C21" s="940">
        <f>IF(B21="容积率修正",IF(G3&lt;=10,D22,J22),C23)</f>
        <v>0</v>
      </c>
      <c r="D21" s="2819"/>
      <c r="E21" s="2819"/>
      <c r="F21" s="2819"/>
      <c r="G21" s="2819"/>
      <c r="H21" s="2819"/>
      <c r="I21" s="2819"/>
      <c r="J21" s="2820"/>
      <c r="K21" s="1380"/>
      <c r="N21" s="2821" t="s">
        <v>2905</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2906</v>
      </c>
      <c r="B22" s="2822" t="s">
        <v>2907</v>
      </c>
      <c r="C22" s="1813" t="s">
        <v>2908</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2909</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2910</v>
      </c>
      <c r="B23" s="2823" t="s">
        <v>2911</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2912</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2913</v>
      </c>
      <c r="C24" s="927">
        <f>SUMIF(A45:A88,E2,B45:B88)</f>
        <v>0</v>
      </c>
      <c r="D24" s="2799"/>
      <c r="E24" s="2829"/>
      <c r="F24" s="2829"/>
      <c r="G24" s="2829"/>
      <c r="H24" s="2829"/>
      <c r="I24" s="2829"/>
      <c r="J24" s="2830"/>
      <c r="K24" s="1380"/>
      <c r="N24" s="2831" t="s">
        <v>2914</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2915</v>
      </c>
      <c r="C25" s="933"/>
      <c r="D25" s="2754"/>
      <c r="E25" s="2754"/>
      <c r="F25" s="2833"/>
      <c r="G25" s="2754"/>
      <c r="H25" s="2754"/>
      <c r="I25" s="2754"/>
      <c r="J25" s="2755"/>
      <c r="K25" s="1373"/>
      <c r="N25" s="2834" t="s">
        <v>2916</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2917</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2918</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2919</v>
      </c>
      <c r="C28" s="2846" t="s">
        <v>2920</v>
      </c>
      <c r="D28" s="2846" t="s">
        <v>2921</v>
      </c>
      <c r="E28" s="2847" t="s">
        <v>2922</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2923</v>
      </c>
      <c r="C29" s="206" t="e">
        <f>ROUND(C5*C18*C19*C20*C21*C24,0)</f>
        <v>#DIV/0!</v>
      </c>
      <c r="D29" s="2851"/>
      <c r="E29" s="945" t="e">
        <f>ROUND(C29*D29/10000,0)</f>
        <v>#DIV/0!</v>
      </c>
      <c r="F29" s="2852" t="s">
        <v>2924</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2925</v>
      </c>
      <c r="C30" s="229" t="e">
        <f>ROUND(IF(E2="工业",C29*M39,C29*M38),0)</f>
        <v>#DIV/0!</v>
      </c>
      <c r="D30" s="2857"/>
      <c r="E30" s="945" t="e">
        <f>ROUND(C30*D30/10000,0)</f>
        <v>#DIV/0!</v>
      </c>
      <c r="F30" s="2858" t="s">
        <v>2926</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2927</v>
      </c>
      <c r="C31" s="2863" t="s">
        <v>2928</v>
      </c>
      <c r="D31" s="2767"/>
      <c r="E31" s="2863"/>
      <c r="F31" s="2863"/>
      <c r="G31" s="2765" t="s">
        <v>2929</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2920</v>
      </c>
      <c r="D32" s="498" t="s">
        <v>2921</v>
      </c>
      <c r="E32" s="498" t="s">
        <v>2922</v>
      </c>
      <c r="F32" s="388" t="s">
        <v>2930</v>
      </c>
      <c r="G32" s="2866" t="s">
        <v>2920</v>
      </c>
      <c r="H32" s="2866" t="s">
        <v>2921</v>
      </c>
      <c r="I32" s="286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87" t="s">
        <v>2931</v>
      </c>
      <c r="B33" s="2867" t="s">
        <v>2932</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71" t="s">
        <v>2933</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71" t="s">
        <v>2934</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89"/>
      <c r="B36" s="2771" t="s">
        <v>2935</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2936</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2937</v>
      </c>
      <c r="M37" s="2871"/>
      <c r="N37" s="1373"/>
      <c r="O37" s="1373"/>
      <c r="P37" s="1373"/>
      <c r="Q37" s="1373"/>
      <c r="R37" s="1373"/>
      <c r="S37" s="1373"/>
      <c r="T37" s="1373"/>
      <c r="U37" s="1373"/>
      <c r="V37" s="1373"/>
      <c r="W37" s="1373"/>
      <c r="X37" s="1373"/>
      <c r="Y37" s="1373"/>
      <c r="Z37" s="1374"/>
    </row>
    <row r="38" spans="1:37">
      <c r="A38" s="2869"/>
      <c r="B38" s="2771" t="s">
        <v>2938</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2939</v>
      </c>
      <c r="M38" s="2872">
        <v>0.25</v>
      </c>
      <c r="N38" s="1373"/>
      <c r="O38" s="1373"/>
      <c r="P38" s="1373"/>
      <c r="Q38" s="1373"/>
      <c r="R38" s="1373"/>
      <c r="S38" s="1373"/>
      <c r="T38" s="1373"/>
      <c r="U38" s="1373"/>
      <c r="V38" s="1373"/>
      <c r="W38" s="1373"/>
      <c r="X38" s="1373"/>
      <c r="Y38" s="1373"/>
      <c r="Z38" s="1374"/>
    </row>
    <row r="39" spans="1:37" ht="13.5" thickBot="1">
      <c r="A39" s="2855"/>
      <c r="B39" s="2873" t="s">
        <v>2940</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2881</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3051</v>
      </c>
      <c r="C41" s="388" t="e">
        <f>ROUND(POWER(1+E41,H41-G41)*(POWER(1+E41,G41)-1)/(POWER(1+E41,H41)-1),4)</f>
        <v>#DIV/0!</v>
      </c>
      <c r="D41" s="200" t="s">
        <v>2889</v>
      </c>
      <c r="E41" s="2943">
        <f>G20</f>
        <v>0</v>
      </c>
      <c r="F41" s="200" t="s">
        <v>2899</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2941</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2942</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2943</v>
      </c>
      <c r="B47" s="1812" t="s">
        <v>2944</v>
      </c>
      <c r="C47" s="1812" t="s">
        <v>2945</v>
      </c>
      <c r="D47" s="1812" t="s">
        <v>2946</v>
      </c>
      <c r="E47" s="819" t="s">
        <v>2947</v>
      </c>
      <c r="F47" s="2885" t="s">
        <v>2948</v>
      </c>
      <c r="G47" s="1812" t="s">
        <v>754</v>
      </c>
      <c r="H47" s="2886"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4" t="s">
        <v>2951</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2952</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2953</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2954</v>
      </c>
      <c r="B51" s="2889" t="s">
        <v>2955</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2956</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2957</v>
      </c>
      <c r="B53" s="2890" t="s">
        <v>2958</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2959</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2960</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2961</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2962</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2943</v>
      </c>
      <c r="B58" s="1812"/>
      <c r="C58" s="1812" t="s">
        <v>2945</v>
      </c>
      <c r="D58" s="1812" t="s">
        <v>2946</v>
      </c>
      <c r="E58" s="819" t="s">
        <v>2947</v>
      </c>
      <c r="F58" s="2885" t="s">
        <v>2963</v>
      </c>
      <c r="G58" s="1812" t="s">
        <v>754</v>
      </c>
      <c r="H58" s="2886"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4" t="s">
        <v>2964</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2952</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2953</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2954</v>
      </c>
      <c r="B62" s="2889" t="s">
        <v>2955</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2956</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2957</v>
      </c>
      <c r="B64" s="2890" t="s">
        <v>2958</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2959</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2960</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2961</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2965</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2943</v>
      </c>
      <c r="B69" s="1812"/>
      <c r="C69" s="1812" t="s">
        <v>2945</v>
      </c>
      <c r="D69" s="1812" t="s">
        <v>2946</v>
      </c>
      <c r="E69" s="819" t="s">
        <v>2947</v>
      </c>
      <c r="F69" s="2885" t="s">
        <v>2963</v>
      </c>
      <c r="G69" s="1812" t="s">
        <v>754</v>
      </c>
      <c r="H69" s="2886"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4" t="s">
        <v>2966</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2952</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2953</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2967</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2959</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2960</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2957</v>
      </c>
      <c r="B76" s="2890" t="s">
        <v>2958</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2961</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2968</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2969</v>
      </c>
      <c r="B79" s="2881">
        <f>1+E81</f>
        <v>1</v>
      </c>
      <c r="C79" s="814"/>
      <c r="D79" s="814"/>
      <c r="E79" s="815"/>
      <c r="F79" s="2883"/>
      <c r="G79" s="6"/>
      <c r="H79" s="6"/>
      <c r="I79" s="6"/>
      <c r="J79" s="7"/>
      <c r="K79" s="7"/>
      <c r="L79" s="7"/>
      <c r="M79" s="7"/>
      <c r="N79" s="7"/>
      <c r="Z79" s="2726"/>
      <c r="AA79" s="2802"/>
      <c r="AG79" s="1375"/>
      <c r="AK79" s="2802"/>
    </row>
    <row r="80" spans="1:37" ht="24.75">
      <c r="A80" s="2884" t="s">
        <v>2943</v>
      </c>
      <c r="B80" s="1812"/>
      <c r="C80" s="1812" t="s">
        <v>2945</v>
      </c>
      <c r="D80" s="1812" t="s">
        <v>2946</v>
      </c>
      <c r="E80" s="819" t="s">
        <v>2947</v>
      </c>
      <c r="F80" s="2885" t="s">
        <v>2963</v>
      </c>
      <c r="G80" s="1812" t="s">
        <v>754</v>
      </c>
      <c r="H80" s="2886" t="s">
        <v>2949</v>
      </c>
      <c r="I80" s="1812" t="s">
        <v>2950</v>
      </c>
      <c r="J80" s="603" t="s">
        <v>2596</v>
      </c>
      <c r="K80" s="603" t="s">
        <v>2597</v>
      </c>
      <c r="L80" s="603" t="s">
        <v>2598</v>
      </c>
      <c r="M80" s="603" t="s">
        <v>2599</v>
      </c>
      <c r="N80" s="603" t="s">
        <v>2600</v>
      </c>
      <c r="Z80" s="2726"/>
      <c r="AA80" s="2802"/>
      <c r="AG80" s="1375"/>
      <c r="AK80" s="2802"/>
    </row>
    <row r="81" spans="1:37" ht="38.25">
      <c r="A81" s="2884" t="s">
        <v>2970</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2952</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2953</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2967</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2959</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2960</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2957</v>
      </c>
      <c r="B87" s="2890" t="s">
        <v>2971</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2972</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81" t="s">
        <v>2973</v>
      </c>
      <c r="B90" s="3281"/>
      <c r="C90" s="3281"/>
      <c r="D90" s="3281"/>
      <c r="E90" s="3281"/>
      <c r="F90" s="3281"/>
      <c r="G90" s="3281"/>
      <c r="H90" s="3281"/>
      <c r="I90" s="3281"/>
      <c r="J90" s="3281"/>
      <c r="K90" s="2898"/>
      <c r="L90" s="2898"/>
      <c r="M90" s="2898"/>
      <c r="N90" s="2898"/>
    </row>
    <row r="91" spans="1:37">
      <c r="A91" s="3283" t="s">
        <v>2974</v>
      </c>
      <c r="B91" s="3283" t="s">
        <v>2975</v>
      </c>
      <c r="C91" s="2852" t="s">
        <v>2976</v>
      </c>
      <c r="D91" s="2853"/>
      <c r="E91" s="2853"/>
      <c r="F91" s="2853"/>
      <c r="G91" s="2853"/>
      <c r="H91" s="2853"/>
      <c r="I91" s="2853"/>
      <c r="J91" s="2899"/>
      <c r="K91" s="2900"/>
      <c r="L91" s="2900"/>
      <c r="M91" s="2900"/>
      <c r="N91" s="2900"/>
    </row>
    <row r="92" spans="1:37">
      <c r="A92" s="3283"/>
      <c r="B92" s="328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4"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8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8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8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8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8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85"/>
      <c r="B99" s="2901" t="s">
        <v>2856</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8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84" t="s">
        <v>2978</v>
      </c>
      <c r="B101" s="2905" t="s">
        <v>2979</v>
      </c>
      <c r="C101" s="2906">
        <f>$G$3</f>
        <v>2.4900000000000002</v>
      </c>
      <c r="D101" s="2906">
        <f t="shared" ref="D101:N101" si="31">$G$3</f>
        <v>2.4900000000000002</v>
      </c>
      <c r="E101" s="2906">
        <f t="shared" si="31"/>
        <v>2.4900000000000002</v>
      </c>
      <c r="F101" s="2906">
        <f t="shared" si="31"/>
        <v>2.4900000000000002</v>
      </c>
      <c r="G101" s="2906">
        <f t="shared" si="31"/>
        <v>2.4900000000000002</v>
      </c>
      <c r="H101" s="2906">
        <f t="shared" si="31"/>
        <v>2.4900000000000002</v>
      </c>
      <c r="I101" s="2906">
        <f t="shared" si="31"/>
        <v>2.4900000000000002</v>
      </c>
      <c r="J101" s="2906">
        <f t="shared" si="31"/>
        <v>2.4900000000000002</v>
      </c>
      <c r="K101" s="2906">
        <f t="shared" si="31"/>
        <v>2.4900000000000002</v>
      </c>
      <c r="L101" s="2906">
        <f t="shared" si="31"/>
        <v>2.4900000000000002</v>
      </c>
      <c r="M101" s="2906">
        <f t="shared" si="31"/>
        <v>2.4900000000000002</v>
      </c>
      <c r="N101" s="2906">
        <f t="shared" si="31"/>
        <v>2.4900000000000002</v>
      </c>
    </row>
    <row r="102" spans="1:14">
      <c r="A102" s="3285"/>
      <c r="B102" s="2901">
        <v>1</v>
      </c>
      <c r="C102" s="2902">
        <f>1.9362/C101</f>
        <v>0.77759036144578308</v>
      </c>
      <c r="D102" s="2902">
        <f>1.9362/D101</f>
        <v>0.77759036144578308</v>
      </c>
      <c r="E102" s="2902">
        <f>1.8629/E101</f>
        <v>0.74815261044176695</v>
      </c>
      <c r="F102" s="2902">
        <f>1.8629/F101</f>
        <v>0.74815261044176695</v>
      </c>
      <c r="G102" s="2902">
        <f>1.8629/G101</f>
        <v>0.74815261044176695</v>
      </c>
      <c r="H102" s="2902">
        <f>1.8629/H101</f>
        <v>0.74815261044176695</v>
      </c>
      <c r="I102" s="2902">
        <f>1.8629/I101</f>
        <v>0.74815261044176695</v>
      </c>
      <c r="J102" s="2902">
        <f>1.942/J101</f>
        <v>0.77991967871485934</v>
      </c>
      <c r="K102" s="2902">
        <f>1.942/K101</f>
        <v>0.77991967871485934</v>
      </c>
      <c r="L102" s="2902">
        <f>1.942/L101</f>
        <v>0.77991967871485934</v>
      </c>
      <c r="M102" s="2902">
        <f>1.942/M101</f>
        <v>0.77991967871485934</v>
      </c>
      <c r="N102" s="2902">
        <f>1.942/N101</f>
        <v>0.77991967871485934</v>
      </c>
    </row>
    <row r="103" spans="1:14">
      <c r="A103" s="3285"/>
      <c r="B103" s="2901">
        <v>2</v>
      </c>
      <c r="C103" s="2902">
        <f>1.4198/C101</f>
        <v>0.57020080321285138</v>
      </c>
      <c r="D103" s="2902">
        <f>1.4198/D101</f>
        <v>0.57020080321285138</v>
      </c>
      <c r="E103" s="2902">
        <f>1.3372/E101</f>
        <v>0.53702811244979909</v>
      </c>
      <c r="F103" s="2902">
        <f>1.3372/F101</f>
        <v>0.53702811244979909</v>
      </c>
      <c r="G103" s="2902">
        <f>1.3372/G101</f>
        <v>0.53702811244979909</v>
      </c>
      <c r="H103" s="2902">
        <f>1.3372/H101</f>
        <v>0.53702811244979909</v>
      </c>
      <c r="I103" s="2902">
        <f>1.3372/I101</f>
        <v>0.53702811244979909</v>
      </c>
      <c r="J103" s="2902">
        <f>1.2799/J101</f>
        <v>0.51401606425702806</v>
      </c>
      <c r="K103" s="2902">
        <f>1.2799/K101</f>
        <v>0.51401606425702806</v>
      </c>
      <c r="L103" s="2902">
        <f>1.2799/L101</f>
        <v>0.51401606425702806</v>
      </c>
      <c r="M103" s="2902">
        <f>1.2799/M101</f>
        <v>0.51401606425702806</v>
      </c>
      <c r="N103" s="2902">
        <f>1.2799/N101</f>
        <v>0.51401606425702806</v>
      </c>
    </row>
    <row r="104" spans="1:14">
      <c r="A104" s="3285"/>
      <c r="B104" s="2901">
        <v>3</v>
      </c>
      <c r="C104" s="2902">
        <f>1.1594/C101</f>
        <v>0.46562248995983929</v>
      </c>
      <c r="D104" s="2902">
        <f>1.1594/D101</f>
        <v>0.46562248995983929</v>
      </c>
      <c r="E104" s="2902">
        <f>1.0788/E101</f>
        <v>0.43325301204819272</v>
      </c>
      <c r="F104" s="2902">
        <f>1.0788/F101</f>
        <v>0.43325301204819272</v>
      </c>
      <c r="G104" s="2902">
        <f>1.0788/G101</f>
        <v>0.43325301204819272</v>
      </c>
      <c r="H104" s="2902">
        <f>1.0788/H101</f>
        <v>0.43325301204819272</v>
      </c>
      <c r="I104" s="2902">
        <f>1.0788/I101</f>
        <v>0.43325301204819272</v>
      </c>
      <c r="J104" s="2902">
        <f>1.0072/J101</f>
        <v>0.40449799196787151</v>
      </c>
      <c r="K104" s="2902">
        <f>1.0072/K101</f>
        <v>0.40449799196787151</v>
      </c>
      <c r="L104" s="2902">
        <f>1.0072/L101</f>
        <v>0.40449799196787151</v>
      </c>
      <c r="M104" s="2902">
        <f>1.0072/M101</f>
        <v>0.40449799196787151</v>
      </c>
      <c r="N104" s="2902">
        <f>1.0072/N101</f>
        <v>0.40449799196787151</v>
      </c>
    </row>
    <row r="105" spans="1:14">
      <c r="A105" s="3285"/>
      <c r="B105" s="2901">
        <v>4</v>
      </c>
      <c r="C105" s="2902">
        <f>0.9622/C101</f>
        <v>0.38642570281124494</v>
      </c>
      <c r="D105" s="2902">
        <f>0.9622/D101</f>
        <v>0.38642570281124494</v>
      </c>
      <c r="E105" s="2902">
        <f>0.8656/E101</f>
        <v>0.34763052208835338</v>
      </c>
      <c r="F105" s="2902">
        <f>0.8656/F101</f>
        <v>0.34763052208835338</v>
      </c>
      <c r="G105" s="2902">
        <f>0.8656/G101</f>
        <v>0.34763052208835338</v>
      </c>
      <c r="H105" s="2902">
        <f>0.8656/H101</f>
        <v>0.34763052208835338</v>
      </c>
      <c r="I105" s="2902">
        <f>0.8656/I101</f>
        <v>0.34763052208835338</v>
      </c>
      <c r="J105" s="2902">
        <f>0.7525/J101</f>
        <v>0.30220883534136539</v>
      </c>
      <c r="K105" s="2902">
        <f>0.7525/K101</f>
        <v>0.30220883534136539</v>
      </c>
      <c r="L105" s="2902">
        <f>0.7525/L101</f>
        <v>0.30220883534136539</v>
      </c>
      <c r="M105" s="2902">
        <f>0.7525/M101</f>
        <v>0.30220883534136539</v>
      </c>
      <c r="N105" s="2902">
        <f>0.7525/N101</f>
        <v>0.30220883534136539</v>
      </c>
    </row>
    <row r="106" spans="1:14">
      <c r="A106" s="3285"/>
      <c r="B106" s="2901">
        <v>5</v>
      </c>
      <c r="C106" s="2902">
        <f>0.8417/C101</f>
        <v>0.33803212851405617</v>
      </c>
      <c r="D106" s="2902">
        <f>0.8417/D101</f>
        <v>0.33803212851405617</v>
      </c>
      <c r="E106" s="2902">
        <f>0.7371/E101</f>
        <v>0.29602409638554211</v>
      </c>
      <c r="F106" s="2902">
        <f>0.7371/F101</f>
        <v>0.29602409638554211</v>
      </c>
      <c r="G106" s="2902">
        <f>0.7371/G101</f>
        <v>0.29602409638554211</v>
      </c>
      <c r="H106" s="2902">
        <f>0.7371/H101</f>
        <v>0.29602409638554211</v>
      </c>
      <c r="I106" s="2902">
        <f>0.7371/I101</f>
        <v>0.29602409638554211</v>
      </c>
      <c r="J106" s="2902">
        <f>0.5659/J101</f>
        <v>0.22726907630522084</v>
      </c>
      <c r="K106" s="2902">
        <f>0.5659/K101</f>
        <v>0.22726907630522084</v>
      </c>
      <c r="L106" s="2902">
        <f>0.5659/L101</f>
        <v>0.22726907630522084</v>
      </c>
      <c r="M106" s="2902">
        <f>0.5659/M101</f>
        <v>0.22726907630522084</v>
      </c>
      <c r="N106" s="2902">
        <f>0.5659/N101</f>
        <v>0.22726907630522084</v>
      </c>
    </row>
    <row r="107" spans="1:14">
      <c r="A107" s="3285"/>
      <c r="B107" s="2901">
        <v>6</v>
      </c>
      <c r="C107" s="2902">
        <f>0.7608/C101</f>
        <v>0.3055421686746988</v>
      </c>
      <c r="D107" s="2902">
        <f>0.7608/D101</f>
        <v>0.3055421686746988</v>
      </c>
      <c r="E107" s="2902">
        <f>0.6482/E101</f>
        <v>0.26032128514056224</v>
      </c>
      <c r="F107" s="2902">
        <f>0.6482/F101</f>
        <v>0.26032128514056224</v>
      </c>
      <c r="G107" s="2902">
        <f>0.6482/G101</f>
        <v>0.26032128514056224</v>
      </c>
      <c r="H107" s="2902">
        <f>0.6482/H101</f>
        <v>0.26032128514056224</v>
      </c>
      <c r="I107" s="2902">
        <f>0.6482/I101</f>
        <v>0.26032128514056224</v>
      </c>
      <c r="J107" s="2902">
        <f>0.4525/J101</f>
        <v>0.18172690763052207</v>
      </c>
      <c r="K107" s="2902">
        <f>0.4525/K101</f>
        <v>0.18172690763052207</v>
      </c>
      <c r="L107" s="2902">
        <f>0.4525/L101</f>
        <v>0.18172690763052207</v>
      </c>
      <c r="M107" s="2902">
        <f>0.4525/M101</f>
        <v>0.18172690763052207</v>
      </c>
      <c r="N107" s="2902">
        <f>0.4525/N101</f>
        <v>0.18172690763052207</v>
      </c>
    </row>
    <row r="108" spans="1:14">
      <c r="A108" s="3285"/>
      <c r="B108" s="3141" t="s">
        <v>2980</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86"/>
      <c r="B109" s="3142"/>
      <c r="C109" s="2904">
        <f>(-0.163*(C108^2)-0.59*C108+7617)*(10^(-4))/C101</f>
        <v>0.30590361445783132</v>
      </c>
      <c r="D109" s="2904">
        <f>(-0.163*(D108^2)-0.59*D108+7617)*(10^(-4))/D101</f>
        <v>0.30590361445783132</v>
      </c>
      <c r="E109" s="2904">
        <f>(-0.161*(E108^2)-7.509*E108+6533)*(10^(-4))/E101</f>
        <v>0.26236947791164655</v>
      </c>
      <c r="F109" s="2904">
        <f>(-0.161*(F108^2)-7.509*F108+6533)*(10^(-4))/F101</f>
        <v>0.26236947791164655</v>
      </c>
      <c r="G109" s="2904">
        <f>(-0.161*(G108^2)-7.509*G108+6533)*(10^(-4))/G101</f>
        <v>0.26236947791164655</v>
      </c>
      <c r="H109" s="2904">
        <f>(-0.161*(H108^2)-7.509*H108+6533)*(10^(-4))/H101</f>
        <v>0.26236947791164655</v>
      </c>
      <c r="I109" s="2904">
        <f>(-0.161*(I108^2)-7.509*I108+6533)*(10^(-4))/I101</f>
        <v>0.26236947791164655</v>
      </c>
      <c r="J109" s="2904">
        <f>(-0.214*(J108^2)-21.991*J108+4665)*(10^(-4))/J101</f>
        <v>0.18734939759036143</v>
      </c>
      <c r="K109" s="2904">
        <f>(-0.214*(K108^2)-21.991*K108+4665)*(10^(-4))/K101</f>
        <v>0.18734939759036143</v>
      </c>
      <c r="L109" s="2904">
        <f>(-0.214*(L108^2)-21.991*L108+4665)*(10^(-4))/L101</f>
        <v>0.18734939759036143</v>
      </c>
      <c r="M109" s="2904">
        <f>(-0.214*(M108^2)-21.991*M108+4665)*(10^(-4))/M101</f>
        <v>0.18734939759036143</v>
      </c>
      <c r="N109" s="2904">
        <f>(-0.214*(N108^2)-21.991*N108+4665)*(10^(-4))/N101</f>
        <v>0.18734939759036143</v>
      </c>
    </row>
    <row r="110" spans="1:14">
      <c r="A110" s="3282" t="s">
        <v>2981</v>
      </c>
      <c r="B110" s="3282"/>
      <c r="C110" s="3282"/>
      <c r="D110" s="3282"/>
      <c r="E110" s="3282"/>
      <c r="F110" s="3282"/>
      <c r="G110" s="3282"/>
      <c r="H110" s="3282"/>
      <c r="I110" s="3282"/>
      <c r="J110" s="3282"/>
      <c r="K110" s="2907"/>
      <c r="L110" s="2907"/>
      <c r="M110" s="2907"/>
      <c r="N110" s="2907"/>
    </row>
    <row r="112" spans="1:14" ht="13.5" thickBot="1"/>
    <row r="113" spans="1:13" ht="25.5" thickBot="1">
      <c r="A113" s="903" t="s">
        <v>2982</v>
      </c>
      <c r="B113" s="1290">
        <f>G3</f>
        <v>2.4900000000000002</v>
      </c>
      <c r="C113" s="904" t="s">
        <v>2983</v>
      </c>
      <c r="D113" s="905">
        <f>SUMPRODUCT((A115:A118=F113)*(B114:M114=H113)*B115:M118)</f>
        <v>0</v>
      </c>
      <c r="E113" s="2730" t="s">
        <v>2813</v>
      </c>
      <c r="F113" s="2909">
        <f>E2</f>
        <v>0</v>
      </c>
      <c r="G113" s="2730" t="s">
        <v>2814</v>
      </c>
      <c r="H113" s="2909">
        <f>G2</f>
        <v>0</v>
      </c>
      <c r="I113" s="2730"/>
      <c r="J113" s="2910"/>
      <c r="K113" s="2910"/>
      <c r="L113" s="2910"/>
      <c r="M113" s="2910"/>
    </row>
    <row r="114" spans="1:13">
      <c r="A114" s="908"/>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09" t="s">
        <v>2878</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2879</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2880</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0" t="s">
        <v>614</v>
      </c>
      <c r="C61" s="818" t="s">
        <v>615</v>
      </c>
      <c r="D61" s="818" t="s">
        <v>616</v>
      </c>
      <c r="E61" s="895">
        <v>0.5</v>
      </c>
      <c r="F61" s="882">
        <v>80</v>
      </c>
    </row>
    <row r="62" spans="1:8" s="878" customFormat="1" ht="24">
      <c r="A62" s="882">
        <v>2</v>
      </c>
      <c r="B62" s="3290"/>
      <c r="C62" s="818" t="s">
        <v>617</v>
      </c>
      <c r="D62" s="818" t="s">
        <v>618</v>
      </c>
      <c r="E62" s="895">
        <v>0.5</v>
      </c>
      <c r="F62" s="882">
        <v>80</v>
      </c>
    </row>
    <row r="63" spans="1:8" s="878" customFormat="1" ht="36">
      <c r="A63" s="882">
        <v>3</v>
      </c>
      <c r="B63" s="3290"/>
      <c r="C63" s="818" t="s">
        <v>619</v>
      </c>
      <c r="D63" s="818" t="s">
        <v>620</v>
      </c>
      <c r="E63" s="895">
        <v>0.5</v>
      </c>
      <c r="F63" s="882">
        <v>80</v>
      </c>
    </row>
    <row r="64" spans="1:8" s="878" customFormat="1" ht="36">
      <c r="A64" s="882">
        <v>4</v>
      </c>
      <c r="B64" s="3290"/>
      <c r="C64" s="818" t="s">
        <v>621</v>
      </c>
      <c r="D64" s="818" t="s">
        <v>622</v>
      </c>
      <c r="E64" s="895">
        <v>0.4</v>
      </c>
      <c r="F64" s="882">
        <v>60</v>
      </c>
    </row>
    <row r="65" spans="1:6" s="878" customFormat="1" ht="36">
      <c r="A65" s="882">
        <v>5</v>
      </c>
      <c r="B65" s="3290"/>
      <c r="C65" s="818" t="s">
        <v>623</v>
      </c>
      <c r="D65" s="818" t="s">
        <v>624</v>
      </c>
      <c r="E65" s="895">
        <v>0.2</v>
      </c>
      <c r="F65" s="882">
        <v>30</v>
      </c>
    </row>
    <row r="66" spans="1:6" s="878" customFormat="1" ht="36">
      <c r="A66" s="882">
        <v>6</v>
      </c>
      <c r="B66" s="3290"/>
      <c r="C66" s="818" t="s">
        <v>625</v>
      </c>
      <c r="D66" s="818" t="s">
        <v>626</v>
      </c>
      <c r="E66" s="895">
        <v>0.3</v>
      </c>
      <c r="F66" s="882">
        <v>50</v>
      </c>
    </row>
    <row r="67" spans="1:6" s="878" customFormat="1" ht="36">
      <c r="A67" s="882">
        <v>7</v>
      </c>
      <c r="B67" s="3290"/>
      <c r="C67" s="818" t="s">
        <v>627</v>
      </c>
      <c r="D67" s="818" t="s">
        <v>628</v>
      </c>
      <c r="E67" s="895">
        <v>0.2</v>
      </c>
      <c r="F67" s="882">
        <v>30</v>
      </c>
    </row>
    <row r="68" spans="1:6" s="878" customFormat="1" ht="36">
      <c r="A68" s="882">
        <v>8</v>
      </c>
      <c r="B68" s="3290"/>
      <c r="C68" s="818" t="s">
        <v>629</v>
      </c>
      <c r="D68" s="818" t="s">
        <v>630</v>
      </c>
      <c r="E68" s="895">
        <v>0.2</v>
      </c>
      <c r="F68" s="882">
        <v>30</v>
      </c>
    </row>
    <row r="69" spans="1:6" s="878" customFormat="1" ht="36">
      <c r="A69" s="882">
        <v>9</v>
      </c>
      <c r="B69" s="3290"/>
      <c r="C69" s="818" t="s">
        <v>631</v>
      </c>
      <c r="D69" s="818" t="s">
        <v>632</v>
      </c>
      <c r="E69" s="895">
        <v>0.2</v>
      </c>
      <c r="F69" s="882">
        <v>30</v>
      </c>
    </row>
    <row r="70" spans="1:6" s="878" customFormat="1" ht="48">
      <c r="A70" s="882">
        <v>10</v>
      </c>
      <c r="B70" s="3290"/>
      <c r="C70" s="818" t="s">
        <v>633</v>
      </c>
      <c r="D70" s="818" t="s">
        <v>634</v>
      </c>
      <c r="E70" s="895">
        <v>0.2</v>
      </c>
      <c r="F70" s="882">
        <v>30</v>
      </c>
    </row>
    <row r="71" spans="1:6" s="878" customFormat="1" ht="48">
      <c r="A71" s="882">
        <v>11</v>
      </c>
      <c r="B71" s="3290"/>
      <c r="C71" s="818" t="s">
        <v>635</v>
      </c>
      <c r="D71" s="818" t="s">
        <v>636</v>
      </c>
      <c r="E71" s="895">
        <v>0.2</v>
      </c>
      <c r="F71" s="882">
        <v>30</v>
      </c>
    </row>
    <row r="72" spans="1:6" s="878" customFormat="1" ht="36">
      <c r="A72" s="882">
        <v>12</v>
      </c>
      <c r="B72" s="3290"/>
      <c r="C72" s="818" t="s">
        <v>637</v>
      </c>
      <c r="D72" s="818" t="s">
        <v>638</v>
      </c>
      <c r="E72" s="895">
        <v>0.5</v>
      </c>
      <c r="F72" s="882">
        <v>80</v>
      </c>
    </row>
    <row r="73" spans="1:6" s="878" customFormat="1" ht="24">
      <c r="A73" s="882">
        <v>13</v>
      </c>
      <c r="B73" s="3290"/>
      <c r="C73" s="818" t="s">
        <v>639</v>
      </c>
      <c r="D73" s="818" t="s">
        <v>640</v>
      </c>
      <c r="E73" s="895">
        <v>0.4</v>
      </c>
      <c r="F73" s="882">
        <v>60</v>
      </c>
    </row>
    <row r="74" spans="1:6" s="878" customFormat="1" ht="24">
      <c r="A74" s="882">
        <v>14</v>
      </c>
      <c r="B74" s="3290"/>
      <c r="C74" s="818" t="s">
        <v>641</v>
      </c>
      <c r="D74" s="818" t="s">
        <v>642</v>
      </c>
      <c r="E74" s="895">
        <v>0.2</v>
      </c>
      <c r="F74" s="882">
        <v>30</v>
      </c>
    </row>
    <row r="75" spans="1:6" s="878" customFormat="1" ht="24">
      <c r="A75" s="882">
        <v>15</v>
      </c>
      <c r="B75" s="3290"/>
      <c r="C75" s="818" t="s">
        <v>643</v>
      </c>
      <c r="D75" s="818" t="s">
        <v>644</v>
      </c>
      <c r="E75" s="895">
        <v>0.2</v>
      </c>
      <c r="F75" s="882">
        <v>30</v>
      </c>
    </row>
    <row r="76" spans="1:6" s="878" customFormat="1" ht="24">
      <c r="A76" s="882">
        <v>16</v>
      </c>
      <c r="B76" s="3290" t="s">
        <v>645</v>
      </c>
      <c r="C76" s="818" t="s">
        <v>646</v>
      </c>
      <c r="D76" s="818" t="s">
        <v>647</v>
      </c>
      <c r="E76" s="895">
        <v>0.5</v>
      </c>
      <c r="F76" s="882">
        <v>80</v>
      </c>
    </row>
    <row r="77" spans="1:6" s="878" customFormat="1" ht="24">
      <c r="A77" s="882">
        <v>17</v>
      </c>
      <c r="B77" s="3290"/>
      <c r="C77" s="818" t="s">
        <v>648</v>
      </c>
      <c r="D77" s="818" t="s">
        <v>649</v>
      </c>
      <c r="E77" s="895">
        <v>0.5</v>
      </c>
      <c r="F77" s="882">
        <v>80</v>
      </c>
    </row>
    <row r="78" spans="1:6" s="878" customFormat="1" ht="24">
      <c r="A78" s="882">
        <v>18</v>
      </c>
      <c r="B78" s="3290"/>
      <c r="C78" s="818" t="s">
        <v>650</v>
      </c>
      <c r="D78" s="818" t="s">
        <v>651</v>
      </c>
      <c r="E78" s="895">
        <v>0.2</v>
      </c>
      <c r="F78" s="882">
        <v>30</v>
      </c>
    </row>
    <row r="79" spans="1:6" s="878" customFormat="1" ht="24">
      <c r="A79" s="882">
        <v>19</v>
      </c>
      <c r="B79" s="3290"/>
      <c r="C79" s="818" t="s">
        <v>652</v>
      </c>
      <c r="D79" s="818" t="s">
        <v>653</v>
      </c>
      <c r="E79" s="895">
        <v>0.5</v>
      </c>
      <c r="F79" s="882">
        <v>80</v>
      </c>
    </row>
    <row r="80" spans="1:6" s="878" customFormat="1" ht="36">
      <c r="A80" s="882">
        <v>20</v>
      </c>
      <c r="B80" s="3290"/>
      <c r="C80" s="818" t="s">
        <v>654</v>
      </c>
      <c r="D80" s="818" t="s">
        <v>655</v>
      </c>
      <c r="E80" s="895">
        <v>0.2</v>
      </c>
      <c r="F80" s="882">
        <v>30</v>
      </c>
    </row>
    <row r="81" spans="1:6" s="878" customFormat="1" ht="36">
      <c r="A81" s="882">
        <v>21</v>
      </c>
      <c r="B81" s="3290"/>
      <c r="C81" s="818" t="s">
        <v>656</v>
      </c>
      <c r="D81" s="818" t="s">
        <v>657</v>
      </c>
      <c r="E81" s="895">
        <v>0.2</v>
      </c>
      <c r="F81" s="882">
        <v>30</v>
      </c>
    </row>
    <row r="82" spans="1:6" s="878" customFormat="1" ht="48">
      <c r="A82" s="882">
        <v>22</v>
      </c>
      <c r="B82" s="3290"/>
      <c r="C82" s="818" t="s">
        <v>658</v>
      </c>
      <c r="D82" s="818" t="s">
        <v>659</v>
      </c>
      <c r="E82" s="895">
        <v>0.2</v>
      </c>
      <c r="F82" s="882">
        <v>30</v>
      </c>
    </row>
    <row r="83" spans="1:6" s="878" customFormat="1" ht="48">
      <c r="A83" s="882">
        <v>23</v>
      </c>
      <c r="B83" s="3290"/>
      <c r="C83" s="818" t="s">
        <v>660</v>
      </c>
      <c r="D83" s="818" t="s">
        <v>661</v>
      </c>
      <c r="E83" s="895">
        <v>0.2</v>
      </c>
      <c r="F83" s="882">
        <v>30</v>
      </c>
    </row>
    <row r="84" spans="1:6" s="878" customFormat="1" ht="36">
      <c r="A84" s="882">
        <v>24</v>
      </c>
      <c r="B84" s="3290"/>
      <c r="C84" s="818" t="s">
        <v>662</v>
      </c>
      <c r="D84" s="818" t="s">
        <v>663</v>
      </c>
      <c r="E84" s="895">
        <v>0.2</v>
      </c>
      <c r="F84" s="882">
        <v>30</v>
      </c>
    </row>
    <row r="85" spans="1:6" s="878" customFormat="1" ht="36">
      <c r="A85" s="882">
        <v>25</v>
      </c>
      <c r="B85" s="3290"/>
      <c r="C85" s="818" t="s">
        <v>664</v>
      </c>
      <c r="D85" s="818" t="s">
        <v>665</v>
      </c>
      <c r="E85" s="895">
        <v>0.5</v>
      </c>
      <c r="F85" s="882">
        <v>80</v>
      </c>
    </row>
    <row r="86" spans="1:6" s="878" customFormat="1" ht="36">
      <c r="A86" s="882">
        <v>26</v>
      </c>
      <c r="B86" s="3290"/>
      <c r="C86" s="818" t="s">
        <v>666</v>
      </c>
      <c r="D86" s="818" t="s">
        <v>667</v>
      </c>
      <c r="E86" s="895">
        <v>0.2</v>
      </c>
      <c r="F86" s="882">
        <v>30</v>
      </c>
    </row>
    <row r="87" spans="1:6" s="878" customFormat="1" ht="36">
      <c r="A87" s="882">
        <v>27</v>
      </c>
      <c r="B87" s="3290"/>
      <c r="C87" s="818" t="s">
        <v>668</v>
      </c>
      <c r="D87" s="818" t="s">
        <v>669</v>
      </c>
      <c r="E87" s="895">
        <v>0.2</v>
      </c>
      <c r="F87" s="882">
        <v>30</v>
      </c>
    </row>
    <row r="88" spans="1:6" s="878" customFormat="1" ht="36">
      <c r="A88" s="882">
        <v>28</v>
      </c>
      <c r="B88" s="3290"/>
      <c r="C88" s="818" t="s">
        <v>670</v>
      </c>
      <c r="D88" s="818" t="s">
        <v>671</v>
      </c>
      <c r="E88" s="895">
        <v>0.2</v>
      </c>
      <c r="F88" s="882">
        <v>30</v>
      </c>
    </row>
    <row r="89" spans="1:6" s="878" customFormat="1" ht="24">
      <c r="A89" s="882">
        <v>29</v>
      </c>
      <c r="B89" s="3290"/>
      <c r="C89" s="818" t="s">
        <v>672</v>
      </c>
      <c r="D89" s="818" t="s">
        <v>673</v>
      </c>
      <c r="E89" s="895">
        <v>0.2</v>
      </c>
      <c r="F89" s="882">
        <v>30</v>
      </c>
    </row>
    <row r="90" spans="1:6" s="878" customFormat="1" ht="24">
      <c r="A90" s="882">
        <v>30</v>
      </c>
      <c r="B90" s="3290"/>
      <c r="C90" s="818" t="s">
        <v>674</v>
      </c>
      <c r="D90" s="818" t="s">
        <v>675</v>
      </c>
      <c r="E90" s="895">
        <v>0.2</v>
      </c>
      <c r="F90" s="882">
        <v>30</v>
      </c>
    </row>
    <row r="91" spans="1:6" s="878" customFormat="1" ht="36">
      <c r="A91" s="882">
        <v>31</v>
      </c>
      <c r="B91" s="3290"/>
      <c r="C91" s="818" t="s">
        <v>676</v>
      </c>
      <c r="D91" s="818" t="s">
        <v>677</v>
      </c>
      <c r="E91" s="895">
        <v>0.2</v>
      </c>
      <c r="F91" s="882">
        <v>30</v>
      </c>
    </row>
    <row r="92" spans="1:6" s="878" customFormat="1" ht="24">
      <c r="A92" s="882">
        <v>32</v>
      </c>
      <c r="B92" s="3290" t="s">
        <v>678</v>
      </c>
      <c r="C92" s="882" t="s">
        <v>679</v>
      </c>
      <c r="D92" s="818" t="s">
        <v>680</v>
      </c>
      <c r="E92" s="895">
        <v>0.2</v>
      </c>
      <c r="F92" s="882">
        <v>30</v>
      </c>
    </row>
    <row r="93" spans="1:6" s="878" customFormat="1" ht="36">
      <c r="A93" s="882">
        <v>33</v>
      </c>
      <c r="B93" s="3290"/>
      <c r="C93" s="882" t="s">
        <v>681</v>
      </c>
      <c r="D93" s="818" t="s">
        <v>682</v>
      </c>
      <c r="E93" s="895">
        <v>0.2</v>
      </c>
      <c r="F93" s="882">
        <v>30</v>
      </c>
    </row>
    <row r="94" spans="1:6" s="878" customFormat="1" ht="48">
      <c r="A94" s="882">
        <v>34</v>
      </c>
      <c r="B94" s="3290"/>
      <c r="C94" s="882" t="s">
        <v>683</v>
      </c>
      <c r="D94" s="818" t="s">
        <v>684</v>
      </c>
      <c r="E94" s="895">
        <v>0.2</v>
      </c>
      <c r="F94" s="882">
        <v>30</v>
      </c>
    </row>
    <row r="95" spans="1:6" s="878" customFormat="1" ht="36">
      <c r="A95" s="882">
        <v>35</v>
      </c>
      <c r="B95" s="3290"/>
      <c r="C95" s="882" t="s">
        <v>685</v>
      </c>
      <c r="D95" s="818" t="s">
        <v>686</v>
      </c>
      <c r="E95" s="895">
        <v>0.2</v>
      </c>
      <c r="F95" s="882">
        <v>30</v>
      </c>
    </row>
    <row r="96" spans="1:6" s="878" customFormat="1" ht="48">
      <c r="A96" s="882">
        <v>36</v>
      </c>
      <c r="B96" s="3290"/>
      <c r="C96" s="818" t="s">
        <v>687</v>
      </c>
      <c r="D96" s="818" t="s">
        <v>688</v>
      </c>
      <c r="E96" s="895">
        <v>0.2</v>
      </c>
      <c r="F96" s="882">
        <v>30</v>
      </c>
    </row>
    <row r="97" spans="1:6" s="878" customFormat="1" ht="36">
      <c r="A97" s="882">
        <v>37</v>
      </c>
      <c r="B97" s="3290"/>
      <c r="C97" s="882" t="s">
        <v>689</v>
      </c>
      <c r="D97" s="818" t="s">
        <v>690</v>
      </c>
      <c r="E97" s="895">
        <v>0.2</v>
      </c>
      <c r="F97" s="882">
        <v>30</v>
      </c>
    </row>
    <row r="98" spans="1:6" s="878" customFormat="1" ht="36">
      <c r="A98" s="882">
        <v>38</v>
      </c>
      <c r="B98" s="3290"/>
      <c r="C98" s="882" t="s">
        <v>691</v>
      </c>
      <c r="D98" s="818" t="s">
        <v>692</v>
      </c>
      <c r="E98" s="895">
        <v>0.2</v>
      </c>
      <c r="F98" s="882">
        <v>30</v>
      </c>
    </row>
    <row r="99" spans="1:6" s="878" customFormat="1" ht="36">
      <c r="A99" s="882">
        <v>39</v>
      </c>
      <c r="B99" s="3290" t="s">
        <v>693</v>
      </c>
      <c r="C99" s="882" t="s">
        <v>694</v>
      </c>
      <c r="D99" s="818" t="s">
        <v>695</v>
      </c>
      <c r="E99" s="895">
        <v>0.3</v>
      </c>
      <c r="F99" s="882">
        <v>50</v>
      </c>
    </row>
    <row r="100" spans="1:6" s="878" customFormat="1" ht="24">
      <c r="A100" s="882">
        <v>40</v>
      </c>
      <c r="B100" s="3290"/>
      <c r="C100" s="882" t="s">
        <v>696</v>
      </c>
      <c r="D100" s="818" t="s">
        <v>697</v>
      </c>
      <c r="E100" s="895">
        <v>0.2</v>
      </c>
      <c r="F100" s="882">
        <v>30</v>
      </c>
    </row>
    <row r="101" spans="1:6" s="878" customFormat="1" ht="36">
      <c r="A101" s="882">
        <v>41</v>
      </c>
      <c r="B101" s="32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0" t="s">
        <v>708</v>
      </c>
      <c r="C105" s="882" t="s">
        <v>709</v>
      </c>
      <c r="D105" s="818" t="s">
        <v>710</v>
      </c>
      <c r="E105" s="895">
        <v>0.2</v>
      </c>
      <c r="F105" s="882">
        <v>30</v>
      </c>
    </row>
    <row r="106" spans="1:6" s="878" customFormat="1" ht="36">
      <c r="A106" s="882">
        <v>46</v>
      </c>
      <c r="B106" s="3290"/>
      <c r="C106" s="882" t="s">
        <v>711</v>
      </c>
      <c r="D106" s="818" t="s">
        <v>712</v>
      </c>
      <c r="E106" s="895">
        <v>0.2</v>
      </c>
      <c r="F106" s="882">
        <v>30</v>
      </c>
    </row>
    <row r="107" spans="1:6" s="878" customFormat="1" ht="36">
      <c r="A107" s="882">
        <v>47</v>
      </c>
      <c r="B107" s="3290" t="s">
        <v>713</v>
      </c>
      <c r="C107" s="882" t="s">
        <v>714</v>
      </c>
      <c r="D107" s="818" t="s">
        <v>715</v>
      </c>
      <c r="E107" s="895">
        <v>0.3</v>
      </c>
      <c r="F107" s="882">
        <v>50</v>
      </c>
    </row>
    <row r="108" spans="1:6" s="878" customFormat="1" ht="36">
      <c r="A108" s="882">
        <v>48</v>
      </c>
      <c r="B108" s="32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0" t="s">
        <v>724</v>
      </c>
      <c r="C111" s="882" t="s">
        <v>725</v>
      </c>
      <c r="D111" s="818" t="s">
        <v>726</v>
      </c>
      <c r="E111" s="895">
        <v>0.2</v>
      </c>
      <c r="F111" s="882">
        <v>30</v>
      </c>
    </row>
    <row r="112" spans="1:6" s="878" customFormat="1" ht="24">
      <c r="A112" s="882">
        <v>52</v>
      </c>
      <c r="B112" s="3290"/>
      <c r="C112" s="882" t="s">
        <v>727</v>
      </c>
      <c r="D112" s="818" t="s">
        <v>728</v>
      </c>
      <c r="E112" s="895">
        <v>0.2</v>
      </c>
      <c r="F112" s="882">
        <v>30</v>
      </c>
    </row>
    <row r="113" spans="1:6" s="878" customFormat="1" ht="24">
      <c r="A113" s="882">
        <v>53</v>
      </c>
      <c r="B113" s="32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0" t="s">
        <v>737</v>
      </c>
      <c r="C116" s="882" t="s">
        <v>738</v>
      </c>
      <c r="D116" s="818" t="s">
        <v>739</v>
      </c>
      <c r="E116" s="895">
        <v>0.2</v>
      </c>
      <c r="F116" s="882">
        <v>30</v>
      </c>
    </row>
    <row r="117" spans="1:6" ht="36">
      <c r="A117" s="882">
        <v>57</v>
      </c>
      <c r="B117" s="32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9" sqref="C19"/>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3004</v>
      </c>
    </row>
    <row r="2" spans="1:5" ht="15.75">
      <c r="A2" s="2916" t="s">
        <v>2996</v>
      </c>
      <c r="B2" s="2917" t="e">
        <f ca="1">SUMIF(B6:B13,"&lt;&gt;#ref!",B6:B13)</f>
        <v>#DIV/0!</v>
      </c>
      <c r="C2" s="2916" t="s">
        <v>2997</v>
      </c>
      <c r="D2" s="2916" t="s">
        <v>2998</v>
      </c>
      <c r="E2" s="2917">
        <f ca="1">SUMIF(E6:E13,"&lt;&gt;#ref!",E6:E13)</f>
        <v>0</v>
      </c>
    </row>
    <row r="3" spans="1:5" ht="15.75">
      <c r="A3" s="2916" t="s">
        <v>2999</v>
      </c>
      <c r="B3" s="2917" t="e">
        <f ca="1">ROUND(B2*10000/E2,0)</f>
        <v>#DIV/0!</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t="e">
        <f ca="1">SUMIF(INDIRECT("'"&amp;A6&amp;"'"&amp;"!A:A"),"总价",INDIRECT("'"&amp;A6&amp;"'"&amp;"!B:B"))</f>
        <v>#DIV/0!</v>
      </c>
      <c r="C6" s="2916" t="s">
        <v>2997</v>
      </c>
      <c r="D6" s="2918"/>
      <c r="E6" s="2581">
        <f ca="1">SUMIF(INDIRECT("'"&amp;A6&amp;"'"&amp;"!C:C"),"建筑面积",INDIRECT("'"&amp;A6&amp;"'"&amp;"!D:D"))</f>
        <v>0</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19" sqref="C19"/>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6" t="s">
        <v>1146</v>
      </c>
      <c r="C1" s="3296"/>
      <c r="D1" s="3296"/>
      <c r="E1" s="3296"/>
      <c r="F1" s="3296"/>
      <c r="G1" s="3295" t="s">
        <v>1147</v>
      </c>
      <c r="H1" s="3295"/>
      <c r="I1" s="3295"/>
      <c r="J1" s="3295"/>
      <c r="K1" s="3295"/>
      <c r="L1" s="3295"/>
      <c r="N1" s="3295" t="s">
        <v>1148</v>
      </c>
      <c r="O1" s="3295"/>
      <c r="P1" s="3295"/>
      <c r="Q1" s="3295"/>
      <c r="R1" s="1449"/>
      <c r="S1" s="3295" t="s">
        <v>1149</v>
      </c>
      <c r="T1" s="3295"/>
      <c r="U1" s="3295"/>
      <c r="V1" s="3295"/>
      <c r="X1" s="3294" t="s">
        <v>1150</v>
      </c>
      <c r="Y1" s="3295"/>
      <c r="Z1" s="3295"/>
      <c r="AA1" s="3295"/>
      <c r="AB1" s="3295"/>
      <c r="AD1" s="3294" t="s">
        <v>1151</v>
      </c>
      <c r="AE1" s="3295"/>
      <c r="AF1" s="3295"/>
      <c r="AG1" s="3295"/>
      <c r="AH1" s="329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3039</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3040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92">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9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9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0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3035</v>
      </c>
      <c r="B10" s="1472">
        <v>439</v>
      </c>
      <c r="C10" s="1472">
        <v>327</v>
      </c>
      <c r="D10" s="1472">
        <f>C10</f>
        <v>327</v>
      </c>
      <c r="E10" s="1472">
        <v>627</v>
      </c>
      <c r="F10" s="1473">
        <v>283</v>
      </c>
      <c r="G10" s="329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9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9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0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9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9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9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9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9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9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9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9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9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9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9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9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9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0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9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9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9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9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9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9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9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9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9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9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9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9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9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9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9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9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9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9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9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9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9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9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9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9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9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9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9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9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9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9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9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9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9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9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9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9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9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9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9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9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9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9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9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9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4"/>
      <c r="B4" s="2984" t="s">
        <v>1626</v>
      </c>
      <c r="C4" s="2984"/>
      <c r="D4" s="2984"/>
      <c r="E4" s="1964"/>
    </row>
    <row r="5" spans="1:5" ht="16.5" thickTop="1">
      <c r="A5" s="1962"/>
      <c r="B5" s="2982" t="s">
        <v>1618</v>
      </c>
      <c r="C5" s="1965" t="s">
        <v>1619</v>
      </c>
      <c r="D5" s="1043">
        <f ca="1">结果表!H101</f>
        <v>207</v>
      </c>
      <c r="E5" s="1962"/>
    </row>
    <row r="6" spans="1:5" ht="15.75">
      <c r="A6" s="1962"/>
      <c r="B6" s="2982"/>
      <c r="C6" s="1965" t="s">
        <v>1620</v>
      </c>
      <c r="D6" s="1043" t="str">
        <f ca="1">NUMBERSTRING(INT(D5*10000),2)&amp;"元整"</f>
        <v>贰佰零柒万元整</v>
      </c>
      <c r="E6" s="1962"/>
    </row>
    <row r="7" spans="1:5" ht="15.75">
      <c r="A7" s="1962"/>
      <c r="B7" s="2987"/>
      <c r="C7" s="1966" t="s">
        <v>1621</v>
      </c>
      <c r="D7" s="1044">
        <f ca="1">结果表!H102</f>
        <v>2697</v>
      </c>
      <c r="E7" s="1962"/>
    </row>
    <row r="8" spans="1:5" ht="15.75">
      <c r="A8" s="1962"/>
      <c r="B8" s="2988" t="str">
        <f>结果表!E103</f>
        <v>2.估价师知悉的法定优先受偿款</v>
      </c>
      <c r="C8" s="1967" t="s">
        <v>1622</v>
      </c>
      <c r="D8" s="1044">
        <f>结果表!H103</f>
        <v>0</v>
      </c>
      <c r="E8" s="1962"/>
    </row>
    <row r="9" spans="1:5" ht="15.75">
      <c r="A9" s="1962"/>
      <c r="B9" s="299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81" t="str">
        <f>结果表!E107</f>
        <v>3.房地产抵押价值</v>
      </c>
      <c r="C13" s="1970" t="s">
        <v>1619</v>
      </c>
      <c r="D13" s="1046">
        <f ca="1">结果表!H107</f>
        <v>207</v>
      </c>
      <c r="E13" s="1962"/>
    </row>
    <row r="14" spans="1:5" ht="15.75">
      <c r="A14" s="1962"/>
      <c r="B14" s="2982"/>
      <c r="C14" s="1965" t="s">
        <v>1620</v>
      </c>
      <c r="D14" s="1043" t="str">
        <f ca="1">NUMBERSTRING(INT(D13*10000),2)&amp;"元整"</f>
        <v>贰佰零柒万元整</v>
      </c>
      <c r="E14" s="1962"/>
    </row>
    <row r="15" spans="1:5" ht="15">
      <c r="A15" s="1962"/>
      <c r="B15" s="2987"/>
      <c r="C15" s="1966" t="s">
        <v>1630</v>
      </c>
      <c r="D15" s="1055">
        <f ca="1">结果表!H108</f>
        <v>2121</v>
      </c>
      <c r="E15" s="1962"/>
    </row>
    <row r="16" spans="1:5" ht="15">
      <c r="A16" s="1962"/>
      <c r="B16" s="2988" t="str">
        <f>结果表!E109</f>
        <v>——</v>
      </c>
      <c r="C16" s="1970" t="s">
        <v>1631</v>
      </c>
      <c r="D16" s="1971" t="str">
        <f>结果表!H109</f>
        <v>——</v>
      </c>
      <c r="E16" s="1962"/>
    </row>
    <row r="17" spans="1:5" ht="15.75">
      <c r="A17" s="1962"/>
      <c r="B17" s="2989"/>
      <c r="C17" s="1965" t="s">
        <v>1632</v>
      </c>
      <c r="D17" s="1043" t="e">
        <f>NUMBERSTRING(INT(D16*10000),2)&amp;"元整"</f>
        <v>#VALUE!</v>
      </c>
      <c r="E17" s="1962"/>
    </row>
    <row r="18" spans="1:5" ht="15">
      <c r="A18" s="1962"/>
      <c r="B18" s="2990"/>
      <c r="C18" s="1966" t="s">
        <v>1621</v>
      </c>
      <c r="D18" s="1055" t="str">
        <f>结果表!H110</f>
        <v>——</v>
      </c>
      <c r="E18" s="1962"/>
    </row>
    <row r="19" spans="1:5" ht="15.75">
      <c r="A19" s="1962"/>
      <c r="B19" s="2981" t="str">
        <f>结果表!E111</f>
        <v>——</v>
      </c>
      <c r="C19" s="1970" t="s">
        <v>1619</v>
      </c>
      <c r="D19" s="1044" t="str">
        <f>结果表!H111</f>
        <v>——</v>
      </c>
      <c r="E19" s="1962"/>
    </row>
    <row r="20" spans="1:5" ht="15.75">
      <c r="A20" s="1962"/>
      <c r="B20" s="2982"/>
      <c r="C20" s="1965" t="s">
        <v>1632</v>
      </c>
      <c r="D20" s="1043" t="e">
        <f>NUMBERSTRING(INT(D19*10000),2)&amp;"元整"</f>
        <v>#VALUE!</v>
      </c>
      <c r="E20" s="1962"/>
    </row>
    <row r="21" spans="1:5" ht="15.75" thickBot="1">
      <c r="A21" s="1962"/>
      <c r="B21" s="298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A22" workbookViewId="0">
      <selection activeCell="A27" sqref="A27"/>
    </sheetView>
  </sheetViews>
  <sheetFormatPr defaultRowHeight="13.5"/>
  <cols>
    <col min="1" max="1" width="25.5" customWidth="1"/>
    <col min="8" max="8" width="11.625" bestFit="1" customWidth="1"/>
    <col min="13" max="13" width="22.875" customWidth="1"/>
  </cols>
  <sheetData>
    <row r="1" spans="1:14" s="1638" customFormat="1">
      <c r="A1" s="1638" t="s">
        <v>3072</v>
      </c>
      <c r="B1" s="1638" t="s">
        <v>3073</v>
      </c>
      <c r="C1" s="1638" t="s">
        <v>3074</v>
      </c>
      <c r="D1" s="1638" t="s">
        <v>3075</v>
      </c>
      <c r="E1" s="1638" t="s">
        <v>3076</v>
      </c>
      <c r="F1" s="1638" t="s">
        <v>3077</v>
      </c>
      <c r="G1" s="1638" t="s">
        <v>3078</v>
      </c>
      <c r="H1" s="1638" t="s">
        <v>3079</v>
      </c>
      <c r="I1" s="1638" t="s">
        <v>3080</v>
      </c>
      <c r="J1" s="1638" t="s">
        <v>3081</v>
      </c>
      <c r="K1" s="1638" t="s">
        <v>3082</v>
      </c>
      <c r="L1" s="1638" t="s">
        <v>3083</v>
      </c>
      <c r="M1" s="1638" t="s">
        <v>3084</v>
      </c>
      <c r="N1" s="1638" t="s">
        <v>3085</v>
      </c>
    </row>
    <row r="2" spans="1:14" s="1638" customFormat="1">
      <c r="A2" s="1638" t="s">
        <v>3086</v>
      </c>
      <c r="B2" s="1638" t="s">
        <v>3087</v>
      </c>
      <c r="C2" s="1638" t="s">
        <v>3088</v>
      </c>
      <c r="D2" s="1638">
        <v>107930</v>
      </c>
      <c r="E2" s="1638">
        <v>161895</v>
      </c>
      <c r="F2" s="1638" t="s">
        <v>3089</v>
      </c>
      <c r="G2" s="1638" t="s">
        <v>3090</v>
      </c>
      <c r="H2" s="1638" t="s">
        <v>3091</v>
      </c>
      <c r="I2" s="1638">
        <v>41768.910000000003</v>
      </c>
      <c r="J2" s="1638">
        <v>42092.69</v>
      </c>
      <c r="K2" s="1638">
        <v>2600</v>
      </c>
      <c r="L2" s="1638">
        <v>0.78</v>
      </c>
      <c r="M2" s="1638" t="s">
        <v>3092</v>
      </c>
      <c r="N2" s="1638" t="s">
        <v>3093</v>
      </c>
    </row>
    <row r="3" spans="1:14" s="1638" customFormat="1">
      <c r="A3" s="1638" t="s">
        <v>3094</v>
      </c>
      <c r="B3" s="1638" t="s">
        <v>3087</v>
      </c>
      <c r="C3" s="1638" t="s">
        <v>3095</v>
      </c>
      <c r="D3" s="1638">
        <v>29276</v>
      </c>
      <c r="E3" s="1638">
        <v>73190</v>
      </c>
      <c r="F3" s="1638" t="s">
        <v>3096</v>
      </c>
      <c r="G3" s="1638" t="s">
        <v>3090</v>
      </c>
      <c r="H3" s="1638" t="s">
        <v>3097</v>
      </c>
      <c r="I3" s="1638" t="s">
        <v>1327</v>
      </c>
      <c r="J3" s="1638">
        <v>24767.5</v>
      </c>
      <c r="K3" s="1638">
        <v>3384</v>
      </c>
      <c r="L3" s="1638" t="s">
        <v>1327</v>
      </c>
      <c r="M3" s="1638" t="s">
        <v>3098</v>
      </c>
      <c r="N3" s="1638" t="s">
        <v>3093</v>
      </c>
    </row>
    <row r="4" spans="1:14" s="1638" customFormat="1">
      <c r="A4" s="1638" t="s">
        <v>3099</v>
      </c>
      <c r="B4" s="1638" t="s">
        <v>3087</v>
      </c>
      <c r="C4" s="1638" t="s">
        <v>3095</v>
      </c>
      <c r="D4" s="1638">
        <v>15029</v>
      </c>
      <c r="E4" s="1638">
        <v>37572.5</v>
      </c>
      <c r="F4" s="1638" t="s">
        <v>3096</v>
      </c>
      <c r="G4" s="1638" t="s">
        <v>3090</v>
      </c>
      <c r="H4" s="1638" t="s">
        <v>3097</v>
      </c>
      <c r="I4" s="1638" t="s">
        <v>1327</v>
      </c>
      <c r="J4" s="1638">
        <v>12398.92</v>
      </c>
      <c r="K4" s="1638">
        <v>3300</v>
      </c>
      <c r="L4" s="1638" t="s">
        <v>1327</v>
      </c>
      <c r="M4" s="1638" t="s">
        <v>3098</v>
      </c>
      <c r="N4" s="1638" t="s">
        <v>3093</v>
      </c>
    </row>
    <row r="5" spans="1:14" s="1638" customFormat="1">
      <c r="A5" s="1638" t="s">
        <v>3100</v>
      </c>
      <c r="B5" s="1638" t="s">
        <v>3087</v>
      </c>
      <c r="C5" s="1638" t="s">
        <v>3095</v>
      </c>
      <c r="D5" s="1638">
        <v>144880</v>
      </c>
      <c r="E5" s="1638">
        <v>507080</v>
      </c>
      <c r="F5" s="1638" t="s">
        <v>3101</v>
      </c>
      <c r="G5" s="1638" t="s">
        <v>3090</v>
      </c>
      <c r="H5" s="1638" t="s">
        <v>3097</v>
      </c>
      <c r="I5" s="1638" t="s">
        <v>1327</v>
      </c>
      <c r="J5" s="1638">
        <v>156035.79</v>
      </c>
      <c r="K5" s="1638">
        <v>3077.13</v>
      </c>
      <c r="L5" s="1638" t="s">
        <v>1327</v>
      </c>
      <c r="M5" s="1638" t="s">
        <v>3098</v>
      </c>
      <c r="N5" s="1638" t="s">
        <v>3093</v>
      </c>
    </row>
    <row r="6" spans="1:14" s="1638" customFormat="1">
      <c r="A6" s="1638" t="s">
        <v>3102</v>
      </c>
      <c r="B6" s="1638" t="s">
        <v>3087</v>
      </c>
      <c r="C6" s="1638" t="s">
        <v>3095</v>
      </c>
      <c r="D6" s="1638">
        <v>8744.7999999999993</v>
      </c>
      <c r="E6" s="1638">
        <v>21862</v>
      </c>
      <c r="F6" s="1638" t="s">
        <v>3096</v>
      </c>
      <c r="G6" s="1638" t="s">
        <v>3090</v>
      </c>
      <c r="H6" s="1638" t="s">
        <v>3103</v>
      </c>
      <c r="I6" s="1638">
        <v>1128.05</v>
      </c>
      <c r="J6" s="1638">
        <v>1180.52</v>
      </c>
      <c r="K6" s="1638">
        <v>539.99</v>
      </c>
      <c r="L6" s="1638">
        <v>4.6500000000000004</v>
      </c>
      <c r="M6" s="1638" t="s">
        <v>3104</v>
      </c>
      <c r="N6" s="1638" t="s">
        <v>3105</v>
      </c>
    </row>
    <row r="7" spans="1:14" s="2952" customFormat="1">
      <c r="A7" s="2952" t="s">
        <v>3106</v>
      </c>
      <c r="B7" s="2952" t="s">
        <v>3087</v>
      </c>
      <c r="C7" s="2952" t="s">
        <v>3095</v>
      </c>
      <c r="D7" s="2952">
        <v>41923</v>
      </c>
      <c r="E7" s="2952">
        <v>92230.6</v>
      </c>
      <c r="F7" s="2952" t="s">
        <v>3107</v>
      </c>
      <c r="G7" s="2952" t="s">
        <v>3090</v>
      </c>
      <c r="H7" s="2952" t="s">
        <v>3108</v>
      </c>
      <c r="I7" s="2952">
        <v>12765.54</v>
      </c>
      <c r="J7" s="2952">
        <v>16967.650000000001</v>
      </c>
      <c r="K7" s="2952">
        <v>1839.7</v>
      </c>
      <c r="L7" s="2952">
        <v>32.92</v>
      </c>
      <c r="M7" s="2952" t="s">
        <v>3109</v>
      </c>
      <c r="N7" s="2952" t="s">
        <v>3105</v>
      </c>
    </row>
    <row r="8" spans="1:14" s="1638" customFormat="1">
      <c r="A8" s="1638" t="s">
        <v>3110</v>
      </c>
      <c r="B8" s="1638" t="s">
        <v>3087</v>
      </c>
      <c r="C8" s="1638" t="s">
        <v>3088</v>
      </c>
      <c r="D8" s="1638">
        <v>5866</v>
      </c>
      <c r="E8" s="1638">
        <v>14665</v>
      </c>
      <c r="F8" s="1638" t="s">
        <v>3096</v>
      </c>
      <c r="G8" s="1638" t="s">
        <v>3090</v>
      </c>
      <c r="H8" s="1638" t="s">
        <v>3111</v>
      </c>
      <c r="I8" s="1638">
        <v>2472.5100000000002</v>
      </c>
      <c r="J8" s="1638">
        <v>3906.76</v>
      </c>
      <c r="K8" s="1638">
        <v>2664</v>
      </c>
      <c r="L8" s="1638">
        <v>58.01</v>
      </c>
      <c r="M8" s="1638" t="s">
        <v>3112</v>
      </c>
      <c r="N8" s="1638" t="s">
        <v>3105</v>
      </c>
    </row>
    <row r="9" spans="1:14" s="1638" customFormat="1">
      <c r="A9" s="1638" t="s">
        <v>3113</v>
      </c>
      <c r="B9" s="1638" t="s">
        <v>3087</v>
      </c>
      <c r="C9" s="1638" t="s">
        <v>3088</v>
      </c>
      <c r="D9" s="1638">
        <v>39787.11</v>
      </c>
      <c r="E9" s="1638">
        <v>139254.9</v>
      </c>
      <c r="F9" s="1638" t="s">
        <v>3101</v>
      </c>
      <c r="G9" s="1638" t="s">
        <v>3090</v>
      </c>
      <c r="H9" s="1638" t="s">
        <v>3114</v>
      </c>
      <c r="I9" s="1638">
        <v>21425.360000000001</v>
      </c>
      <c r="J9" s="1638">
        <v>21723.77</v>
      </c>
      <c r="K9" s="1638">
        <v>1560</v>
      </c>
      <c r="L9" s="1638">
        <v>1.39</v>
      </c>
      <c r="M9" s="1638" t="s">
        <v>3115</v>
      </c>
      <c r="N9" s="1638" t="s">
        <v>3105</v>
      </c>
    </row>
    <row r="10" spans="1:14" s="1638" customFormat="1">
      <c r="A10" s="1638" t="s">
        <v>3116</v>
      </c>
      <c r="B10" s="1638" t="s">
        <v>3087</v>
      </c>
      <c r="C10" s="1638" t="s">
        <v>3088</v>
      </c>
      <c r="D10" s="1638">
        <v>6489.14</v>
      </c>
      <c r="E10" s="1638">
        <v>22711.99</v>
      </c>
      <c r="F10" s="1638" t="s">
        <v>3101</v>
      </c>
      <c r="G10" s="1638" t="s">
        <v>3090</v>
      </c>
      <c r="H10" s="1638" t="s">
        <v>3114</v>
      </c>
      <c r="I10" s="1638">
        <v>3523.59</v>
      </c>
      <c r="J10" s="1638">
        <v>3572.26</v>
      </c>
      <c r="K10" s="1638">
        <v>1572.85</v>
      </c>
      <c r="L10" s="1638">
        <v>1.38</v>
      </c>
      <c r="M10" s="1638" t="s">
        <v>3115</v>
      </c>
      <c r="N10" s="1638" t="s">
        <v>3105</v>
      </c>
    </row>
    <row r="11" spans="1:14" s="1638" customFormat="1">
      <c r="A11" s="1638" t="s">
        <v>3117</v>
      </c>
      <c r="B11" s="1638" t="s">
        <v>3087</v>
      </c>
      <c r="C11" s="1638" t="s">
        <v>3088</v>
      </c>
      <c r="D11" s="1638">
        <v>12303.49</v>
      </c>
      <c r="E11" s="1638">
        <v>43062.21</v>
      </c>
      <c r="F11" s="1638" t="s">
        <v>3101</v>
      </c>
      <c r="G11" s="1638" t="s">
        <v>3090</v>
      </c>
      <c r="H11" s="1638" t="s">
        <v>3118</v>
      </c>
      <c r="I11" s="1638">
        <v>6754.6</v>
      </c>
      <c r="J11" s="1638">
        <v>6846.88</v>
      </c>
      <c r="K11" s="1638">
        <v>1590</v>
      </c>
      <c r="L11" s="1638">
        <v>1.37</v>
      </c>
      <c r="M11" s="1638" t="s">
        <v>3119</v>
      </c>
      <c r="N11" s="1638" t="s">
        <v>3105</v>
      </c>
    </row>
    <row r="12" spans="1:14" s="1638" customFormat="1">
      <c r="A12" s="1638" t="s">
        <v>3120</v>
      </c>
      <c r="B12" s="1638" t="s">
        <v>3087</v>
      </c>
      <c r="C12" s="1638" t="s">
        <v>3088</v>
      </c>
      <c r="D12" s="1638">
        <v>25421.63</v>
      </c>
      <c r="E12" s="1638">
        <v>88975.71</v>
      </c>
      <c r="F12" s="1638" t="s">
        <v>3101</v>
      </c>
      <c r="G12" s="1638" t="s">
        <v>3090</v>
      </c>
      <c r="H12" s="1638" t="s">
        <v>3118</v>
      </c>
      <c r="I12" s="1638">
        <v>13422.6</v>
      </c>
      <c r="J12" s="1638">
        <v>13613.27</v>
      </c>
      <c r="K12" s="1638">
        <v>1530</v>
      </c>
      <c r="L12" s="1638">
        <v>1.42</v>
      </c>
      <c r="M12" s="1638" t="s">
        <v>3119</v>
      </c>
      <c r="N12" s="1638" t="s">
        <v>3105</v>
      </c>
    </row>
    <row r="13" spans="1:14" s="2952" customFormat="1">
      <c r="A13" s="2965" t="s">
        <v>3121</v>
      </c>
      <c r="B13" s="2952" t="s">
        <v>3087</v>
      </c>
      <c r="C13" s="2952" t="s">
        <v>3088</v>
      </c>
      <c r="D13" s="2952">
        <v>10082.65</v>
      </c>
      <c r="E13" s="2952">
        <v>35289.279999999999</v>
      </c>
      <c r="F13" s="2952" t="s">
        <v>3101</v>
      </c>
      <c r="G13" s="2952" t="s">
        <v>3090</v>
      </c>
      <c r="H13" s="2952" t="s">
        <v>3118</v>
      </c>
      <c r="I13" s="2952">
        <v>5369.02</v>
      </c>
      <c r="J13" s="2952">
        <v>5444.64</v>
      </c>
      <c r="K13" s="2952">
        <v>1542.85</v>
      </c>
      <c r="L13" s="2952">
        <v>1.41</v>
      </c>
      <c r="M13" s="2952" t="s">
        <v>3115</v>
      </c>
      <c r="N13" s="2952" t="s">
        <v>3105</v>
      </c>
    </row>
    <row r="14" spans="1:14" s="2954" customFormat="1">
      <c r="A14" s="2956" t="s">
        <v>3172</v>
      </c>
      <c r="B14" s="2954" t="s">
        <v>3087</v>
      </c>
      <c r="C14" s="2954" t="s">
        <v>3095</v>
      </c>
      <c r="D14" s="2954">
        <v>148524</v>
      </c>
      <c r="E14" s="2954">
        <v>297048</v>
      </c>
      <c r="F14" s="2954" t="s">
        <v>3122</v>
      </c>
      <c r="G14" s="2954" t="s">
        <v>3090</v>
      </c>
      <c r="H14" s="2955">
        <v>43455</v>
      </c>
      <c r="I14" s="2954">
        <v>37428.050000000003</v>
      </c>
      <c r="J14" s="2954">
        <v>37873.620000000003</v>
      </c>
      <c r="K14" s="2954">
        <v>1275</v>
      </c>
      <c r="L14" s="2954">
        <v>1.19</v>
      </c>
      <c r="M14" s="2954" t="s">
        <v>3123</v>
      </c>
      <c r="N14" s="2954" t="s">
        <v>3124</v>
      </c>
    </row>
    <row r="15" spans="1:14" s="1638" customFormat="1">
      <c r="A15" s="1638" t="s">
        <v>3125</v>
      </c>
      <c r="B15" s="1638" t="s">
        <v>3087</v>
      </c>
      <c r="C15" s="1638" t="s">
        <v>3095</v>
      </c>
      <c r="D15" s="1638">
        <v>170898</v>
      </c>
      <c r="E15" s="1638">
        <v>427245</v>
      </c>
      <c r="F15" s="1638" t="s">
        <v>3096</v>
      </c>
      <c r="G15" s="1638" t="s">
        <v>3090</v>
      </c>
      <c r="H15" s="1638" t="s">
        <v>3126</v>
      </c>
      <c r="I15" s="1638">
        <v>78185.83</v>
      </c>
      <c r="J15" s="1638">
        <v>78185.83</v>
      </c>
      <c r="K15" s="1638">
        <v>1830</v>
      </c>
      <c r="L15" s="1638">
        <v>0</v>
      </c>
      <c r="M15" s="1638" t="s">
        <v>3127</v>
      </c>
      <c r="N15" s="1638" t="s">
        <v>3105</v>
      </c>
    </row>
    <row r="16" spans="1:14" s="2954" customFormat="1" ht="14.25">
      <c r="A16" s="2953" t="s">
        <v>3128</v>
      </c>
      <c r="B16" s="2954" t="s">
        <v>3087</v>
      </c>
      <c r="C16" s="2954" t="s">
        <v>3088</v>
      </c>
      <c r="D16" s="2954">
        <v>66360</v>
      </c>
      <c r="E16" s="2954">
        <v>165900</v>
      </c>
      <c r="F16" s="2954" t="s">
        <v>3096</v>
      </c>
      <c r="G16" s="2954" t="s">
        <v>3090</v>
      </c>
      <c r="H16" s="2955">
        <v>43417</v>
      </c>
      <c r="I16" s="2954">
        <v>20107.080000000002</v>
      </c>
      <c r="J16" s="2954">
        <v>25979.93</v>
      </c>
      <c r="K16" s="2954">
        <v>1566</v>
      </c>
      <c r="L16" s="2954">
        <v>29.21</v>
      </c>
      <c r="M16" s="2954" t="s">
        <v>3129</v>
      </c>
      <c r="N16" s="2954" t="s">
        <v>3124</v>
      </c>
    </row>
    <row r="17" spans="1:14" s="1638" customFormat="1">
      <c r="A17" s="1638" t="s">
        <v>3130</v>
      </c>
      <c r="B17" s="1638" t="s">
        <v>3087</v>
      </c>
      <c r="C17" s="1638" t="s">
        <v>3088</v>
      </c>
      <c r="D17" s="1638">
        <v>37161</v>
      </c>
      <c r="E17" s="1638">
        <v>81754.2</v>
      </c>
      <c r="F17" s="1638" t="s">
        <v>3107</v>
      </c>
      <c r="G17" s="1638" t="s">
        <v>3090</v>
      </c>
      <c r="H17" s="1638" t="s">
        <v>3131</v>
      </c>
      <c r="I17" s="1638">
        <v>14325.56</v>
      </c>
      <c r="J17" s="1638">
        <v>20401.38</v>
      </c>
      <c r="K17" s="1638">
        <v>2495.44</v>
      </c>
      <c r="L17" s="1638">
        <v>42.41</v>
      </c>
      <c r="M17" s="1638" t="s">
        <v>3132</v>
      </c>
      <c r="N17" s="1638" t="s">
        <v>3093</v>
      </c>
    </row>
    <row r="18" spans="1:14" s="1638" customFormat="1">
      <c r="A18" s="1638" t="s">
        <v>3133</v>
      </c>
      <c r="B18" s="1638" t="s">
        <v>3087</v>
      </c>
      <c r="C18" s="1638" t="s">
        <v>3095</v>
      </c>
      <c r="D18" s="1638">
        <v>69959</v>
      </c>
      <c r="E18" s="1638">
        <v>174897.5</v>
      </c>
      <c r="F18" s="1638" t="s">
        <v>3096</v>
      </c>
      <c r="G18" s="1638" t="s">
        <v>3090</v>
      </c>
      <c r="H18" s="1638" t="s">
        <v>3131</v>
      </c>
      <c r="I18" s="1638">
        <v>44284.05</v>
      </c>
      <c r="J18" s="1638">
        <v>46487.75</v>
      </c>
      <c r="K18" s="1638">
        <v>2658</v>
      </c>
      <c r="L18" s="1638">
        <v>4.9800000000000004</v>
      </c>
      <c r="M18" s="1638" t="s">
        <v>3134</v>
      </c>
      <c r="N18" s="1638" t="s">
        <v>3124</v>
      </c>
    </row>
    <row r="19" spans="1:14" s="1638" customFormat="1">
      <c r="A19" s="1638" t="s">
        <v>3135</v>
      </c>
      <c r="B19" s="1638" t="s">
        <v>3087</v>
      </c>
      <c r="C19" s="1638" t="s">
        <v>3088</v>
      </c>
      <c r="D19" s="1638">
        <v>142006</v>
      </c>
      <c r="E19" s="1638">
        <v>255610.8</v>
      </c>
      <c r="F19" s="1638" t="s">
        <v>3136</v>
      </c>
      <c r="G19" s="1638" t="s">
        <v>3090</v>
      </c>
      <c r="H19" s="1638" t="s">
        <v>3137</v>
      </c>
      <c r="I19" s="1638">
        <v>56660.38</v>
      </c>
      <c r="J19" s="1638">
        <v>57086.41</v>
      </c>
      <c r="K19" s="1638">
        <v>2233.3200000000002</v>
      </c>
      <c r="L19" s="1638">
        <v>0.75</v>
      </c>
      <c r="M19" s="1638" t="s">
        <v>3138</v>
      </c>
      <c r="N19" s="1638" t="s">
        <v>3124</v>
      </c>
    </row>
    <row r="20" spans="1:14" s="2954" customFormat="1" ht="14.25">
      <c r="A20" s="2953" t="s">
        <v>3139</v>
      </c>
      <c r="B20" s="2954" t="s">
        <v>3087</v>
      </c>
      <c r="C20" s="2954" t="s">
        <v>3088</v>
      </c>
      <c r="D20" s="2954">
        <v>151887</v>
      </c>
      <c r="E20" s="2954">
        <v>577170.6</v>
      </c>
      <c r="F20" s="2954" t="s">
        <v>3140</v>
      </c>
      <c r="G20" s="2954" t="s">
        <v>3090</v>
      </c>
      <c r="H20" s="2955">
        <v>43348</v>
      </c>
      <c r="I20" s="2954">
        <v>88398.22</v>
      </c>
      <c r="J20" s="2954">
        <v>88637.440000000002</v>
      </c>
      <c r="K20" s="2954">
        <v>1535.72</v>
      </c>
      <c r="L20" s="2954">
        <v>0.27</v>
      </c>
      <c r="M20" s="2956" t="s">
        <v>3141</v>
      </c>
      <c r="N20" s="2954" t="s">
        <v>3124</v>
      </c>
    </row>
    <row r="21" spans="1:14" s="1638" customFormat="1">
      <c r="A21" s="1638" t="s">
        <v>3142</v>
      </c>
      <c r="B21" s="1638" t="s">
        <v>3087</v>
      </c>
      <c r="C21" s="1638" t="s">
        <v>3095</v>
      </c>
      <c r="D21" s="1638">
        <v>76449</v>
      </c>
      <c r="E21" s="1638">
        <v>267571.5</v>
      </c>
      <c r="F21" s="1638" t="s">
        <v>3143</v>
      </c>
      <c r="G21" s="1638" t="s">
        <v>3090</v>
      </c>
      <c r="H21" s="1638" t="s">
        <v>3144</v>
      </c>
      <c r="I21" s="1638" t="s">
        <v>1327</v>
      </c>
      <c r="J21" s="1638">
        <v>68918.77</v>
      </c>
      <c r="K21" s="1638">
        <v>2575.71</v>
      </c>
      <c r="L21" s="1638" t="s">
        <v>1327</v>
      </c>
      <c r="M21" s="1638" t="s">
        <v>3145</v>
      </c>
      <c r="N21" s="1638" t="s">
        <v>3105</v>
      </c>
    </row>
    <row r="22" spans="1:14" s="2957" customFormat="1" ht="12.75">
      <c r="A22" s="2957" t="s">
        <v>3146</v>
      </c>
      <c r="B22" s="2957" t="s">
        <v>3087</v>
      </c>
      <c r="C22" s="2957" t="s">
        <v>3095</v>
      </c>
      <c r="D22" s="2957">
        <v>166851</v>
      </c>
      <c r="E22" s="2957">
        <v>479080.5</v>
      </c>
      <c r="F22" s="2957" t="s">
        <v>3147</v>
      </c>
      <c r="G22" s="2957" t="s">
        <v>3090</v>
      </c>
      <c r="H22" s="2957" t="s">
        <v>3148</v>
      </c>
      <c r="I22" s="2957">
        <v>48803.66</v>
      </c>
      <c r="J22" s="2957">
        <v>53809.440000000002</v>
      </c>
      <c r="K22" s="2957">
        <v>1123.18</v>
      </c>
      <c r="L22" s="2957">
        <v>10.26</v>
      </c>
      <c r="M22" s="2957" t="s">
        <v>3149</v>
      </c>
      <c r="N22" s="2957" t="s">
        <v>3124</v>
      </c>
    </row>
    <row r="23" spans="1:14" s="1638" customFormat="1">
      <c r="A23" s="2964" t="s">
        <v>3169</v>
      </c>
      <c r="B23" s="1638" t="s">
        <v>3087</v>
      </c>
      <c r="C23" s="1638" t="s">
        <v>3095</v>
      </c>
      <c r="D23" s="1638">
        <v>150547</v>
      </c>
      <c r="E23" s="1638">
        <v>331203.40000000002</v>
      </c>
      <c r="F23" s="1638" t="s">
        <v>3150</v>
      </c>
      <c r="G23" s="1638" t="s">
        <v>3090</v>
      </c>
      <c r="H23" s="1638" t="s">
        <v>3148</v>
      </c>
      <c r="I23" s="1638">
        <v>39744.199999999997</v>
      </c>
      <c r="J23" s="1638">
        <v>69326.880000000005</v>
      </c>
      <c r="K23" s="1638">
        <v>2093.17</v>
      </c>
      <c r="L23" s="1638">
        <v>74.430000000000007</v>
      </c>
      <c r="M23" s="1638" t="s">
        <v>3098</v>
      </c>
      <c r="N23" s="1638" t="s">
        <v>3124</v>
      </c>
    </row>
    <row r="24" spans="1:14" s="1638" customFormat="1">
      <c r="A24" s="1638" t="s">
        <v>3151</v>
      </c>
      <c r="B24" s="1638" t="s">
        <v>3087</v>
      </c>
      <c r="C24" s="1638" t="s">
        <v>3088</v>
      </c>
      <c r="D24" s="1638">
        <v>8838.4699999999993</v>
      </c>
      <c r="E24" s="1638">
        <v>44192.35</v>
      </c>
      <c r="F24" s="1638" t="s">
        <v>3152</v>
      </c>
      <c r="G24" s="1638" t="s">
        <v>3090</v>
      </c>
      <c r="H24" s="1638" t="s">
        <v>3153</v>
      </c>
      <c r="I24" s="1638">
        <v>5037.93</v>
      </c>
      <c r="J24" s="1638">
        <v>5037.93</v>
      </c>
      <c r="K24" s="1638">
        <v>1140</v>
      </c>
      <c r="L24" s="1638">
        <v>0</v>
      </c>
      <c r="M24" s="1638" t="s">
        <v>3115</v>
      </c>
      <c r="N24" s="1638" t="s">
        <v>3154</v>
      </c>
    </row>
    <row r="25" spans="1:14" s="1638" customFormat="1">
      <c r="A25" s="1638" t="s">
        <v>3155</v>
      </c>
      <c r="B25" s="1638" t="s">
        <v>3087</v>
      </c>
      <c r="C25" s="1638" t="s">
        <v>3088</v>
      </c>
      <c r="D25" s="1638">
        <v>65773.600000000006</v>
      </c>
      <c r="E25" s="1638">
        <v>328868</v>
      </c>
      <c r="F25" s="1638" t="s">
        <v>3152</v>
      </c>
      <c r="G25" s="1638" t="s">
        <v>3090</v>
      </c>
      <c r="H25" s="1638" t="s">
        <v>3153</v>
      </c>
      <c r="I25" s="1638">
        <v>37688.26</v>
      </c>
      <c r="J25" s="1638">
        <v>38477.550000000003</v>
      </c>
      <c r="K25" s="1638">
        <v>1170</v>
      </c>
      <c r="L25" s="1638">
        <v>2.09</v>
      </c>
      <c r="M25" s="1638" t="s">
        <v>3156</v>
      </c>
      <c r="N25" s="1638" t="s">
        <v>3154</v>
      </c>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3" t="s">
        <v>3007</v>
      </c>
      <c r="D1" s="3304"/>
      <c r="E1" s="3304"/>
      <c r="F1" s="3304"/>
      <c r="G1" s="3304"/>
      <c r="H1" s="3304"/>
      <c r="I1" s="3304"/>
      <c r="J1" s="3304"/>
      <c r="K1" s="3304"/>
      <c r="L1" s="3304"/>
      <c r="M1" s="3304"/>
      <c r="N1" s="3304"/>
      <c r="O1" s="3304"/>
      <c r="P1" s="3304"/>
      <c r="Q1" s="3304"/>
      <c r="R1" s="3304"/>
      <c r="S1" s="3305"/>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3016</v>
      </c>
      <c r="B17" s="2923"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5" t="s">
        <v>3020</v>
      </c>
      <c r="E20" s="1796"/>
      <c r="F20" s="1207" t="e">
        <f ca="1">SUMIF(INDIRECT("'"&amp;H20&amp;"'"&amp;"!A:A"),"承租人权益价值",INDIRECT("'"&amp;H20&amp;"'"&amp;"!c:c"))</f>
        <v>#REF!</v>
      </c>
      <c r="G20" s="1207" t="s">
        <v>3021</v>
      </c>
      <c r="H20" s="2926"/>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63" t="s">
        <v>33</v>
      </c>
      <c r="D22" s="3164"/>
      <c r="E22" s="3164"/>
      <c r="F22" s="3164"/>
      <c r="G22" s="3164"/>
      <c r="H22" s="3164"/>
      <c r="I22" s="3164"/>
      <c r="J22" s="3164"/>
      <c r="K22" s="3164"/>
      <c r="L22" s="3164"/>
      <c r="M22" s="3164"/>
      <c r="N22" s="3164"/>
      <c r="O22" s="3164"/>
      <c r="P22" s="3164"/>
      <c r="Q22" s="3302"/>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23886</v>
      </c>
      <c r="C2" s="2" t="s">
        <v>133</v>
      </c>
      <c r="D2" s="243"/>
      <c r="E2" s="243"/>
      <c r="F2" s="243"/>
      <c r="G2" s="243"/>
    </row>
    <row r="3" spans="1:7" s="244" customFormat="1" ht="18" customHeight="1" thickBot="1">
      <c r="A3" s="247" t="s">
        <v>85</v>
      </c>
      <c r="B3" s="248">
        <f ca="1">ROUND(B2*10000/'数据-汇总表'!E3,0)</f>
        <v>244727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5</v>
      </c>
      <c r="D9" s="1035">
        <f>'数据-汇总表'!E5</f>
        <v>767.44</v>
      </c>
      <c r="E9" s="269">
        <f>'数据-取费表'!B27</f>
        <v>65</v>
      </c>
      <c r="F9" s="265"/>
      <c r="G9" s="270"/>
    </row>
    <row r="10" spans="1:7" s="258" customFormat="1" ht="13.5" customHeight="1">
      <c r="A10" s="953" t="s">
        <v>801</v>
      </c>
      <c r="B10" s="268" t="s">
        <v>94</v>
      </c>
      <c r="C10" s="269">
        <f>ROUND(D10*E10/10000,0)</f>
        <v>0</v>
      </c>
      <c r="D10" s="1035">
        <f>'数据-汇总表'!E6</f>
        <v>208.58561669734536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18</v>
      </c>
      <c r="D19" s="1039">
        <f>'数据-汇总表'!E3</f>
        <v>976.02561669734541</v>
      </c>
      <c r="E19" s="255">
        <f>'数据-取费表'!B31</f>
        <v>180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410</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406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4</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589</v>
      </c>
      <c r="D27" s="279">
        <f>C29</f>
        <v>5.9999999999999995E-4</v>
      </c>
      <c r="E27" s="280" t="s">
        <v>126</v>
      </c>
      <c r="F27" s="290">
        <f>'数据-取费表'!Q16</f>
        <v>0.2</v>
      </c>
      <c r="G27" s="291" t="s">
        <v>1066</v>
      </c>
    </row>
    <row r="28" spans="1:7" s="258" customFormat="1" ht="13.5" customHeight="1">
      <c r="A28" s="954" t="s">
        <v>794</v>
      </c>
      <c r="B28" s="292" t="s">
        <v>1059</v>
      </c>
      <c r="C28" s="293">
        <f>ROUND((C5+C19+C20)*F27*'数据-取费表'!B21/'数据-取费表'!B20,0)</f>
        <v>589</v>
      </c>
      <c r="D28" s="279"/>
      <c r="E28" s="280"/>
      <c r="F28" s="290"/>
      <c r="G28" s="291"/>
    </row>
    <row r="29" spans="1:7" s="258" customFormat="1" ht="13.5" customHeight="1">
      <c r="A29" s="954" t="s">
        <v>792</v>
      </c>
      <c r="B29" s="292" t="s">
        <v>1060</v>
      </c>
      <c r="C29" s="282">
        <f>ROUND(C21*F27*'数据-取费表'!B21/'数据-取费表'!B20,4)</f>
        <v>5.9999999999999995E-4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23805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v>
      </c>
      <c r="D34" s="261"/>
      <c r="E34" s="264"/>
      <c r="F34" s="301">
        <f>IF('数据-取费表'!B24=0,1,'数据-取费表'!N16)</f>
        <v>0.28799999999999998</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5</v>
      </c>
      <c r="D37" s="261">
        <f>'数据-汇总表'!E3</f>
        <v>976.02561669734541</v>
      </c>
      <c r="E37" s="293">
        <f>'数据-取费表'!B35</f>
        <v>180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2.0000000000000001E-4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v>
      </c>
      <c r="D42" s="282"/>
      <c r="E42" s="282"/>
      <c r="F42" s="283"/>
      <c r="G42" s="3168" t="s">
        <v>121</v>
      </c>
    </row>
    <row r="43" spans="1:7" ht="13.5" customHeight="1">
      <c r="A43" s="954" t="s">
        <v>792</v>
      </c>
      <c r="B43" s="259" t="s">
        <v>1061</v>
      </c>
      <c r="C43" s="282">
        <f ca="1">ROUND(IF('数据-取费表'!B22&lt;=1,C39*F22*'数据-取费表'!B21/2,C39*(POWER((1+F22),'数据-取费表'!B21/2)-1)),0)</f>
        <v>0</v>
      </c>
      <c r="D43" s="282"/>
      <c r="E43" s="282"/>
      <c r="F43" s="283"/>
      <c r="G43" s="3169"/>
    </row>
    <row r="44" spans="1:7" ht="13.5" customHeight="1">
      <c r="A44" s="954" t="s">
        <v>793</v>
      </c>
      <c r="B44" s="259" t="s">
        <v>1063</v>
      </c>
      <c r="C44" s="282">
        <f ca="1">ROUND(IF('数据-取费表'!B22&lt;=1,C40*F22*'数据-取费表'!B21/2,C40*(POWER((1+F22),'数据-取费表'!B21/2)-1)),4)</f>
        <v>2.0000000000000001E-4</v>
      </c>
      <c r="D44" s="282"/>
      <c r="E44" s="282"/>
      <c r="F44" s="283"/>
      <c r="G44" s="3170"/>
    </row>
    <row r="45" spans="1:7" s="258" customFormat="1" ht="13.5" customHeight="1">
      <c r="A45" s="951" t="s">
        <v>786</v>
      </c>
      <c r="B45" s="288" t="s">
        <v>112</v>
      </c>
      <c r="C45" s="289">
        <f>C46</f>
        <v>12</v>
      </c>
      <c r="D45" s="279">
        <f>C47</f>
        <v>4.0000000000000001E-3</v>
      </c>
      <c r="E45" s="280" t="s">
        <v>129</v>
      </c>
      <c r="F45" s="290"/>
      <c r="G45" s="291" t="s">
        <v>1069</v>
      </c>
    </row>
    <row r="46" spans="1:7" s="258" customFormat="1" ht="13.5" customHeight="1">
      <c r="A46" s="954" t="s">
        <v>794</v>
      </c>
      <c r="B46" s="292" t="s">
        <v>1062</v>
      </c>
      <c r="C46" s="293">
        <f>ROUND((C33+C39)*F27,0)</f>
        <v>12</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81</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81</v>
      </c>
      <c r="D51" s="276"/>
      <c r="E51" s="276"/>
      <c r="F51" s="308"/>
      <c r="G51" s="278" t="s">
        <v>64</v>
      </c>
    </row>
    <row r="52" spans="1:7" s="252" customFormat="1" ht="16.5" thickBot="1">
      <c r="A52" s="309" t="s">
        <v>65</v>
      </c>
      <c r="B52" s="310"/>
      <c r="C52" s="311">
        <f ca="1">C31+C51</f>
        <v>23886</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868</v>
      </c>
      <c r="B1" s="330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1" sqref="K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43574</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1637</v>
      </c>
      <c r="B2" s="3001" t="s">
        <v>1638</v>
      </c>
      <c r="C2" s="3001" t="s">
        <v>1639</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7" t="s">
        <v>1634</v>
      </c>
      <c r="E3" s="1047" t="s">
        <v>1640</v>
      </c>
      <c r="F3" s="1047" t="s">
        <v>1634</v>
      </c>
      <c r="G3" s="1047" t="s">
        <v>1635</v>
      </c>
      <c r="H3" s="1047" t="s">
        <v>1634</v>
      </c>
      <c r="I3" s="1047" t="s">
        <v>1635</v>
      </c>
    </row>
    <row r="4" spans="1:9" ht="30">
      <c r="A4" s="1976" t="str">
        <f>项目基本情况!S2</f>
        <v>四川省南充市出让国有建设用地使用权及在建建筑物房地产</v>
      </c>
      <c r="B4" s="1047">
        <f>项目基本情况!C17</f>
        <v>976.02561669734541</v>
      </c>
      <c r="C4" s="1047">
        <f>项目基本情况!C18</f>
        <v>300.76</v>
      </c>
      <c r="D4" s="1047" t="e">
        <f ca="1">结果表!D118</f>
        <v>#REF!</v>
      </c>
      <c r="E4" s="1047" t="e">
        <f ca="1">结果表!E118</f>
        <v>#REF!</v>
      </c>
      <c r="F4" s="1047" t="e">
        <f ca="1">结果表!F118</f>
        <v>#REF!</v>
      </c>
      <c r="G4" s="1047" t="e">
        <f ca="1">结果表!G118</f>
        <v>#REF!</v>
      </c>
      <c r="H4" s="1047">
        <f ca="1">结果表!H118</f>
        <v>207</v>
      </c>
      <c r="I4" s="1047">
        <f ca="1">结果表!I118</f>
        <v>2697</v>
      </c>
    </row>
    <row r="5" spans="1:9" ht="30" customHeight="1">
      <c r="A5" s="2995" t="s">
        <v>1636</v>
      </c>
      <c r="B5" s="2995"/>
      <c r="C5" s="2995"/>
      <c r="D5" s="2996" t="e">
        <f ca="1">结果表!D119</f>
        <v>#REF!</v>
      </c>
      <c r="E5" s="2996"/>
      <c r="F5" s="2996" t="e">
        <f ca="1">结果表!F119</f>
        <v>#REF!</v>
      </c>
      <c r="G5" s="2996"/>
      <c r="H5" s="2996" t="str">
        <f ca="1">结果表!H119</f>
        <v>贰佰零柒万元整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1636</v>
      </c>
      <c r="B7" s="2995"/>
      <c r="C7" s="2995"/>
      <c r="D7" s="2997" t="str">
        <f>结果表!D121</f>
        <v>零元整</v>
      </c>
      <c r="E7" s="2998"/>
      <c r="F7" s="2998"/>
      <c r="G7" s="2998"/>
      <c r="H7" s="2998"/>
      <c r="I7" s="2999"/>
    </row>
    <row r="8" spans="1:9" ht="15.75">
      <c r="A8" s="2994" t="str">
        <f>结果表!A122</f>
        <v>房地产抵押价值</v>
      </c>
      <c r="B8" s="2994"/>
      <c r="C8" s="2994"/>
      <c r="D8" s="2994">
        <f ca="1">结果表!D122</f>
        <v>207</v>
      </c>
      <c r="E8" s="2994"/>
      <c r="F8" s="2994"/>
      <c r="G8" s="2994"/>
      <c r="H8" s="2994"/>
      <c r="I8" s="2994"/>
    </row>
    <row r="9" spans="1:9" ht="15">
      <c r="A9" s="2995" t="s">
        <v>1636</v>
      </c>
      <c r="B9" s="2995"/>
      <c r="C9" s="2995"/>
      <c r="D9" s="2996" t="str">
        <f ca="1">结果表!D123</f>
        <v>贰佰零柒万元整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1636</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8" t="s">
        <v>1658</v>
      </c>
      <c r="B1" s="3008"/>
      <c r="C1" s="3008"/>
      <c r="D1" s="3008"/>
    </row>
    <row r="2" spans="1:4" ht="18">
      <c r="A2" s="3009" t="s">
        <v>1642</v>
      </c>
      <c r="B2" s="3009"/>
      <c r="C2" s="3009"/>
      <c r="D2" s="3009"/>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09" t="s">
        <v>1648</v>
      </c>
      <c r="B6" s="3009"/>
      <c r="C6" s="3009"/>
      <c r="D6" s="300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10" t="s">
        <v>1651</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1652</v>
      </c>
      <c r="B16" s="3004"/>
      <c r="C16" s="3004"/>
      <c r="D16" s="3004"/>
    </row>
    <row r="17" spans="1:4" ht="144" customHeight="1">
      <c r="A17" s="3004" t="s">
        <v>1653</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1654</v>
      </c>
      <c r="B22" s="3006"/>
      <c r="C22" s="3006"/>
      <c r="D22" s="300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16" t="s">
        <v>1665</v>
      </c>
      <c r="B15" s="3011" t="s">
        <v>136</v>
      </c>
      <c r="C15" s="3012"/>
    </row>
    <row r="16" spans="1:7" ht="13.5">
      <c r="A16" s="3017"/>
      <c r="B16" s="3011" t="s">
        <v>69</v>
      </c>
      <c r="C16" s="3012"/>
    </row>
    <row r="17" spans="1:3" ht="13.5">
      <c r="A17" s="3017"/>
      <c r="B17" s="3014" t="s">
        <v>1666</v>
      </c>
      <c r="C17" s="2003" t="s">
        <v>1665</v>
      </c>
    </row>
    <row r="18" spans="1:3" ht="13.5">
      <c r="A18" s="3017"/>
      <c r="B18" s="3014"/>
      <c r="C18" s="2003" t="s">
        <v>1667</v>
      </c>
    </row>
    <row r="19" spans="1:3" ht="13.5">
      <c r="A19" s="3017"/>
      <c r="B19" s="3014"/>
      <c r="C19" s="2003" t="s">
        <v>1668</v>
      </c>
    </row>
    <row r="20" spans="1:3" ht="13.5">
      <c r="A20" s="3018"/>
      <c r="B20" s="3013" t="s">
        <v>1669</v>
      </c>
      <c r="C20" s="3012"/>
    </row>
    <row r="21" spans="1:3" ht="13.5">
      <c r="A21" s="2004" t="s">
        <v>1670</v>
      </c>
      <c r="B21" s="2005"/>
      <c r="C21" s="2006"/>
    </row>
    <row r="22" spans="1:3" ht="13.5">
      <c r="A22" s="3015" t="s">
        <v>1671</v>
      </c>
      <c r="B22" s="3013" t="s">
        <v>1672</v>
      </c>
      <c r="C22" s="3012"/>
    </row>
    <row r="23" spans="1:3" ht="13.5">
      <c r="A23" s="3015"/>
      <c r="B23" s="3013" t="s">
        <v>1673</v>
      </c>
      <c r="C23" s="3012"/>
    </row>
    <row r="24" spans="1:3" ht="13.5">
      <c r="A24" s="3015"/>
      <c r="B24" s="3013" t="s">
        <v>1674</v>
      </c>
      <c r="C24" s="3012"/>
    </row>
    <row r="25" spans="1:3" ht="13.5">
      <c r="A25" s="3015"/>
      <c r="B25" s="3014" t="s">
        <v>1675</v>
      </c>
      <c r="C25" s="2003" t="s">
        <v>1676</v>
      </c>
    </row>
    <row r="26" spans="1:3" ht="13.5">
      <c r="A26" s="3015"/>
      <c r="B26" s="3014"/>
      <c r="C26" s="2003" t="s">
        <v>1677</v>
      </c>
    </row>
    <row r="27" spans="1:3" ht="13.5">
      <c r="A27" s="3015"/>
      <c r="B27" s="3014"/>
      <c r="C27" s="2003" t="s">
        <v>1678</v>
      </c>
    </row>
    <row r="28" spans="1:3" ht="13.5">
      <c r="A28" s="3015"/>
      <c r="B28" s="3014"/>
      <c r="C28" s="2003" t="s">
        <v>1679</v>
      </c>
    </row>
    <row r="29" spans="1:3" ht="13.5">
      <c r="A29" s="3015"/>
      <c r="B29" s="3014"/>
      <c r="C29" s="2003" t="s">
        <v>1680</v>
      </c>
    </row>
    <row r="30" spans="1:3" ht="13.5">
      <c r="A30" s="3015"/>
      <c r="B30" s="3014"/>
      <c r="C30" s="2003" t="s">
        <v>1681</v>
      </c>
    </row>
    <row r="31" spans="1:3" ht="13.5">
      <c r="A31" s="3015"/>
      <c r="B31" s="3014"/>
      <c r="C31" s="2003" t="s">
        <v>1682</v>
      </c>
    </row>
    <row r="32" spans="1:3" ht="13.5">
      <c r="A32" s="3015"/>
      <c r="B32" s="3014"/>
      <c r="C32" s="2003" t="s">
        <v>1683</v>
      </c>
    </row>
    <row r="33" spans="1:3" ht="13.5">
      <c r="A33" s="3015"/>
      <c r="B33" s="301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43580</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3047</v>
      </c>
      <c r="B14" s="1025">
        <f ca="1">IF(C14&lt;B2,"已过期",1120040230)</f>
        <v>1120040230</v>
      </c>
      <c r="C14" s="2351">
        <v>43835</v>
      </c>
      <c r="D14" s="2354" t="s">
        <v>3047</v>
      </c>
      <c r="E14" s="1025">
        <f ca="1">IF(F14&lt;B2,"已过期",98030020)</f>
        <v>98030020</v>
      </c>
      <c r="F14" s="1033">
        <v>47118</v>
      </c>
    </row>
    <row r="15" spans="1:6" ht="24" customHeight="1">
      <c r="A15" s="1706" t="s">
        <v>3048</v>
      </c>
      <c r="B15" s="1025">
        <f ca="1">IF(C15&lt;B2,"已过期",1120070085)</f>
        <v>1120070085</v>
      </c>
      <c r="C15" s="2351">
        <v>43814</v>
      </c>
      <c r="D15" s="2355" t="s">
        <v>3048</v>
      </c>
      <c r="E15" s="1025">
        <f ca="1">IF(F15&lt;B2,"已过期",2004110128)</f>
        <v>2004110128</v>
      </c>
      <c r="F15" s="1026">
        <v>47118</v>
      </c>
    </row>
    <row r="16" spans="1:6" ht="24" customHeight="1">
      <c r="A16" s="1705" t="s">
        <v>3049</v>
      </c>
      <c r="B16" s="1025">
        <f ca="1">IF(C16&lt;B2,"已过期",1120140022)</f>
        <v>1120140022</v>
      </c>
      <c r="C16" s="2942">
        <v>44029</v>
      </c>
      <c r="D16" s="2354" t="s">
        <v>3049</v>
      </c>
      <c r="E16" s="1025">
        <f ca="1">IF(F16&lt;B2,"已过期",2008110059)</f>
        <v>2008110059</v>
      </c>
      <c r="F16" s="1033">
        <v>47177</v>
      </c>
    </row>
    <row r="17" spans="1:7" ht="24" customHeight="1">
      <c r="A17" s="1705"/>
      <c r="B17" s="1025"/>
      <c r="C17" s="2351"/>
      <c r="D17" s="2354" t="s">
        <v>3050</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2">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19" t="s">
        <v>843</v>
      </c>
      <c r="B25" s="3019"/>
      <c r="C25" s="3019"/>
      <c r="D25" s="3019"/>
      <c r="E25" s="3019"/>
      <c r="F25" s="3019"/>
      <c r="G25" s="3019"/>
    </row>
    <row r="26" spans="1:7" s="1028" customFormat="1" ht="24" customHeight="1">
      <c r="A26" s="3020" t="s">
        <v>844</v>
      </c>
      <c r="B26" s="3020"/>
      <c r="C26" s="3021"/>
      <c r="D26" s="3022" t="s">
        <v>845</v>
      </c>
      <c r="E26" s="3020"/>
      <c r="F26" s="3020"/>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2019-04-25T05:39:29Z</dcterms:modified>
</cp:coreProperties>
</file>